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quiry/Downloads/"/>
    </mc:Choice>
  </mc:AlternateContent>
  <xr:revisionPtr revIDLastSave="0" documentId="8_{EB875249-E59F-A84B-ADD3-191B4412DAA9}" xr6:coauthVersionLast="47" xr6:coauthVersionMax="47" xr10:uidLastSave="{00000000-0000-0000-0000-000000000000}"/>
  <bookViews>
    <workbookView xWindow="0" yWindow="500" windowWidth="28800" windowHeight="13400" tabRatio="921" firstSheet="10" activeTab="12" xr2:uid="{00000000-000D-0000-FFFF-FFFF00000000}"/>
  </bookViews>
  <sheets>
    <sheet name="a70 résultat" sheetId="1" r:id="rId1"/>
    <sheet name="a70 bilan" sheetId="2" r:id="rId2"/>
    <sheet name="a70 fdr" sheetId="3" r:id="rId3"/>
    <sheet name="a70 trésorerie" sheetId="4" r:id="rId4"/>
    <sheet name="a70 rentabilité" sheetId="5" r:id="rId5"/>
    <sheet name="b80 résultat" sheetId="6" r:id="rId6"/>
    <sheet name="b80 bilan" sheetId="7" r:id="rId7"/>
    <sheet name="b80 fdr" sheetId="8" r:id="rId8"/>
    <sheet name="b80 trésorerie" sheetId="9" r:id="rId9"/>
    <sheet name="b80 rentabilité" sheetId="10" r:id="rId10"/>
    <sheet name="c90 résultat" sheetId="49" r:id="rId11"/>
    <sheet name="c90 bilan" sheetId="50" r:id="rId12"/>
    <sheet name="c90 fdr" sheetId="51" r:id="rId13"/>
    <sheet name="c90 trésorerie" sheetId="52" r:id="rId14"/>
    <sheet name="c90 rentabilité" sheetId="53" r:id="rId15"/>
    <sheet name="d00 résultat " sheetId="30" r:id="rId16"/>
    <sheet name="d00 bilan" sheetId="45" r:id="rId17"/>
    <sheet name="d00 fdr" sheetId="46" r:id="rId18"/>
    <sheet name="d00 trésorerie" sheetId="47" r:id="rId19"/>
    <sheet name="d00 rentabilité" sheetId="48" r:id="rId20"/>
    <sheet name="e10 résultat" sheetId="55" r:id="rId21"/>
    <sheet name="e10 bilan" sheetId="56" r:id="rId22"/>
    <sheet name="e10 fdr" sheetId="57" r:id="rId23"/>
    <sheet name="e10 trésorerie" sheetId="58" r:id="rId24"/>
    <sheet name="e10 rentabilité" sheetId="59" r:id="rId25"/>
    <sheet name="graphique" sheetId="28" r:id="rId26"/>
    <sheet name="Annexe" sheetId="11" r:id="rId27"/>
    <sheet name="DS" sheetId="54" r:id="rId28"/>
  </sheets>
  <externalReferences>
    <externalReference r:id="rId29"/>
    <externalReference r:id="rId30"/>
    <externalReference r:id="rId31"/>
  </externalReferences>
  <definedNames>
    <definedName name="_xlnm.Print_Area" localSheetId="11">'c90 bilan'!$A$2:$R$23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47" l="1"/>
  <c r="E10" i="47"/>
  <c r="E9" i="47"/>
  <c r="J13" i="57"/>
  <c r="J12" i="57"/>
  <c r="J11" i="57"/>
  <c r="J9" i="57"/>
  <c r="J8" i="57"/>
  <c r="J10" i="57" s="1"/>
  <c r="L7" i="55"/>
  <c r="L11" i="55" s="1"/>
  <c r="L13" i="55"/>
  <c r="L29" i="55" s="1"/>
  <c r="L15" i="55"/>
  <c r="L31" i="55"/>
  <c r="L28" i="55"/>
  <c r="L26" i="55"/>
  <c r="L25" i="55"/>
  <c r="L24" i="55"/>
  <c r="L23" i="55"/>
  <c r="L22" i="55"/>
  <c r="L21" i="55"/>
  <c r="K20" i="55"/>
  <c r="L20" i="55"/>
  <c r="L4" i="55"/>
  <c r="L25" i="56"/>
  <c r="L27" i="56"/>
  <c r="L28" i="56"/>
  <c r="L29" i="56" s="1"/>
  <c r="L24" i="56"/>
  <c r="K25" i="56"/>
  <c r="K27" i="56"/>
  <c r="K28" i="56"/>
  <c r="K24" i="56"/>
  <c r="K29" i="56"/>
  <c r="J28" i="56"/>
  <c r="J29" i="56" s="1"/>
  <c r="J24" i="56"/>
  <c r="L9" i="56"/>
  <c r="L11" i="56"/>
  <c r="L12" i="56"/>
  <c r="L14" i="56"/>
  <c r="L15" i="56"/>
  <c r="L19" i="56" s="1"/>
  <c r="K9" i="56"/>
  <c r="K11" i="56"/>
  <c r="K12" i="56"/>
  <c r="K14" i="56"/>
  <c r="K15" i="56"/>
  <c r="K9" i="57" s="1"/>
  <c r="K10" i="57" s="1"/>
  <c r="J9" i="56"/>
  <c r="J11" i="56"/>
  <c r="J15" i="56" s="1"/>
  <c r="J14" i="56"/>
  <c r="L8" i="57"/>
  <c r="L13" i="57"/>
  <c r="L12" i="57"/>
  <c r="L11" i="57"/>
  <c r="L9" i="57"/>
  <c r="L10" i="57" s="1"/>
  <c r="H14" i="48"/>
  <c r="G14" i="48"/>
  <c r="F14" i="48"/>
  <c r="E14" i="48"/>
  <c r="D14" i="48"/>
  <c r="I14" i="48"/>
  <c r="C14" i="48"/>
  <c r="K7" i="55"/>
  <c r="K11" i="55" s="1"/>
  <c r="K8" i="57"/>
  <c r="K13" i="57" s="1"/>
  <c r="K12" i="57"/>
  <c r="K11" i="57"/>
  <c r="K31" i="55"/>
  <c r="K29" i="55"/>
  <c r="K28" i="55"/>
  <c r="K26" i="55"/>
  <c r="K25" i="55"/>
  <c r="K24" i="55"/>
  <c r="K23" i="55"/>
  <c r="K22" i="55"/>
  <c r="K21" i="55"/>
  <c r="D55" i="11"/>
  <c r="A48" i="11"/>
  <c r="A49" i="11" s="1"/>
  <c r="A50" i="11" s="1"/>
  <c r="A51" i="11" s="1"/>
  <c r="A52" i="11" s="1"/>
  <c r="A53" i="11" s="1"/>
  <c r="A54" i="11" s="1"/>
  <c r="A55" i="11" s="1"/>
  <c r="D54" i="11"/>
  <c r="D53" i="11"/>
  <c r="D52" i="11"/>
  <c r="D51" i="11"/>
  <c r="D50" i="11"/>
  <c r="D49" i="11"/>
  <c r="D48" i="11"/>
  <c r="I13" i="57"/>
  <c r="H13" i="57"/>
  <c r="G13" i="57"/>
  <c r="F13" i="57"/>
  <c r="E13" i="57"/>
  <c r="D13" i="57"/>
  <c r="C13" i="57"/>
  <c r="B13" i="57"/>
  <c r="I12" i="57"/>
  <c r="H12" i="57"/>
  <c r="G12" i="57"/>
  <c r="F12" i="57"/>
  <c r="E12" i="57"/>
  <c r="D12" i="57"/>
  <c r="C12" i="57"/>
  <c r="B12" i="57"/>
  <c r="I11" i="57"/>
  <c r="H11" i="57"/>
  <c r="G11" i="57"/>
  <c r="F11" i="57"/>
  <c r="E11" i="57"/>
  <c r="D11" i="57"/>
  <c r="C11" i="57"/>
  <c r="B11" i="57"/>
  <c r="I9" i="57"/>
  <c r="I10" i="57" s="1"/>
  <c r="I8" i="57"/>
  <c r="H9" i="57"/>
  <c r="H8" i="57"/>
  <c r="H10" i="57"/>
  <c r="G9" i="57"/>
  <c r="G8" i="57"/>
  <c r="G10" i="57"/>
  <c r="F9" i="57"/>
  <c r="F10" i="57" s="1"/>
  <c r="F8" i="57"/>
  <c r="E9" i="57"/>
  <c r="E8" i="57"/>
  <c r="E10" i="57"/>
  <c r="D9" i="57"/>
  <c r="D8" i="57"/>
  <c r="D10" i="57" s="1"/>
  <c r="C9" i="57"/>
  <c r="C8" i="57"/>
  <c r="C10" i="57"/>
  <c r="B9" i="57"/>
  <c r="B10" i="57" s="1"/>
  <c r="B8" i="57"/>
  <c r="I33" i="30"/>
  <c r="I10" i="30"/>
  <c r="I17" i="30"/>
  <c r="I19" i="30" s="1"/>
  <c r="I45" i="30" s="1"/>
  <c r="I14" i="45"/>
  <c r="I9" i="47" s="1"/>
  <c r="I10" i="47" s="1"/>
  <c r="I18" i="45"/>
  <c r="I10" i="48"/>
  <c r="D2" i="48"/>
  <c r="E2" i="48"/>
  <c r="F2" i="48" s="1"/>
  <c r="G2" i="48" s="1"/>
  <c r="H2" i="48" s="1"/>
  <c r="I2" i="48" s="1"/>
  <c r="I3" i="47"/>
  <c r="I5" i="47"/>
  <c r="I7" i="47" s="1"/>
  <c r="D2" i="47"/>
  <c r="E2" i="47" s="1"/>
  <c r="F2" i="47" s="1"/>
  <c r="G2" i="47" s="1"/>
  <c r="H2" i="47" s="1"/>
  <c r="I2" i="47" s="1"/>
  <c r="I3" i="46"/>
  <c r="I7" i="46" s="1"/>
  <c r="I10" i="46"/>
  <c r="I9" i="46"/>
  <c r="I8" i="46"/>
  <c r="D2" i="46"/>
  <c r="E2" i="46"/>
  <c r="F2" i="46"/>
  <c r="G2" i="46" s="1"/>
  <c r="H2" i="46" s="1"/>
  <c r="I2" i="46" s="1"/>
  <c r="D2" i="45"/>
  <c r="E2" i="45" s="1"/>
  <c r="F2" i="45" s="1"/>
  <c r="G2" i="45" s="1"/>
  <c r="H2" i="45" s="1"/>
  <c r="I2" i="45" s="1"/>
  <c r="I25" i="30"/>
  <c r="I51" i="30" s="1"/>
  <c r="I50" i="30"/>
  <c r="I49" i="30"/>
  <c r="I46" i="30"/>
  <c r="I44" i="30"/>
  <c r="I39" i="30"/>
  <c r="I38" i="30"/>
  <c r="D30" i="30"/>
  <c r="E30" i="30" s="1"/>
  <c r="F30" i="30" s="1"/>
  <c r="G30" i="30" s="1"/>
  <c r="H30" i="30" s="1"/>
  <c r="I30" i="30" s="1"/>
  <c r="D4" i="30"/>
  <c r="E4" i="30"/>
  <c r="F4" i="30" s="1"/>
  <c r="G4" i="30" s="1"/>
  <c r="H4" i="30" s="1"/>
  <c r="I4" i="30" s="1"/>
  <c r="E47" i="11"/>
  <c r="E46" i="11"/>
  <c r="C46" i="11"/>
  <c r="B46" i="11"/>
  <c r="D46" i="11" s="1"/>
  <c r="C47" i="11"/>
  <c r="D47" i="11" s="1"/>
  <c r="B47" i="11"/>
  <c r="D41" i="11"/>
  <c r="D42" i="11"/>
  <c r="N42" i="11"/>
  <c r="D43" i="11"/>
  <c r="N43" i="11"/>
  <c r="D44" i="11"/>
  <c r="N44" i="11"/>
  <c r="D45" i="11"/>
  <c r="N45" i="11"/>
  <c r="N46" i="11"/>
  <c r="N47" i="11"/>
  <c r="C10" i="30"/>
  <c r="C14" i="30" s="1"/>
  <c r="C17" i="30" s="1"/>
  <c r="D10" i="30"/>
  <c r="D14" i="30"/>
  <c r="D40" i="30" s="1"/>
  <c r="D17" i="30"/>
  <c r="D43" i="30" s="1"/>
  <c r="E10" i="30"/>
  <c r="E14" i="30" s="1"/>
  <c r="E17" i="30" s="1"/>
  <c r="F8" i="30"/>
  <c r="F10" i="30"/>
  <c r="F14" i="30"/>
  <c r="F17" i="30" s="1"/>
  <c r="G10" i="30"/>
  <c r="G14" i="30" s="1"/>
  <c r="H10" i="30"/>
  <c r="H36" i="30" s="1"/>
  <c r="H14" i="30"/>
  <c r="H40" i="30" s="1"/>
  <c r="C18" i="45"/>
  <c r="C21" i="45"/>
  <c r="C22" i="45"/>
  <c r="C4" i="46" s="1"/>
  <c r="C6" i="46" s="1"/>
  <c r="C14" i="45"/>
  <c r="D18" i="45"/>
  <c r="D5" i="46" s="1"/>
  <c r="D21" i="45"/>
  <c r="D14" i="45"/>
  <c r="D9" i="47" s="1"/>
  <c r="D10" i="47" s="1"/>
  <c r="E18" i="45"/>
  <c r="E21" i="45"/>
  <c r="E22" i="45" s="1"/>
  <c r="E14" i="45"/>
  <c r="F18" i="45"/>
  <c r="F5" i="46" s="1"/>
  <c r="F21" i="45"/>
  <c r="F14" i="45"/>
  <c r="F9" i="47" s="1"/>
  <c r="F10" i="47" s="1"/>
  <c r="G18" i="45"/>
  <c r="G21" i="45"/>
  <c r="G22" i="45"/>
  <c r="G23" i="45" s="1"/>
  <c r="G9" i="45" s="1"/>
  <c r="G3" i="45" s="1"/>
  <c r="G9" i="48" s="1"/>
  <c r="G14" i="45"/>
  <c r="H18" i="45"/>
  <c r="H22" i="45" s="1"/>
  <c r="H23" i="45" s="1"/>
  <c r="H9" i="45" s="1"/>
  <c r="H3" i="45" s="1"/>
  <c r="H21" i="45"/>
  <c r="H14" i="45"/>
  <c r="H5" i="48"/>
  <c r="C8" i="45"/>
  <c r="D8" i="45"/>
  <c r="D9" i="48" s="1"/>
  <c r="E8" i="45"/>
  <c r="F8" i="45"/>
  <c r="F14" i="47" s="1"/>
  <c r="G8" i="45"/>
  <c r="G14" i="47" s="1"/>
  <c r="H8" i="45"/>
  <c r="H9" i="48" s="1"/>
  <c r="C9" i="48"/>
  <c r="C3" i="47"/>
  <c r="C5" i="47" s="1"/>
  <c r="D3" i="47"/>
  <c r="E3" i="47"/>
  <c r="F3" i="47"/>
  <c r="G3" i="47"/>
  <c r="H3" i="47"/>
  <c r="H5" i="47" s="1"/>
  <c r="H7" i="47" s="1"/>
  <c r="C4" i="47"/>
  <c r="D4" i="47"/>
  <c r="E4" i="47"/>
  <c r="E5" i="47" s="1"/>
  <c r="F4" i="47"/>
  <c r="G4" i="47"/>
  <c r="H4" i="47"/>
  <c r="D5" i="47"/>
  <c r="F5" i="47"/>
  <c r="G5" i="47"/>
  <c r="H6" i="47"/>
  <c r="C9" i="47"/>
  <c r="C10" i="47" s="1"/>
  <c r="C11" i="47"/>
  <c r="C12" i="47" s="1"/>
  <c r="C14" i="47"/>
  <c r="C3" i="46"/>
  <c r="D3" i="46"/>
  <c r="E3" i="46"/>
  <c r="F3" i="46"/>
  <c r="G3" i="46"/>
  <c r="H3" i="46"/>
  <c r="H4" i="46"/>
  <c r="H6" i="46" s="1"/>
  <c r="C5" i="46"/>
  <c r="C7" i="46" s="1"/>
  <c r="E5" i="46"/>
  <c r="G5" i="46"/>
  <c r="H5" i="46"/>
  <c r="H7" i="46" s="1"/>
  <c r="D7" i="46"/>
  <c r="E7" i="46"/>
  <c r="F7" i="46"/>
  <c r="G7" i="46"/>
  <c r="E8" i="46"/>
  <c r="H8" i="46"/>
  <c r="E9" i="46"/>
  <c r="G9" i="46"/>
  <c r="H9" i="46"/>
  <c r="D10" i="46"/>
  <c r="E10" i="46"/>
  <c r="H10" i="46"/>
  <c r="C9" i="45"/>
  <c r="D9" i="45"/>
  <c r="L5" i="30"/>
  <c r="M5" i="30"/>
  <c r="N5" i="30"/>
  <c r="O5" i="30"/>
  <c r="P5" i="30"/>
  <c r="Q5" i="30"/>
  <c r="L11" i="30"/>
  <c r="M11" i="30"/>
  <c r="N11" i="30"/>
  <c r="O11" i="30"/>
  <c r="P11" i="30"/>
  <c r="Q11" i="30"/>
  <c r="L16" i="30"/>
  <c r="M16" i="30"/>
  <c r="N16" i="30"/>
  <c r="O16" i="30"/>
  <c r="P16" i="30"/>
  <c r="Q16" i="30"/>
  <c r="P20" i="30"/>
  <c r="Q21" i="30"/>
  <c r="O22" i="30"/>
  <c r="P22" i="30"/>
  <c r="Q22" i="30"/>
  <c r="C25" i="30"/>
  <c r="D25" i="30"/>
  <c r="D51" i="30" s="1"/>
  <c r="E25" i="30"/>
  <c r="E51" i="30" s="1"/>
  <c r="F25" i="30"/>
  <c r="G25" i="30"/>
  <c r="H25" i="30"/>
  <c r="Q29" i="30"/>
  <c r="Q30" i="30" s="1"/>
  <c r="L30" i="30"/>
  <c r="M30" i="30"/>
  <c r="N30" i="30"/>
  <c r="O30" i="30"/>
  <c r="P30" i="30"/>
  <c r="C33" i="30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F40" i="30"/>
  <c r="C41" i="30"/>
  <c r="D41" i="30"/>
  <c r="E41" i="30"/>
  <c r="F41" i="30"/>
  <c r="G41" i="30"/>
  <c r="H41" i="30"/>
  <c r="F43" i="30"/>
  <c r="C44" i="30"/>
  <c r="D44" i="30"/>
  <c r="E44" i="30"/>
  <c r="F44" i="30"/>
  <c r="G44" i="30"/>
  <c r="H44" i="30"/>
  <c r="C47" i="30"/>
  <c r="D47" i="30"/>
  <c r="E47" i="30"/>
  <c r="F47" i="30"/>
  <c r="G47" i="30"/>
  <c r="H47" i="30"/>
  <c r="C48" i="30"/>
  <c r="D48" i="30"/>
  <c r="E48" i="30"/>
  <c r="F48" i="30"/>
  <c r="G48" i="30"/>
  <c r="H48" i="30"/>
  <c r="C49" i="30"/>
  <c r="D49" i="30"/>
  <c r="E49" i="30"/>
  <c r="F49" i="30"/>
  <c r="G49" i="30"/>
  <c r="H49" i="30"/>
  <c r="C50" i="30"/>
  <c r="D50" i="30"/>
  <c r="E50" i="30"/>
  <c r="F50" i="30"/>
  <c r="G50" i="30"/>
  <c r="H50" i="30"/>
  <c r="C51" i="30"/>
  <c r="F51" i="30"/>
  <c r="G51" i="30"/>
  <c r="H51" i="30"/>
  <c r="D2" i="53"/>
  <c r="E2" i="53"/>
  <c r="F2" i="53" s="1"/>
  <c r="G2" i="53" s="1"/>
  <c r="H2" i="53" s="1"/>
  <c r="I2" i="53" s="1"/>
  <c r="J2" i="53" s="1"/>
  <c r="K2" i="53" s="1"/>
  <c r="L2" i="53" s="1"/>
  <c r="M2" i="53" s="1"/>
  <c r="N2" i="53" s="1"/>
  <c r="O2" i="53" s="1"/>
  <c r="P2" i="53" s="1"/>
  <c r="Q2" i="53" s="1"/>
  <c r="R2" i="53" s="1"/>
  <c r="D3" i="53"/>
  <c r="E3" i="53"/>
  <c r="F3" i="53"/>
  <c r="G3" i="53"/>
  <c r="H3" i="53"/>
  <c r="I3" i="53"/>
  <c r="J3" i="53"/>
  <c r="K3" i="53"/>
  <c r="K6" i="53" s="1"/>
  <c r="L3" i="53"/>
  <c r="M3" i="53"/>
  <c r="N10" i="49"/>
  <c r="N14" i="49" s="1"/>
  <c r="N17" i="49" s="1"/>
  <c r="O10" i="49"/>
  <c r="O14" i="49" s="1"/>
  <c r="O17" i="49" s="1"/>
  <c r="P10" i="49"/>
  <c r="P14" i="49" s="1"/>
  <c r="P17" i="49"/>
  <c r="P44" i="49"/>
  <c r="P3" i="53" s="1"/>
  <c r="Q10" i="49"/>
  <c r="Q14" i="49" s="1"/>
  <c r="R10" i="49"/>
  <c r="R14" i="49" s="1"/>
  <c r="E4" i="53"/>
  <c r="C5" i="53"/>
  <c r="D5" i="53"/>
  <c r="E5" i="53"/>
  <c r="F5" i="53"/>
  <c r="G5" i="53"/>
  <c r="H5" i="53"/>
  <c r="I5" i="53"/>
  <c r="I6" i="53" s="1"/>
  <c r="J5" i="53"/>
  <c r="K5" i="53"/>
  <c r="L5" i="53"/>
  <c r="N3" i="51"/>
  <c r="N8" i="51" s="1"/>
  <c r="N8" i="50"/>
  <c r="O3" i="51"/>
  <c r="O8" i="50"/>
  <c r="O9" i="50" s="1"/>
  <c r="O9" i="53" s="1"/>
  <c r="P3" i="51"/>
  <c r="P7" i="51" s="1"/>
  <c r="P8" i="50"/>
  <c r="Q3" i="51"/>
  <c r="Q8" i="50"/>
  <c r="Q9" i="50" s="1"/>
  <c r="Q9" i="53" s="1"/>
  <c r="R3" i="51"/>
  <c r="R6" i="51" s="1"/>
  <c r="R8" i="50"/>
  <c r="R9" i="50" s="1"/>
  <c r="R5" i="53"/>
  <c r="C6" i="53"/>
  <c r="D6" i="53"/>
  <c r="G6" i="53"/>
  <c r="G12" i="53" s="1"/>
  <c r="H6" i="53"/>
  <c r="J6" i="53"/>
  <c r="L6" i="53"/>
  <c r="C8" i="53"/>
  <c r="D8" i="53"/>
  <c r="D10" i="53" s="1"/>
  <c r="D12" i="53" s="1"/>
  <c r="E8" i="53"/>
  <c r="F8" i="53"/>
  <c r="G8" i="53"/>
  <c r="H8" i="53"/>
  <c r="H10" i="53" s="1"/>
  <c r="I8" i="53"/>
  <c r="J8" i="53"/>
  <c r="K8" i="53"/>
  <c r="K10" i="53" s="1"/>
  <c r="L8" i="53"/>
  <c r="L10" i="53" s="1"/>
  <c r="L12" i="53" s="1"/>
  <c r="C9" i="53"/>
  <c r="D9" i="53"/>
  <c r="E9" i="53"/>
  <c r="F9" i="53"/>
  <c r="G9" i="53"/>
  <c r="H9" i="53"/>
  <c r="I9" i="53"/>
  <c r="J9" i="53"/>
  <c r="J10" i="53" s="1"/>
  <c r="J12" i="53" s="1"/>
  <c r="K9" i="53"/>
  <c r="L9" i="53"/>
  <c r="R9" i="53"/>
  <c r="C10" i="53"/>
  <c r="E10" i="53"/>
  <c r="F10" i="53"/>
  <c r="G10" i="53"/>
  <c r="M10" i="53"/>
  <c r="C12" i="53"/>
  <c r="M12" i="53"/>
  <c r="D2" i="52"/>
  <c r="E2" i="52" s="1"/>
  <c r="F2" i="52" s="1"/>
  <c r="G2" i="52" s="1"/>
  <c r="H2" i="52" s="1"/>
  <c r="I2" i="52" s="1"/>
  <c r="J2" i="52" s="1"/>
  <c r="K2" i="52" s="1"/>
  <c r="L2" i="52" s="1"/>
  <c r="M2" i="52" s="1"/>
  <c r="N2" i="52" s="1"/>
  <c r="O2" i="52" s="1"/>
  <c r="P2" i="52" s="1"/>
  <c r="Q2" i="52" s="1"/>
  <c r="R2" i="52" s="1"/>
  <c r="C3" i="52"/>
  <c r="C5" i="52" s="1"/>
  <c r="C7" i="52" s="1"/>
  <c r="D3" i="52"/>
  <c r="D5" i="52" s="1"/>
  <c r="D7" i="52" s="1"/>
  <c r="D11" i="52" s="1"/>
  <c r="D12" i="52" s="1"/>
  <c r="E3" i="52"/>
  <c r="F3" i="52"/>
  <c r="F5" i="52" s="1"/>
  <c r="F7" i="52" s="1"/>
  <c r="G3" i="52"/>
  <c r="H3" i="52"/>
  <c r="I3" i="52"/>
  <c r="J3" i="52"/>
  <c r="K3" i="52"/>
  <c r="L3" i="52"/>
  <c r="L5" i="52" s="1"/>
  <c r="L7" i="52" s="1"/>
  <c r="L11" i="52" s="1"/>
  <c r="L12" i="52" s="1"/>
  <c r="M17" i="49"/>
  <c r="M19" i="49"/>
  <c r="M22" i="49" s="1"/>
  <c r="P19" i="49"/>
  <c r="P22" i="49" s="1"/>
  <c r="P3" i="52" s="1"/>
  <c r="C4" i="52"/>
  <c r="D4" i="52"/>
  <c r="E4" i="52"/>
  <c r="F4" i="52"/>
  <c r="G4" i="52"/>
  <c r="G5" i="52" s="1"/>
  <c r="G7" i="52" s="1"/>
  <c r="G11" i="52" s="1"/>
  <c r="G12" i="52" s="1"/>
  <c r="H4" i="52"/>
  <c r="I4" i="52"/>
  <c r="I5" i="52" s="1"/>
  <c r="I7" i="52" s="1"/>
  <c r="I11" i="52" s="1"/>
  <c r="I12" i="52" s="1"/>
  <c r="J4" i="52"/>
  <c r="K4" i="52"/>
  <c r="L4" i="52"/>
  <c r="N4" i="52"/>
  <c r="O4" i="52"/>
  <c r="P4" i="52"/>
  <c r="P5" i="52" s="1"/>
  <c r="Q4" i="52"/>
  <c r="R4" i="52"/>
  <c r="E5" i="52"/>
  <c r="H5" i="52"/>
  <c r="H7" i="52" s="1"/>
  <c r="H11" i="52" s="1"/>
  <c r="H12" i="52" s="1"/>
  <c r="J5" i="52"/>
  <c r="J7" i="52" s="1"/>
  <c r="K5" i="52"/>
  <c r="K7" i="52" s="1"/>
  <c r="K11" i="52" s="1"/>
  <c r="K12" i="52" s="1"/>
  <c r="C6" i="52"/>
  <c r="D6" i="52"/>
  <c r="E6" i="52"/>
  <c r="F6" i="52"/>
  <c r="G6" i="52"/>
  <c r="H6" i="52"/>
  <c r="I6" i="52"/>
  <c r="J6" i="52"/>
  <c r="K6" i="52"/>
  <c r="L6" i="52"/>
  <c r="M22" i="50"/>
  <c r="L22" i="50"/>
  <c r="M6" i="52"/>
  <c r="N22" i="50"/>
  <c r="N6" i="52" s="1"/>
  <c r="O22" i="50"/>
  <c r="P22" i="50"/>
  <c r="Q22" i="50"/>
  <c r="Q6" i="52"/>
  <c r="R22" i="50"/>
  <c r="R6" i="52" s="1"/>
  <c r="E7" i="52"/>
  <c r="C8" i="52"/>
  <c r="C10" i="52" s="1"/>
  <c r="C9" i="52"/>
  <c r="D9" i="52"/>
  <c r="E9" i="52"/>
  <c r="F9" i="52"/>
  <c r="G9" i="52"/>
  <c r="H9" i="52"/>
  <c r="H10" i="52" s="1"/>
  <c r="I9" i="52"/>
  <c r="J9" i="52"/>
  <c r="J10" i="52" s="1"/>
  <c r="K9" i="52"/>
  <c r="L9" i="52"/>
  <c r="N14" i="50"/>
  <c r="N9" i="52" s="1"/>
  <c r="O14" i="50"/>
  <c r="O9" i="52"/>
  <c r="O10" i="52" s="1"/>
  <c r="P14" i="50"/>
  <c r="P9" i="52"/>
  <c r="P10" i="52" s="1"/>
  <c r="Q14" i="50"/>
  <c r="Q9" i="52" s="1"/>
  <c r="Q10" i="52" s="1"/>
  <c r="R14" i="50"/>
  <c r="D10" i="52"/>
  <c r="E10" i="52"/>
  <c r="F10" i="52"/>
  <c r="G10" i="52"/>
  <c r="I10" i="52"/>
  <c r="K10" i="52"/>
  <c r="L10" i="52"/>
  <c r="M10" i="52"/>
  <c r="N10" i="52"/>
  <c r="E11" i="52"/>
  <c r="F11" i="52"/>
  <c r="F12" i="52" s="1"/>
  <c r="C12" i="52"/>
  <c r="D14" i="52"/>
  <c r="E14" i="52"/>
  <c r="E12" i="52" s="1"/>
  <c r="F14" i="52"/>
  <c r="G14" i="52"/>
  <c r="H14" i="52"/>
  <c r="I14" i="52"/>
  <c r="J14" i="52"/>
  <c r="K14" i="52"/>
  <c r="L14" i="52"/>
  <c r="Q14" i="52"/>
  <c r="R14" i="52"/>
  <c r="R13" i="52"/>
  <c r="C13" i="52"/>
  <c r="M14" i="52"/>
  <c r="D2" i="51"/>
  <c r="E2" i="51" s="1"/>
  <c r="F2" i="51"/>
  <c r="G2" i="51"/>
  <c r="H2" i="51" s="1"/>
  <c r="I2" i="51" s="1"/>
  <c r="J2" i="51" s="1"/>
  <c r="K2" i="51"/>
  <c r="L2" i="51" s="1"/>
  <c r="M2" i="51" s="1"/>
  <c r="N2" i="51" s="1"/>
  <c r="O2" i="51" s="1"/>
  <c r="P2" i="51" s="1"/>
  <c r="Q2" i="51" s="1"/>
  <c r="R2" i="51" s="1"/>
  <c r="C3" i="51"/>
  <c r="D3" i="51"/>
  <c r="E3" i="51"/>
  <c r="F3" i="51"/>
  <c r="F6" i="51" s="1"/>
  <c r="G3" i="51"/>
  <c r="G7" i="51" s="1"/>
  <c r="H3" i="51"/>
  <c r="I3" i="51"/>
  <c r="J3" i="51"/>
  <c r="K3" i="51"/>
  <c r="L3" i="51"/>
  <c r="D22" i="50"/>
  <c r="D4" i="51"/>
  <c r="D5" i="51" s="1"/>
  <c r="E22" i="50"/>
  <c r="E4" i="51" s="1"/>
  <c r="E5" i="51" s="1"/>
  <c r="F22" i="50"/>
  <c r="F4" i="51"/>
  <c r="G22" i="50"/>
  <c r="G23" i="50" s="1"/>
  <c r="G4" i="51"/>
  <c r="H22" i="50"/>
  <c r="H4" i="51"/>
  <c r="H5" i="51" s="1"/>
  <c r="I22" i="50"/>
  <c r="I4" i="51" s="1"/>
  <c r="I5" i="51" s="1"/>
  <c r="J22" i="50"/>
  <c r="J4" i="51"/>
  <c r="K22" i="50"/>
  <c r="K23" i="50" s="1"/>
  <c r="L4" i="51"/>
  <c r="M4" i="51"/>
  <c r="N4" i="51"/>
  <c r="N5" i="51" s="1"/>
  <c r="P4" i="51"/>
  <c r="Q4" i="51"/>
  <c r="R4" i="51"/>
  <c r="R5" i="51" s="1"/>
  <c r="J5" i="51"/>
  <c r="L5" i="51"/>
  <c r="P5" i="51"/>
  <c r="D6" i="51"/>
  <c r="E6" i="51"/>
  <c r="H6" i="51"/>
  <c r="I6" i="51"/>
  <c r="J6" i="51"/>
  <c r="L6" i="51"/>
  <c r="N6" i="51"/>
  <c r="P6" i="51"/>
  <c r="E7" i="51"/>
  <c r="H7" i="51"/>
  <c r="I7" i="51"/>
  <c r="J7" i="51"/>
  <c r="N7" i="51"/>
  <c r="O7" i="51"/>
  <c r="R7" i="51"/>
  <c r="E8" i="51"/>
  <c r="G8" i="51"/>
  <c r="H8" i="51"/>
  <c r="I8" i="51"/>
  <c r="J8" i="51"/>
  <c r="O8" i="51"/>
  <c r="R8" i="51"/>
  <c r="D2" i="50"/>
  <c r="E2" i="50" s="1"/>
  <c r="F2" i="50" s="1"/>
  <c r="G2" i="50" s="1"/>
  <c r="H2" i="50"/>
  <c r="I2" i="50"/>
  <c r="J2" i="50" s="1"/>
  <c r="K2" i="50" s="1"/>
  <c r="L2" i="50" s="1"/>
  <c r="M2" i="50" s="1"/>
  <c r="N2" i="50" s="1"/>
  <c r="O2" i="50" s="1"/>
  <c r="P2" i="50" s="1"/>
  <c r="Q2" i="50" s="1"/>
  <c r="R2" i="50" s="1"/>
  <c r="C8" i="50"/>
  <c r="D8" i="50"/>
  <c r="D9" i="50" s="1"/>
  <c r="E8" i="50"/>
  <c r="F8" i="50"/>
  <c r="G8" i="50"/>
  <c r="H8" i="50"/>
  <c r="I8" i="50"/>
  <c r="I9" i="50" s="1"/>
  <c r="J8" i="50"/>
  <c r="K8" i="50"/>
  <c r="K9" i="50" s="1"/>
  <c r="C9" i="50"/>
  <c r="E9" i="50"/>
  <c r="F9" i="50"/>
  <c r="G9" i="50"/>
  <c r="H9" i="50"/>
  <c r="J9" i="50"/>
  <c r="L9" i="50"/>
  <c r="M9" i="50"/>
  <c r="C12" i="50"/>
  <c r="D12" i="50"/>
  <c r="E12" i="50"/>
  <c r="F12" i="50"/>
  <c r="G12" i="50"/>
  <c r="H12" i="50"/>
  <c r="I12" i="50"/>
  <c r="J12" i="50"/>
  <c r="K12" i="50"/>
  <c r="L14" i="50"/>
  <c r="L23" i="50" s="1"/>
  <c r="C18" i="50"/>
  <c r="C22" i="50" s="1"/>
  <c r="C23" i="50" s="1"/>
  <c r="D18" i="50"/>
  <c r="E18" i="50"/>
  <c r="F18" i="50"/>
  <c r="G18" i="50"/>
  <c r="H18" i="50"/>
  <c r="I18" i="50"/>
  <c r="J18" i="50"/>
  <c r="K18" i="50"/>
  <c r="L18" i="50"/>
  <c r="C20" i="50"/>
  <c r="D20" i="50"/>
  <c r="D21" i="50" s="1"/>
  <c r="E20" i="50"/>
  <c r="F20" i="50"/>
  <c r="G20" i="50"/>
  <c r="H20" i="50"/>
  <c r="I20" i="50"/>
  <c r="I21" i="50" s="1"/>
  <c r="J20" i="50"/>
  <c r="K20" i="50"/>
  <c r="C21" i="50"/>
  <c r="E21" i="50"/>
  <c r="F21" i="50"/>
  <c r="G21" i="50"/>
  <c r="H21" i="50"/>
  <c r="J21" i="50"/>
  <c r="K21" i="50"/>
  <c r="D23" i="50"/>
  <c r="F23" i="50"/>
  <c r="H23" i="50"/>
  <c r="I23" i="50"/>
  <c r="J23" i="50"/>
  <c r="N23" i="50"/>
  <c r="O23" i="50"/>
  <c r="P23" i="50"/>
  <c r="D4" i="49"/>
  <c r="E4" i="49"/>
  <c r="F4" i="49"/>
  <c r="G4" i="49" s="1"/>
  <c r="H4" i="49" s="1"/>
  <c r="I4" i="49" s="1"/>
  <c r="J4" i="49" s="1"/>
  <c r="K4" i="49" s="1"/>
  <c r="L4" i="49" s="1"/>
  <c r="M4" i="49" s="1"/>
  <c r="N4" i="49" s="1"/>
  <c r="O4" i="49" s="1"/>
  <c r="P4" i="49" s="1"/>
  <c r="Q4" i="49" s="1"/>
  <c r="R4" i="49" s="1"/>
  <c r="D8" i="49"/>
  <c r="D10" i="49" s="1"/>
  <c r="E8" i="49"/>
  <c r="E10" i="49" s="1"/>
  <c r="F8" i="49"/>
  <c r="F35" i="49" s="1"/>
  <c r="G8" i="49"/>
  <c r="G35" i="49" s="1"/>
  <c r="H8" i="49"/>
  <c r="H35" i="49" s="1"/>
  <c r="I8" i="49"/>
  <c r="D9" i="49"/>
  <c r="E9" i="49"/>
  <c r="F9" i="49"/>
  <c r="G9" i="49"/>
  <c r="H9" i="49"/>
  <c r="H36" i="49" s="1"/>
  <c r="I9" i="49"/>
  <c r="I36" i="49" s="1"/>
  <c r="J9" i="49"/>
  <c r="J36" i="49" s="1"/>
  <c r="K9" i="49"/>
  <c r="I10" i="49"/>
  <c r="I14" i="49" s="1"/>
  <c r="J10" i="49"/>
  <c r="J37" i="49" s="1"/>
  <c r="K10" i="49"/>
  <c r="K37" i="49" s="1"/>
  <c r="D11" i="49"/>
  <c r="E11" i="49"/>
  <c r="F11" i="49"/>
  <c r="G11" i="49"/>
  <c r="H11" i="49"/>
  <c r="I11" i="49"/>
  <c r="D13" i="49"/>
  <c r="E13" i="49"/>
  <c r="F13" i="49"/>
  <c r="G13" i="49"/>
  <c r="H13" i="49"/>
  <c r="I13" i="49"/>
  <c r="C14" i="49"/>
  <c r="K14" i="49"/>
  <c r="K17" i="49" s="1"/>
  <c r="D15" i="49"/>
  <c r="E15" i="49"/>
  <c r="F15" i="49"/>
  <c r="G15" i="49"/>
  <c r="H15" i="49"/>
  <c r="I15" i="49"/>
  <c r="I42" i="49" s="1"/>
  <c r="C17" i="49"/>
  <c r="C44" i="49" s="1"/>
  <c r="D18" i="49"/>
  <c r="E18" i="49"/>
  <c r="F18" i="49"/>
  <c r="G18" i="49"/>
  <c r="H18" i="49"/>
  <c r="I18" i="49"/>
  <c r="J18" i="49"/>
  <c r="C19" i="49"/>
  <c r="C46" i="49" s="1"/>
  <c r="L19" i="49"/>
  <c r="D20" i="49"/>
  <c r="D47" i="49" s="1"/>
  <c r="E20" i="49"/>
  <c r="F20" i="49"/>
  <c r="G20" i="49"/>
  <c r="H20" i="49"/>
  <c r="I20" i="49"/>
  <c r="K20" i="49"/>
  <c r="K47" i="49" s="1"/>
  <c r="C21" i="49"/>
  <c r="C48" i="49" s="1"/>
  <c r="D21" i="49"/>
  <c r="D48" i="49" s="1"/>
  <c r="E21" i="49"/>
  <c r="E48" i="49" s="1"/>
  <c r="F21" i="49"/>
  <c r="G21" i="49"/>
  <c r="H21" i="49"/>
  <c r="I21" i="49"/>
  <c r="J21" i="49"/>
  <c r="K21" i="49"/>
  <c r="K48" i="49" s="1"/>
  <c r="C22" i="49"/>
  <c r="C25" i="49" s="1"/>
  <c r="C52" i="49" s="1"/>
  <c r="L22" i="49"/>
  <c r="L25" i="49" s="1"/>
  <c r="L52" i="49" s="1"/>
  <c r="D23" i="49"/>
  <c r="E23" i="49"/>
  <c r="F23" i="49"/>
  <c r="G23" i="49"/>
  <c r="H23" i="49"/>
  <c r="I23" i="49"/>
  <c r="J23" i="49"/>
  <c r="K23" i="49"/>
  <c r="L23" i="49"/>
  <c r="D24" i="49"/>
  <c r="E24" i="49"/>
  <c r="F24" i="49"/>
  <c r="G24" i="49"/>
  <c r="G51" i="49" s="1"/>
  <c r="H24" i="49"/>
  <c r="I24" i="49"/>
  <c r="J24" i="49"/>
  <c r="P25" i="49"/>
  <c r="P52" i="49" s="1"/>
  <c r="D31" i="49"/>
  <c r="E31" i="49" s="1"/>
  <c r="F31" i="49" s="1"/>
  <c r="G31" i="49" s="1"/>
  <c r="H31" i="49" s="1"/>
  <c r="I31" i="49" s="1"/>
  <c r="J31" i="49" s="1"/>
  <c r="K31" i="49" s="1"/>
  <c r="L31" i="49" s="1"/>
  <c r="M31" i="49" s="1"/>
  <c r="N31" i="49" s="1"/>
  <c r="O31" i="49" s="1"/>
  <c r="P31" i="49" s="1"/>
  <c r="Q31" i="49" s="1"/>
  <c r="R31" i="49" s="1"/>
  <c r="C34" i="49"/>
  <c r="D34" i="49"/>
  <c r="E34" i="49"/>
  <c r="F34" i="49"/>
  <c r="G34" i="49"/>
  <c r="H34" i="49"/>
  <c r="I34" i="49"/>
  <c r="J34" i="49"/>
  <c r="K34" i="49"/>
  <c r="L34" i="49"/>
  <c r="M34" i="49"/>
  <c r="N34" i="49"/>
  <c r="O34" i="49"/>
  <c r="P34" i="49"/>
  <c r="Q34" i="49"/>
  <c r="R34" i="49"/>
  <c r="D35" i="49"/>
  <c r="E35" i="49"/>
  <c r="I35" i="49"/>
  <c r="J35" i="49"/>
  <c r="K35" i="49"/>
  <c r="N35" i="49"/>
  <c r="O35" i="49"/>
  <c r="P35" i="49"/>
  <c r="Q35" i="49"/>
  <c r="R35" i="49"/>
  <c r="C36" i="49"/>
  <c r="D36" i="49"/>
  <c r="E36" i="49"/>
  <c r="F36" i="49"/>
  <c r="G36" i="49"/>
  <c r="K36" i="49"/>
  <c r="N36" i="49"/>
  <c r="O36" i="49"/>
  <c r="P36" i="49"/>
  <c r="Q36" i="49"/>
  <c r="R36" i="49"/>
  <c r="C37" i="49"/>
  <c r="I37" i="49"/>
  <c r="N37" i="49"/>
  <c r="O37" i="49"/>
  <c r="P37" i="49"/>
  <c r="Q37" i="49"/>
  <c r="R37" i="49"/>
  <c r="C38" i="49"/>
  <c r="D38" i="49"/>
  <c r="E38" i="49"/>
  <c r="F38" i="49"/>
  <c r="G38" i="49"/>
  <c r="H38" i="49"/>
  <c r="I38" i="49"/>
  <c r="J38" i="49"/>
  <c r="K38" i="49"/>
  <c r="N38" i="49"/>
  <c r="O38" i="49"/>
  <c r="P38" i="49"/>
  <c r="Q38" i="49"/>
  <c r="R38" i="49"/>
  <c r="C40" i="49"/>
  <c r="D40" i="49"/>
  <c r="E40" i="49"/>
  <c r="F40" i="49"/>
  <c r="G40" i="49"/>
  <c r="H40" i="49"/>
  <c r="I40" i="49"/>
  <c r="J40" i="49"/>
  <c r="K40" i="49"/>
  <c r="N40" i="49"/>
  <c r="O40" i="49"/>
  <c r="P40" i="49"/>
  <c r="Q40" i="49"/>
  <c r="R40" i="49"/>
  <c r="C41" i="49"/>
  <c r="K41" i="49"/>
  <c r="L41" i="49"/>
  <c r="N41" i="49"/>
  <c r="O41" i="49"/>
  <c r="P41" i="49"/>
  <c r="C42" i="49"/>
  <c r="D42" i="49"/>
  <c r="E42" i="49"/>
  <c r="F42" i="49"/>
  <c r="G42" i="49"/>
  <c r="H42" i="49"/>
  <c r="J42" i="49"/>
  <c r="K42" i="49"/>
  <c r="L42" i="49"/>
  <c r="N42" i="49"/>
  <c r="O42" i="49"/>
  <c r="P42" i="49"/>
  <c r="Q42" i="49"/>
  <c r="R42" i="49"/>
  <c r="L44" i="49"/>
  <c r="C45" i="49"/>
  <c r="D45" i="49"/>
  <c r="E45" i="49"/>
  <c r="F45" i="49"/>
  <c r="G45" i="49"/>
  <c r="H45" i="49"/>
  <c r="I45" i="49"/>
  <c r="J45" i="49"/>
  <c r="K45" i="49"/>
  <c r="L45" i="49"/>
  <c r="N45" i="49"/>
  <c r="O45" i="49"/>
  <c r="P45" i="49"/>
  <c r="Q45" i="49"/>
  <c r="R45" i="49"/>
  <c r="L46" i="49"/>
  <c r="P46" i="49"/>
  <c r="C47" i="49"/>
  <c r="E47" i="49"/>
  <c r="F47" i="49"/>
  <c r="G47" i="49"/>
  <c r="H47" i="49"/>
  <c r="I47" i="49"/>
  <c r="J47" i="49"/>
  <c r="L47" i="49"/>
  <c r="N47" i="49"/>
  <c r="O47" i="49"/>
  <c r="P47" i="49"/>
  <c r="Q47" i="49"/>
  <c r="R47" i="49"/>
  <c r="F48" i="49"/>
  <c r="G48" i="49"/>
  <c r="H48" i="49"/>
  <c r="I48" i="49"/>
  <c r="J48" i="49"/>
  <c r="L48" i="49"/>
  <c r="N48" i="49"/>
  <c r="O48" i="49"/>
  <c r="P48" i="49"/>
  <c r="Q48" i="49"/>
  <c r="R48" i="49"/>
  <c r="C49" i="49"/>
  <c r="P49" i="49"/>
  <c r="C50" i="49"/>
  <c r="D50" i="49"/>
  <c r="E50" i="49"/>
  <c r="F50" i="49"/>
  <c r="G50" i="49"/>
  <c r="H50" i="49"/>
  <c r="I50" i="49"/>
  <c r="J50" i="49"/>
  <c r="K50" i="49"/>
  <c r="L50" i="49"/>
  <c r="M50" i="49"/>
  <c r="N50" i="49"/>
  <c r="O50" i="49"/>
  <c r="P50" i="49"/>
  <c r="Q50" i="49"/>
  <c r="R50" i="49"/>
  <c r="C51" i="49"/>
  <c r="D51" i="49"/>
  <c r="E51" i="49"/>
  <c r="F51" i="49"/>
  <c r="H51" i="49"/>
  <c r="I51" i="49"/>
  <c r="J51" i="49"/>
  <c r="K51" i="49"/>
  <c r="L51" i="49"/>
  <c r="N51" i="49"/>
  <c r="O51" i="49"/>
  <c r="P51" i="49"/>
  <c r="Q51" i="49"/>
  <c r="R51" i="49"/>
  <c r="B26" i="6"/>
  <c r="C26" i="6"/>
  <c r="D26" i="6"/>
  <c r="E26" i="6"/>
  <c r="F26" i="6"/>
  <c r="G26" i="6"/>
  <c r="H26" i="6"/>
  <c r="I26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B30" i="6"/>
  <c r="C30" i="6"/>
  <c r="D30" i="6"/>
  <c r="E30" i="6"/>
  <c r="F30" i="6"/>
  <c r="G30" i="6"/>
  <c r="H30" i="6"/>
  <c r="I30" i="6"/>
  <c r="B32" i="6"/>
  <c r="C32" i="6"/>
  <c r="D32" i="6"/>
  <c r="E32" i="6"/>
  <c r="F32" i="6"/>
  <c r="G32" i="6"/>
  <c r="H32" i="6"/>
  <c r="I32" i="6"/>
  <c r="B33" i="6"/>
  <c r="C33" i="6"/>
  <c r="D33" i="6"/>
  <c r="E33" i="6"/>
  <c r="F33" i="6"/>
  <c r="G33" i="6"/>
  <c r="H33" i="6"/>
  <c r="I33" i="6"/>
  <c r="B34" i="6"/>
  <c r="C34" i="6"/>
  <c r="D34" i="6"/>
  <c r="E34" i="6"/>
  <c r="F34" i="6"/>
  <c r="G34" i="6"/>
  <c r="H34" i="6"/>
  <c r="I34" i="6"/>
  <c r="B36" i="6"/>
  <c r="C36" i="6"/>
  <c r="D36" i="6"/>
  <c r="E36" i="6"/>
  <c r="F36" i="6"/>
  <c r="G36" i="6"/>
  <c r="H36" i="6"/>
  <c r="I36" i="6"/>
  <c r="B37" i="6"/>
  <c r="C37" i="6"/>
  <c r="D37" i="6"/>
  <c r="E37" i="6"/>
  <c r="F37" i="6"/>
  <c r="G37" i="6"/>
  <c r="H37" i="6"/>
  <c r="I37" i="6"/>
  <c r="B38" i="6"/>
  <c r="C38" i="6"/>
  <c r="D38" i="6"/>
  <c r="E38" i="6"/>
  <c r="F38" i="6"/>
  <c r="G38" i="6"/>
  <c r="H38" i="6"/>
  <c r="I38" i="6"/>
  <c r="B39" i="6"/>
  <c r="C39" i="6"/>
  <c r="D39" i="6"/>
  <c r="E39" i="6"/>
  <c r="F39" i="6"/>
  <c r="G39" i="6"/>
  <c r="H39" i="6"/>
  <c r="I39" i="6"/>
  <c r="B40" i="6"/>
  <c r="C40" i="6"/>
  <c r="D40" i="6"/>
  <c r="E40" i="6"/>
  <c r="F40" i="6"/>
  <c r="G40" i="6"/>
  <c r="H40" i="6"/>
  <c r="I40" i="6"/>
  <c r="B41" i="6"/>
  <c r="C41" i="6"/>
  <c r="D41" i="6"/>
  <c r="E41" i="6"/>
  <c r="F41" i="6"/>
  <c r="G41" i="6"/>
  <c r="H41" i="6"/>
  <c r="I41" i="6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C27" i="1"/>
  <c r="D27" i="1"/>
  <c r="E27" i="1"/>
  <c r="F27" i="1"/>
  <c r="G27" i="1"/>
  <c r="H27" i="1"/>
  <c r="I27" i="1"/>
  <c r="J27" i="1"/>
  <c r="K27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4" i="1"/>
  <c r="C34" i="1"/>
  <c r="D34" i="1"/>
  <c r="E34" i="1"/>
  <c r="F34" i="1"/>
  <c r="G34" i="1"/>
  <c r="H34" i="1"/>
  <c r="I34" i="1"/>
  <c r="J34" i="1"/>
  <c r="K34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C11" i="52" l="1"/>
  <c r="C14" i="52" s="1"/>
  <c r="E37" i="49"/>
  <c r="E14" i="49"/>
  <c r="R17" i="49"/>
  <c r="R41" i="49"/>
  <c r="D37" i="49"/>
  <c r="D14" i="49"/>
  <c r="Q17" i="49"/>
  <c r="Q41" i="49"/>
  <c r="K44" i="49"/>
  <c r="K19" i="49"/>
  <c r="I17" i="49"/>
  <c r="I41" i="49"/>
  <c r="M3" i="52"/>
  <c r="M5" i="52" s="1"/>
  <c r="M7" i="52" s="1"/>
  <c r="M11" i="52" s="1"/>
  <c r="M25" i="49"/>
  <c r="K12" i="53"/>
  <c r="P7" i="52"/>
  <c r="P11" i="52" s="1"/>
  <c r="P12" i="52" s="1"/>
  <c r="E12" i="53"/>
  <c r="O44" i="49"/>
  <c r="O3" i="53" s="1"/>
  <c r="O6" i="53" s="1"/>
  <c r="O8" i="53" s="1"/>
  <c r="O10" i="53" s="1"/>
  <c r="O12" i="53" s="1"/>
  <c r="O19" i="49"/>
  <c r="R9" i="52"/>
  <c r="R10" i="52" s="1"/>
  <c r="O4" i="51"/>
  <c r="O5" i="51" s="1"/>
  <c r="P6" i="52"/>
  <c r="O14" i="52"/>
  <c r="N9" i="50"/>
  <c r="N9" i="53" s="1"/>
  <c r="F10" i="46"/>
  <c r="F9" i="46"/>
  <c r="G9" i="47"/>
  <c r="G10" i="47" s="1"/>
  <c r="H9" i="47"/>
  <c r="H10" i="47" s="1"/>
  <c r="H11" i="47" s="1"/>
  <c r="H12" i="47" s="1"/>
  <c r="Q5" i="51"/>
  <c r="Q5" i="53"/>
  <c r="Q8" i="51"/>
  <c r="E23" i="45"/>
  <c r="E5" i="48" s="1"/>
  <c r="E6" i="47"/>
  <c r="E7" i="47" s="1"/>
  <c r="E11" i="47" s="1"/>
  <c r="E12" i="47" s="1"/>
  <c r="E3" i="48"/>
  <c r="E43" i="30"/>
  <c r="E19" i="30"/>
  <c r="N19" i="49"/>
  <c r="N44" i="49"/>
  <c r="N3" i="53" s="1"/>
  <c r="F6" i="53"/>
  <c r="F12" i="53" s="1"/>
  <c r="D9" i="46"/>
  <c r="D8" i="46"/>
  <c r="I11" i="47"/>
  <c r="H10" i="49"/>
  <c r="J11" i="52"/>
  <c r="J12" i="52" s="1"/>
  <c r="P14" i="52"/>
  <c r="P9" i="50"/>
  <c r="E6" i="53"/>
  <c r="C8" i="46"/>
  <c r="C10" i="46"/>
  <c r="J14" i="49"/>
  <c r="G10" i="49"/>
  <c r="F8" i="51"/>
  <c r="C9" i="46"/>
  <c r="E14" i="47"/>
  <c r="E9" i="48"/>
  <c r="E9" i="45"/>
  <c r="J19" i="56"/>
  <c r="F10" i="49"/>
  <c r="R23" i="50"/>
  <c r="F7" i="51"/>
  <c r="L8" i="51"/>
  <c r="L7" i="51"/>
  <c r="D8" i="51"/>
  <c r="D7" i="51"/>
  <c r="N14" i="52"/>
  <c r="I10" i="53"/>
  <c r="I12" i="53" s="1"/>
  <c r="E4" i="46"/>
  <c r="E6" i="46" s="1"/>
  <c r="G40" i="30"/>
  <c r="G17" i="30"/>
  <c r="C43" i="30"/>
  <c r="C3" i="48"/>
  <c r="C19" i="30"/>
  <c r="K14" i="55"/>
  <c r="K27" i="55"/>
  <c r="Q23" i="50"/>
  <c r="E23" i="50"/>
  <c r="P8" i="51"/>
  <c r="G6" i="51"/>
  <c r="G5" i="51"/>
  <c r="K8" i="51"/>
  <c r="K7" i="51"/>
  <c r="K6" i="51"/>
  <c r="C8" i="51"/>
  <c r="C7" i="51"/>
  <c r="C6" i="51"/>
  <c r="H12" i="53"/>
  <c r="O5" i="53"/>
  <c r="O6" i="51"/>
  <c r="F8" i="46"/>
  <c r="F19" i="30"/>
  <c r="F3" i="48"/>
  <c r="L49" i="49"/>
  <c r="Q7" i="51"/>
  <c r="Q6" i="51"/>
  <c r="F5" i="51"/>
  <c r="K4" i="51"/>
  <c r="K5" i="51" s="1"/>
  <c r="O6" i="52"/>
  <c r="N5" i="53"/>
  <c r="E40" i="30"/>
  <c r="G10" i="46"/>
  <c r="G8" i="46"/>
  <c r="G7" i="47"/>
  <c r="G11" i="47" s="1"/>
  <c r="G12" i="47" s="1"/>
  <c r="G5" i="48"/>
  <c r="L14" i="55"/>
  <c r="L27" i="55"/>
  <c r="G4" i="46"/>
  <c r="G6" i="46" s="1"/>
  <c r="G6" i="47"/>
  <c r="F22" i="45"/>
  <c r="C23" i="45"/>
  <c r="H17" i="30"/>
  <c r="D3" i="48"/>
  <c r="K19" i="56"/>
  <c r="D14" i="47"/>
  <c r="H14" i="47"/>
  <c r="D19" i="30"/>
  <c r="D22" i="45"/>
  <c r="G36" i="30"/>
  <c r="L30" i="55" l="1"/>
  <c r="L16" i="55"/>
  <c r="L32" i="55" s="1"/>
  <c r="F20" i="30"/>
  <c r="F46" i="30" s="1"/>
  <c r="F4" i="48"/>
  <c r="F45" i="30"/>
  <c r="G14" i="49"/>
  <c r="G37" i="49"/>
  <c r="H14" i="49"/>
  <c r="H37" i="49"/>
  <c r="O22" i="49"/>
  <c r="O46" i="49"/>
  <c r="I19" i="49"/>
  <c r="I44" i="49"/>
  <c r="K46" i="49"/>
  <c r="K22" i="49"/>
  <c r="R19" i="49"/>
  <c r="R44" i="49"/>
  <c r="R3" i="53" s="1"/>
  <c r="R6" i="53" s="1"/>
  <c r="R8" i="53" s="1"/>
  <c r="R10" i="53" s="1"/>
  <c r="R12" i="53" s="1"/>
  <c r="K16" i="55"/>
  <c r="K32" i="55" s="1"/>
  <c r="K30" i="55"/>
  <c r="E17" i="49"/>
  <c r="E41" i="49"/>
  <c r="J17" i="49"/>
  <c r="J41" i="49"/>
  <c r="G3" i="48"/>
  <c r="G19" i="30"/>
  <c r="G43" i="30"/>
  <c r="P9" i="53"/>
  <c r="P5" i="53"/>
  <c r="P6" i="53" s="1"/>
  <c r="P8" i="53" s="1"/>
  <c r="P10" i="53" s="1"/>
  <c r="P12" i="53" s="1"/>
  <c r="N6" i="53"/>
  <c r="N8" i="53" s="1"/>
  <c r="N10" i="53" s="1"/>
  <c r="N12" i="53" s="1"/>
  <c r="C20" i="30"/>
  <c r="C46" i="30" s="1"/>
  <c r="C45" i="30"/>
  <c r="H43" i="30"/>
  <c r="H3" i="48"/>
  <c r="H19" i="30"/>
  <c r="C6" i="47"/>
  <c r="C5" i="48"/>
  <c r="D6" i="47"/>
  <c r="D7" i="47" s="1"/>
  <c r="D11" i="47" s="1"/>
  <c r="D12" i="47" s="1"/>
  <c r="D4" i="46"/>
  <c r="D6" i="46" s="1"/>
  <c r="D23" i="45"/>
  <c r="D5" i="48" s="1"/>
  <c r="F6" i="47"/>
  <c r="F7" i="47" s="1"/>
  <c r="F11" i="47" s="1"/>
  <c r="F12" i="47" s="1"/>
  <c r="F23" i="45"/>
  <c r="F4" i="46"/>
  <c r="F6" i="46" s="1"/>
  <c r="N22" i="49"/>
  <c r="N46" i="49"/>
  <c r="Q44" i="49"/>
  <c r="Q3" i="53" s="1"/>
  <c r="Q6" i="53" s="1"/>
  <c r="Q8" i="53" s="1"/>
  <c r="Q10" i="53" s="1"/>
  <c r="Q12" i="53" s="1"/>
  <c r="Q19" i="49"/>
  <c r="F37" i="49"/>
  <c r="F14" i="49"/>
  <c r="D20" i="30"/>
  <c r="D46" i="30" s="1"/>
  <c r="D4" i="48"/>
  <c r="D6" i="48" s="1"/>
  <c r="D8" i="48" s="1"/>
  <c r="D10" i="48" s="1"/>
  <c r="D12" i="48" s="1"/>
  <c r="D45" i="30"/>
  <c r="E20" i="30"/>
  <c r="E46" i="30" s="1"/>
  <c r="E4" i="48"/>
  <c r="E6" i="48" s="1"/>
  <c r="E8" i="48" s="1"/>
  <c r="E10" i="48" s="1"/>
  <c r="E12" i="48" s="1"/>
  <c r="E45" i="30"/>
  <c r="D17" i="49"/>
  <c r="D41" i="49"/>
  <c r="J44" i="49" l="1"/>
  <c r="J19" i="49"/>
  <c r="G17" i="49"/>
  <c r="G41" i="49"/>
  <c r="E44" i="49"/>
  <c r="E19" i="49"/>
  <c r="I46" i="49"/>
  <c r="I22" i="49"/>
  <c r="F5" i="48"/>
  <c r="F6" i="48" s="1"/>
  <c r="F8" i="48" s="1"/>
  <c r="F9" i="45"/>
  <c r="F3" i="45" s="1"/>
  <c r="F9" i="48" s="1"/>
  <c r="O49" i="49"/>
  <c r="O3" i="52"/>
  <c r="O5" i="52" s="1"/>
  <c r="O7" i="52" s="1"/>
  <c r="O11" i="52" s="1"/>
  <c r="O12" i="52" s="1"/>
  <c r="O25" i="49"/>
  <c r="O52" i="49" s="1"/>
  <c r="N3" i="52"/>
  <c r="N5" i="52" s="1"/>
  <c r="N7" i="52" s="1"/>
  <c r="N11" i="52" s="1"/>
  <c r="N12" i="52" s="1"/>
  <c r="N49" i="49"/>
  <c r="N25" i="49"/>
  <c r="N52" i="49" s="1"/>
  <c r="H45" i="30"/>
  <c r="H20" i="30"/>
  <c r="H46" i="30" s="1"/>
  <c r="G45" i="30"/>
  <c r="G20" i="30"/>
  <c r="G46" i="30" s="1"/>
  <c r="G4" i="48"/>
  <c r="G6" i="48" s="1"/>
  <c r="G8" i="48" s="1"/>
  <c r="G10" i="48" s="1"/>
  <c r="G12" i="48" s="1"/>
  <c r="F17" i="49"/>
  <c r="F41" i="49"/>
  <c r="Q22" i="49"/>
  <c r="Q46" i="49"/>
  <c r="R46" i="49"/>
  <c r="R22" i="49"/>
  <c r="D44" i="49"/>
  <c r="D19" i="49"/>
  <c r="C4" i="48"/>
  <c r="C6" i="48" s="1"/>
  <c r="C8" i="48" s="1"/>
  <c r="C10" i="48" s="1"/>
  <c r="C12" i="48" s="1"/>
  <c r="K25" i="49"/>
  <c r="K52" i="49" s="1"/>
  <c r="K49" i="49"/>
  <c r="H17" i="49"/>
  <c r="H41" i="49"/>
  <c r="D46" i="49" l="1"/>
  <c r="D22" i="49"/>
  <c r="F44" i="49"/>
  <c r="F19" i="49"/>
  <c r="I25" i="49"/>
  <c r="I52" i="49" s="1"/>
  <c r="I49" i="49"/>
  <c r="R3" i="52"/>
  <c r="R5" i="52" s="1"/>
  <c r="R7" i="52" s="1"/>
  <c r="R11" i="52" s="1"/>
  <c r="R12" i="52" s="1"/>
  <c r="R49" i="49"/>
  <c r="R25" i="49"/>
  <c r="R52" i="49" s="1"/>
  <c r="E46" i="49"/>
  <c r="E22" i="49"/>
  <c r="G44" i="49"/>
  <c r="G19" i="49"/>
  <c r="H19" i="49"/>
  <c r="H44" i="49"/>
  <c r="H4" i="48"/>
  <c r="H6" i="48" s="1"/>
  <c r="H8" i="48" s="1"/>
  <c r="H10" i="48" s="1"/>
  <c r="H12" i="48" s="1"/>
  <c r="F10" i="48"/>
  <c r="F12" i="48" s="1"/>
  <c r="J46" i="49"/>
  <c r="J22" i="49"/>
  <c r="Q49" i="49"/>
  <c r="Q25" i="49"/>
  <c r="Q52" i="49" s="1"/>
  <c r="Q3" i="52"/>
  <c r="Q5" i="52" s="1"/>
  <c r="Q7" i="52" s="1"/>
  <c r="Q11" i="52" s="1"/>
  <c r="Q12" i="52" s="1"/>
  <c r="H22" i="49" l="1"/>
  <c r="H46" i="49"/>
  <c r="G22" i="49"/>
  <c r="G46" i="49"/>
  <c r="F22" i="49"/>
  <c r="F46" i="49"/>
  <c r="J25" i="49"/>
  <c r="J52" i="49" s="1"/>
  <c r="J49" i="49"/>
  <c r="E25" i="49"/>
  <c r="E52" i="49" s="1"/>
  <c r="E49" i="49"/>
  <c r="D25" i="49"/>
  <c r="D52" i="49" s="1"/>
  <c r="D49" i="49"/>
  <c r="F25" i="49" l="1"/>
  <c r="F52" i="49" s="1"/>
  <c r="F49" i="49"/>
  <c r="G49" i="49"/>
  <c r="G25" i="49"/>
  <c r="G52" i="49" s="1"/>
  <c r="H25" i="49"/>
  <c r="H52" i="49" s="1"/>
  <c r="H49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Xavier Leroy</author>
  </authors>
  <commentList>
    <comment ref="O20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Xavier Leroy:</t>
        </r>
        <r>
          <rPr>
            <sz val="8"/>
            <color indexed="81"/>
            <rFont val="Tahoma"/>
            <family val="2"/>
          </rPr>
          <t xml:space="preserve">
in R&amp;D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466451</author>
  </authors>
  <commentList>
    <comment ref="A1" authorId="0" shapeId="0" xr:uid="{00000000-0006-0000-1B00-000001000000}">
      <text>
        <r>
          <rPr>
            <b/>
            <sz val="8"/>
            <color indexed="81"/>
            <rFont val="Tahoma"/>
            <family val="2"/>
          </rPr>
          <t>Source: DATASTREAM
Time Series: FRCPANNL;;-4Y;;Y
Last Refreshed: 13/04/2008 17:14:05
2 Columns
11 Rows</t>
        </r>
      </text>
    </comment>
    <comment ref="D1" authorId="0" shapeId="0" xr:uid="{00000000-0006-0000-1B00-000002000000}">
      <text>
        <r>
          <rPr>
            <b/>
            <sz val="8"/>
            <color indexed="81"/>
            <rFont val="Tahoma"/>
            <family val="2"/>
          </rPr>
          <t>Source: DATASTREAM
Time Series: FROCFILT;;-4Y;;Y
Last Refreshed: 13/04/2008 17:14:30
2 Columns
11 Rows</t>
        </r>
      </text>
    </comment>
    <comment ref="H1" authorId="0" shapeId="0" xr:uid="{00000000-0006-0000-1B00-000003000000}">
      <text>
        <r>
          <rPr>
            <b/>
            <sz val="8"/>
            <color indexed="81"/>
            <rFont val="Tahoma"/>
            <family val="2"/>
          </rPr>
          <t>Source: DATASTREAM
Time Series: FROCFIST;;-4Y;;Y
Last Refreshed: 13/04/2008 17:14:29
2 Columns
11 Rows</t>
        </r>
      </text>
    </comment>
    <comment ref="L1" authorId="0" shapeId="0" xr:uid="{00000000-0006-0000-1B00-000004000000}">
      <text>
        <r>
          <rPr>
            <b/>
            <sz val="8"/>
            <color indexed="81"/>
            <rFont val="Tahoma"/>
            <family val="2"/>
          </rPr>
          <t>Source: DATASTREAM
Time Series: FRDGDP..;;-4Y;;D
Last Refreshed: 13/04/2008 17:18:14
2 Columns
11 Rows</t>
        </r>
      </text>
    </comment>
  </commentList>
</comments>
</file>

<file path=xl/sharedStrings.xml><?xml version="1.0" encoding="utf-8"?>
<sst xmlns="http://schemas.openxmlformats.org/spreadsheetml/2006/main" count="776" uniqueCount="357">
  <si>
    <t>CHIFFRE D’AFFAIRES</t>
  </si>
  <si>
    <t>Production stockée + production immobilisée</t>
  </si>
  <si>
    <t>= PRODUCTION</t>
  </si>
  <si>
    <t>- Consommation de matières</t>
  </si>
  <si>
    <t>- Autres consommations externes</t>
  </si>
  <si>
    <t>= VALEUR AJOUTEE</t>
  </si>
  <si>
    <t>- Frais de personnel</t>
  </si>
  <si>
    <t>- Impôts et taxes</t>
  </si>
  <si>
    <t>- Variation des provisions d’exploitation</t>
  </si>
  <si>
    <t>= EXCEDENT BRUT D’EXPLOITATION</t>
  </si>
  <si>
    <t>- Dotations aux amortissements, Variation des provisions</t>
  </si>
  <si>
    <t>d'exploitation, loyers de crédit-bail (amortissements)</t>
  </si>
  <si>
    <t>= RESULTAT ECONOMIQUE</t>
  </si>
  <si>
    <t>- Résultat financier</t>
  </si>
  <si>
    <t>= Résultat courant</t>
  </si>
  <si>
    <t>+ Résultat exceptionnel</t>
  </si>
  <si>
    <t>-</t>
  </si>
  <si>
    <t>- Impôt sur les sociétés</t>
  </si>
  <si>
    <t>= RESULTAT NET</t>
  </si>
  <si>
    <t>Capitaux propres</t>
  </si>
  <si>
    <t>Dettes bancaires et financières à long/moyen terme</t>
  </si>
  <si>
    <t>+Dettes bancaires et financière à court terme</t>
  </si>
  <si>
    <t>- Valeurs mobilières de placement</t>
  </si>
  <si>
    <t>-Disponibilités et valeurs mobilières de placement</t>
  </si>
  <si>
    <t>= Endettement bancaire et financier net</t>
  </si>
  <si>
    <t>Actif économique</t>
  </si>
  <si>
    <t>Immobilisations corporelles</t>
  </si>
  <si>
    <t>+ Immobilisations financières</t>
  </si>
  <si>
    <t>+ Immobilisations incorporelles</t>
  </si>
  <si>
    <t>= Immobilisations</t>
  </si>
  <si>
    <t>Stocks</t>
  </si>
  <si>
    <t>+ Clients</t>
  </si>
  <si>
    <t>- Fournisseurs</t>
  </si>
  <si>
    <t>= BFR d’exploitation</t>
  </si>
  <si>
    <t xml:space="preserve"> BFR hors exploitation</t>
  </si>
  <si>
    <t>BFR Total</t>
  </si>
  <si>
    <t>Chiffre d’affaires</t>
  </si>
  <si>
    <t>BFR d’exploitation</t>
  </si>
  <si>
    <t>BFR d’exploitation de CA en jours</t>
  </si>
  <si>
    <t>150j</t>
  </si>
  <si>
    <t>178j</t>
  </si>
  <si>
    <t>148j</t>
  </si>
  <si>
    <t>149j</t>
  </si>
  <si>
    <t>134j</t>
  </si>
  <si>
    <t>121j</t>
  </si>
  <si>
    <t>103j</t>
  </si>
  <si>
    <t>89j</t>
  </si>
  <si>
    <t>101j</t>
  </si>
  <si>
    <t>119j</t>
  </si>
  <si>
    <t>Stock en jours de CA</t>
  </si>
  <si>
    <t>38j</t>
  </si>
  <si>
    <t>51j</t>
  </si>
  <si>
    <t>54j</t>
  </si>
  <si>
    <t>47j</t>
  </si>
  <si>
    <t>37j</t>
  </si>
  <si>
    <t>41j</t>
  </si>
  <si>
    <t>56j</t>
  </si>
  <si>
    <t>43j</t>
  </si>
  <si>
    <t>63j</t>
  </si>
  <si>
    <t>Clients en jours de CA</t>
  </si>
  <si>
    <t>168j</t>
  </si>
  <si>
    <t>164j</t>
  </si>
  <si>
    <t>140j</t>
  </si>
  <si>
    <t>143j</t>
  </si>
  <si>
    <t>136j</t>
  </si>
  <si>
    <t>145j</t>
  </si>
  <si>
    <t>146j</t>
  </si>
  <si>
    <t>130j</t>
  </si>
  <si>
    <t>141j</t>
  </si>
  <si>
    <t>139j</t>
  </si>
  <si>
    <t>Fournisseurs en jours de CA</t>
  </si>
  <si>
    <t>57j</t>
  </si>
  <si>
    <t>45j</t>
  </si>
  <si>
    <t>42j</t>
  </si>
  <si>
    <t>65j</t>
  </si>
  <si>
    <t>100j</t>
  </si>
  <si>
    <t>84j</t>
  </si>
  <si>
    <t>93j</t>
  </si>
  <si>
    <t>83j</t>
  </si>
  <si>
    <t>Résultat net</t>
  </si>
  <si>
    <t>Dotation aux amortissements</t>
  </si>
  <si>
    <t>= Capacité d’autofinancement</t>
  </si>
  <si>
    <t>Variation du besoin en fonds de roulement</t>
  </si>
  <si>
    <t>= Flux d’exploitation (1)</t>
  </si>
  <si>
    <t>Désinvestissements</t>
  </si>
  <si>
    <t>Investissements</t>
  </si>
  <si>
    <t>= Flux d'investissement (2)</t>
  </si>
  <si>
    <t>-35,3</t>
  </si>
  <si>
    <t>-40,2</t>
  </si>
  <si>
    <t>-54,7</t>
  </si>
  <si>
    <t>-51,2</t>
  </si>
  <si>
    <t>-68,3</t>
  </si>
  <si>
    <t>-102,9</t>
  </si>
  <si>
    <t>-129,7</t>
  </si>
  <si>
    <t>-98,3</t>
  </si>
  <si>
    <t>-116,4</t>
  </si>
  <si>
    <t>-122,5</t>
  </si>
  <si>
    <t>+Augmentation de capital</t>
  </si>
  <si>
    <t>+Dividendes versés</t>
  </si>
  <si>
    <t>=Variation de l’endettement</t>
  </si>
  <si>
    <t>Le signe correspond au flux : un signe négatif correspond donc à un débours de trésorerie (cf. l'investissement),</t>
  </si>
  <si>
    <t>un chiffre de variation du BFR négatif correspond à un débours de trésorerie, donc à une augmentation du BFR, etc.</t>
  </si>
  <si>
    <t>Marge économique (RE/CA)</t>
  </si>
  <si>
    <t>x (1-taux IS)</t>
  </si>
  <si>
    <t>x Taux de rotation de l’actif économique (CA/AE)</t>
  </si>
  <si>
    <t>= Rentabilité de l’actif économique après IS</t>
  </si>
  <si>
    <t>Rentabilité actif économique après IS - coût net de la dette</t>
  </si>
  <si>
    <t>x levier financier (D/C)</t>
  </si>
  <si>
    <t>= Effet de levier</t>
  </si>
  <si>
    <t>Rentabilité des capitaux propres</t>
  </si>
  <si>
    <t>Taux d’inflation</t>
  </si>
  <si>
    <t>+Variation des provisions d’exploitation</t>
  </si>
  <si>
    <t>+0,4</t>
  </si>
  <si>
    <t>-0,9</t>
  </si>
  <si>
    <t>+1,2</t>
  </si>
  <si>
    <t>+2,2</t>
  </si>
  <si>
    <t>+2,5</t>
  </si>
  <si>
    <t>+0,5</t>
  </si>
  <si>
    <t>+2,8</t>
  </si>
  <si>
    <t>sur actifs immobilisés, loyers de crédit-bail (amortissements)</t>
  </si>
  <si>
    <t>-3,1</t>
  </si>
  <si>
    <t>-3,7</t>
  </si>
  <si>
    <t>-4,0</t>
  </si>
  <si>
    <t>-4,5</t>
  </si>
  <si>
    <t>-3,3</t>
  </si>
  <si>
    <t>-2,9</t>
  </si>
  <si>
    <t>-1,0</t>
  </si>
  <si>
    <t>- 0,6</t>
  </si>
  <si>
    <t>-1,2</t>
  </si>
  <si>
    <t>-1,7</t>
  </si>
  <si>
    <t>- Impôt sur les bénéfices</t>
  </si>
  <si>
    <t>-2,0</t>
  </si>
  <si>
    <t>+Dettes bancaires et financières à court terme</t>
  </si>
  <si>
    <t>- Disponibilités</t>
  </si>
  <si>
    <t>+ Autres immobilisations</t>
  </si>
  <si>
    <t>Créances hors exploitation</t>
  </si>
  <si>
    <t>-Dettes hors exploitation</t>
  </si>
  <si>
    <t>= BFR hors exploitation</t>
  </si>
  <si>
    <t>-3,6</t>
  </si>
  <si>
    <t>-7,0</t>
  </si>
  <si>
    <t>-5,1</t>
  </si>
  <si>
    <t>-5,9</t>
  </si>
  <si>
    <t>-6,4</t>
  </si>
  <si>
    <t>-6,9</t>
  </si>
  <si>
    <t>-12,8</t>
  </si>
  <si>
    <t>-10,7</t>
  </si>
  <si>
    <t>-6,3</t>
  </si>
  <si>
    <t>-4,3</t>
  </si>
  <si>
    <t>74j</t>
  </si>
  <si>
    <t>68j</t>
  </si>
  <si>
    <t>55j</t>
  </si>
  <si>
    <t>26j</t>
  </si>
  <si>
    <t>17j</t>
  </si>
  <si>
    <t>15j</t>
  </si>
  <si>
    <t>79j</t>
  </si>
  <si>
    <t>76j</t>
  </si>
  <si>
    <t>75j</t>
  </si>
  <si>
    <t>60j</t>
  </si>
  <si>
    <t>46j</t>
  </si>
  <si>
    <t>34j</t>
  </si>
  <si>
    <t>33j</t>
  </si>
  <si>
    <t>28j</t>
  </si>
  <si>
    <t>27j</t>
  </si>
  <si>
    <t>49j</t>
  </si>
  <si>
    <t>58j</t>
  </si>
  <si>
    <t>-1,9</t>
  </si>
  <si>
    <t>-0,8</t>
  </si>
  <si>
    <t>-Investissements</t>
  </si>
  <si>
    <t>-4,2</t>
  </si>
  <si>
    <t>-4,8</t>
  </si>
  <si>
    <t>-6,2</t>
  </si>
  <si>
    <t>-8,6</t>
  </si>
  <si>
    <t>-9,0</t>
  </si>
  <si>
    <t>-14,0</t>
  </si>
  <si>
    <t>-13,7</t>
  </si>
  <si>
    <t>=Flux d'investissement (2)</t>
  </si>
  <si>
    <t>-0,2</t>
  </si>
  <si>
    <t>-1,5</t>
  </si>
  <si>
    <t>-1,8</t>
  </si>
  <si>
    <t>Augmentation de capital</t>
  </si>
  <si>
    <t>Dividendes versés</t>
  </si>
  <si>
    <t>-0,1</t>
  </si>
  <si>
    <t>-1,3</t>
  </si>
  <si>
    <t>Variation de l’endettement</t>
  </si>
  <si>
    <t>-2,4</t>
  </si>
  <si>
    <t>-9,9</t>
  </si>
  <si>
    <t>-9,7</t>
  </si>
  <si>
    <t>-1,6</t>
  </si>
  <si>
    <t>-1,4 %</t>
  </si>
  <si>
    <t>= rentabilité de l’actif économique après IS</t>
  </si>
  <si>
    <t>-2,7 %</t>
  </si>
  <si>
    <t>-10,4 %</t>
  </si>
  <si>
    <t>-4,3 %</t>
  </si>
  <si>
    <t>-0,40%</t>
  </si>
  <si>
    <t>-16,7 %</t>
  </si>
  <si>
    <t>-45,6 %</t>
  </si>
  <si>
    <t>-23,0 %</t>
  </si>
  <si>
    <t>-1,8 %</t>
  </si>
  <si>
    <t>-19,4 %</t>
  </si>
  <si>
    <t>-39,2 %</t>
  </si>
  <si>
    <t>-15,6 %</t>
  </si>
  <si>
    <t>C 90 : Compte de résultat</t>
  </si>
  <si>
    <t>Données en milliards d'EUROS</t>
  </si>
  <si>
    <t xml:space="preserve">= RESULTAT NET </t>
  </si>
  <si>
    <t>- Intérêts minoritaires</t>
  </si>
  <si>
    <t>+ Part des sociétés mises en équivalence</t>
  </si>
  <si>
    <t>C 90 : compte de résultat en pourcentage</t>
  </si>
  <si>
    <t>= RESULTAT NET PART DU GROUPE</t>
  </si>
  <si>
    <t>Données en milliards d'euros</t>
  </si>
  <si>
    <t xml:space="preserve">BFR </t>
  </si>
  <si>
    <t>BFR de CA en jours</t>
  </si>
  <si>
    <t>+ Dotation aux amortissements</t>
  </si>
  <si>
    <t>- Variation du besoin en fonds de roulement</t>
  </si>
  <si>
    <t xml:space="preserve"> </t>
  </si>
  <si>
    <t>+ Augmentation / réduction de capital</t>
  </si>
  <si>
    <t>- Dividendes versés</t>
  </si>
  <si>
    <t>= Variation de l’endettement</t>
  </si>
  <si>
    <t>79,3</t>
  </si>
  <si>
    <t>96,7</t>
  </si>
  <si>
    <t>58,1</t>
  </si>
  <si>
    <t>Inflation</t>
  </si>
  <si>
    <t>IFRS</t>
  </si>
  <si>
    <t>DS-PIB</t>
  </si>
  <si>
    <t>DS-Inf</t>
  </si>
  <si>
    <t>#NA</t>
  </si>
  <si>
    <t>OAT-10</t>
  </si>
  <si>
    <t>PIBOR 3m</t>
  </si>
  <si>
    <t>TOM</t>
  </si>
  <si>
    <t>- Coûts des produits vendus</t>
  </si>
  <si>
    <t>dont consommation de matières</t>
  </si>
  <si>
    <t>x</t>
  </si>
  <si>
    <t>Other operating</t>
  </si>
  <si>
    <t>z</t>
  </si>
  <si>
    <t>x=purchase</t>
  </si>
  <si>
    <t>z=capitalised r&amp;d</t>
  </si>
  <si>
    <t>incluire x,y,z,goodwill</t>
  </si>
  <si>
    <t>y= cash granted to customers</t>
  </si>
  <si>
    <t>goodwill</t>
  </si>
  <si>
    <t>SG&amp;A</t>
  </si>
  <si>
    <t>Depr</t>
  </si>
  <si>
    <t>R&amp;D</t>
  </si>
  <si>
    <t>y</t>
  </si>
  <si>
    <t>NI</t>
  </si>
  <si>
    <t>= PRODUCTION (CHIFFRE D’AFFAIRES)</t>
  </si>
  <si>
    <t>= MARGE BRUTE</t>
  </si>
  <si>
    <t>+ Résultat non récurrent</t>
  </si>
  <si>
    <t xml:space="preserve">BFR en jours de CA </t>
  </si>
  <si>
    <t>BFR d’exploitation en jours de CA</t>
  </si>
  <si>
    <t>D 0 : Compte de résultat</t>
  </si>
  <si>
    <t>= CHIFFRE D’AFFAIRES</t>
  </si>
  <si>
    <t>- Frais généraux</t>
  </si>
  <si>
    <t>- R&amp;D</t>
  </si>
  <si>
    <t>- Autres frais d'exploitation</t>
  </si>
  <si>
    <t>- Dotations aux amortissements, variation des provisions</t>
  </si>
  <si>
    <t>= RESULTAT D'EXPLOITATION</t>
  </si>
  <si>
    <t>D 0 : compte de résultat en pourcentage</t>
  </si>
  <si>
    <t xml:space="preserve">= RESULTAT D'EXPLOITATION </t>
  </si>
  <si>
    <t>Source : Insee, Datastream</t>
  </si>
  <si>
    <t xml:space="preserve">            </t>
  </si>
  <si>
    <t>Taux d'intérêt LT</t>
  </si>
  <si>
    <t>Taux d'intérêt réel</t>
  </si>
  <si>
    <t>Croissance PIB</t>
  </si>
  <si>
    <t>29j</t>
  </si>
  <si>
    <t>95j</t>
  </si>
  <si>
    <t>156j</t>
  </si>
  <si>
    <t xml:space="preserve">= RESULTAT NET PART DU GROUPE </t>
  </si>
  <si>
    <t>Flux de très. disponibles après frais fi. (1 + 2)</t>
  </si>
  <si>
    <t>Cash flows disponibles après frais financiers (1 + 2)</t>
  </si>
  <si>
    <t>Start</t>
  </si>
  <si>
    <t>2004</t>
  </si>
  <si>
    <t>End</t>
  </si>
  <si>
    <t>2008</t>
  </si>
  <si>
    <t>Frequency</t>
  </si>
  <si>
    <t>Y</t>
  </si>
  <si>
    <t>Name</t>
  </si>
  <si>
    <t>FR ANNUAL INFLATION RATE</t>
  </si>
  <si>
    <t>Code</t>
  </si>
  <si>
    <t>FRCPANNL</t>
  </si>
  <si>
    <t>CURRENCY</t>
  </si>
  <si>
    <t>TL</t>
  </si>
  <si>
    <t>2005</t>
  </si>
  <si>
    <t>2006</t>
  </si>
  <si>
    <t>2007</t>
  </si>
  <si>
    <t>FR INTEREST RATE - LONG TERM NADJ</t>
  </si>
  <si>
    <t>FROCFILT</t>
  </si>
  <si>
    <t>FF</t>
  </si>
  <si>
    <t>FR INTEREST RATE - SHORT TERM NADJ</t>
  </si>
  <si>
    <t>FROCFIST</t>
  </si>
  <si>
    <t>D</t>
  </si>
  <si>
    <t>FR GDP (REAL, %YOY)</t>
  </si>
  <si>
    <t>FRDGDP..</t>
  </si>
  <si>
    <t>-0,13</t>
  </si>
  <si>
    <t>59j</t>
  </si>
  <si>
    <t>E 10 : Compte de résultat</t>
  </si>
  <si>
    <t>Chiffre d'affaires</t>
  </si>
  <si>
    <t>= Marge brute</t>
  </si>
  <si>
    <t>+/- Autres produits/coûts</t>
  </si>
  <si>
    <t>= Résultat d'exploitation</t>
  </si>
  <si>
    <t>= Résultat net</t>
  </si>
  <si>
    <t>= Résultat avant impôt</t>
  </si>
  <si>
    <t>- Coût de la dette</t>
  </si>
  <si>
    <t>En % du chiffre d'affaires</t>
  </si>
  <si>
    <t>E 10 : Bilan</t>
  </si>
  <si>
    <t>= Capitaux propres (3)</t>
  </si>
  <si>
    <t>Dette à long terme</t>
  </si>
  <si>
    <t>+ Dette à court terme</t>
  </si>
  <si>
    <t>- Trésorerie et équivalents</t>
  </si>
  <si>
    <t>+ Impôts différés (passif)</t>
  </si>
  <si>
    <t>- Impôts différés (actif)</t>
  </si>
  <si>
    <t>+ Intérêts minoritaires</t>
  </si>
  <si>
    <t>+ Créances clients</t>
  </si>
  <si>
    <t>- Dettes fournisseurs</t>
  </si>
  <si>
    <t>+ Autres actifs courants</t>
  </si>
  <si>
    <t>- Autre passif courant</t>
  </si>
  <si>
    <t>= Actifs immobilisés (1)</t>
  </si>
  <si>
    <t>Actifs hors exploitation</t>
  </si>
  <si>
    <t>- Passif hors exploitation</t>
  </si>
  <si>
    <t>Actifs d'exploitation = (1)+(2)+(3)</t>
  </si>
  <si>
    <t>Actif économique = (3)+(4)</t>
  </si>
  <si>
    <t>+ Immobilisations corporelles</t>
  </si>
  <si>
    <t>E 10: fonds de roulement</t>
  </si>
  <si>
    <t>Données en millions d'USD</t>
  </si>
  <si>
    <t>= BFR (2)</t>
  </si>
  <si>
    <t>= BFR hors exploitation (3)</t>
  </si>
  <si>
    <t>BFR</t>
  </si>
  <si>
    <t>BFR en jours de CA</t>
  </si>
  <si>
    <t>Stocks en jours de CA</t>
  </si>
  <si>
    <t>Créances clients en jours de CA</t>
  </si>
  <si>
    <t>Dettes fournisseurs en jours de CA</t>
  </si>
  <si>
    <t>E 10: Trésorerie</t>
  </si>
  <si>
    <t>= CAF</t>
  </si>
  <si>
    <t>+ Augmentation de capital en numéraire - rachat d'actions</t>
  </si>
  <si>
    <t>=  Flux de trésorerie d'exploitation  (1)</t>
  </si>
  <si>
    <t>- Investissements d'exploitation</t>
  </si>
  <si>
    <t>+ Dotations aux amortissements, aux dépréciations et aux provisions</t>
  </si>
  <si>
    <t>= Diminution (augmentation) de l'endettement net</t>
  </si>
  <si>
    <t>Flux de trésorerie disponible après frais financiers (1)+(2)</t>
  </si>
  <si>
    <t>-Variation du besoin en fonds de roulement</t>
  </si>
  <si>
    <t>+ Elements sans incidence sur la trésorerie</t>
  </si>
  <si>
    <t>+ Cessions d'immobilisations</t>
  </si>
  <si>
    <t>-  Achat de nouvelles filiales (net)</t>
  </si>
  <si>
    <t>E 10: Rentabilités</t>
  </si>
  <si>
    <t>Taux d'impôt sur les sociétés</t>
  </si>
  <si>
    <t>= Rentabilité économique après impôt</t>
  </si>
  <si>
    <t>Levier financier (endettement net / capitaux propres)</t>
  </si>
  <si>
    <t>Part de la rentabilité des capitaux propres due à l'effet de levier</t>
  </si>
  <si>
    <t>Rentabilité des capitaux propres en excluant les éléments non récurrents</t>
  </si>
  <si>
    <t>Coût de la dette après impôt</t>
  </si>
  <si>
    <t>Chiffre d'affaires / Actif économique (sauf immobilisations financières)</t>
  </si>
  <si>
    <t>Résultat d'exploitation après impôt / Chiffre d'affaires</t>
  </si>
  <si>
    <t>+ Goodwill</t>
  </si>
  <si>
    <t>Capitaux propres part du groupe</t>
  </si>
  <si>
    <t>= Endettement net (4)</t>
  </si>
  <si>
    <t>=&gt; impôt extraordinaire de 5 500 (US tax reform)</t>
  </si>
  <si>
    <t>-Investissements nets</t>
  </si>
  <si>
    <t>= Désendettement net</t>
  </si>
  <si>
    <t>-32j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</si>
</sst>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F_-;\-* #,##0.00\ _F_-;_-* &quot;-&quot;??\ _F_-;_-@_-"/>
    <numFmt numFmtId="165" formatCode="0.0"/>
    <numFmt numFmtId="166" formatCode="0.0%"/>
    <numFmt numFmtId="167" formatCode="yyyy"/>
    <numFmt numFmtId="168" formatCode="0.000"/>
    <numFmt numFmtId="169" formatCode="#&quot;j&quot;"/>
    <numFmt numFmtId="170" formatCode="0.000000"/>
    <numFmt numFmtId="171" formatCode="0.0000"/>
    <numFmt numFmtId="172" formatCode="#,##0.0"/>
    <numFmt numFmtId="173" formatCode="#,##0;\(#,##0\)"/>
    <numFmt numFmtId="174" formatCode="_-* #,##0\ _F_-;\-* #,##0\ _F_-;_-* &quot;-&quot;??\ _F_-;_-@_-"/>
    <numFmt numFmtId="175" formatCode="#&quot;d&quot;"/>
  </numFmts>
  <fonts count="15" x14ac:knownFonts="1">
    <font>
      <sz val="10"/>
      <name val="Arial"/>
      <charset val="204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8"/>
      <color indexed="12"/>
      <name val="Arial"/>
      <family val="2"/>
      <charset val="204"/>
    </font>
    <font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23"/>
      </bottom>
      <diagonal/>
    </border>
    <border>
      <left/>
      <right/>
      <top style="thin">
        <color auto="1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23"/>
      </top>
      <bottom/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thin">
        <color auto="1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23"/>
      </top>
      <bottom/>
      <diagonal/>
    </border>
    <border>
      <left/>
      <right style="thin">
        <color auto="1"/>
      </right>
      <top style="medium">
        <color indexed="23"/>
      </top>
      <bottom/>
      <diagonal/>
    </border>
    <border>
      <left style="thin">
        <color auto="1"/>
      </left>
      <right/>
      <top style="thick">
        <color indexed="23"/>
      </top>
      <bottom style="thin">
        <color auto="1"/>
      </bottom>
      <diagonal/>
    </border>
    <border>
      <left/>
      <right/>
      <top style="thick">
        <color indexed="23"/>
      </top>
      <bottom style="thin">
        <color auto="1"/>
      </bottom>
      <diagonal/>
    </border>
    <border>
      <left/>
      <right style="thin">
        <color auto="1"/>
      </right>
      <top style="thick">
        <color indexed="23"/>
      </top>
      <bottom style="thin">
        <color auto="1"/>
      </bottom>
      <diagonal/>
    </border>
    <border>
      <left style="thin">
        <color auto="1"/>
      </left>
      <right/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n">
        <color auto="1"/>
      </right>
      <top style="thick">
        <color indexed="23"/>
      </top>
      <bottom style="thick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auto="1"/>
      </bottom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 style="thick">
        <color indexed="23"/>
      </right>
      <top style="thin">
        <color auto="1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ck">
        <color indexed="23"/>
      </left>
      <right/>
      <top style="thick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medium">
        <color indexed="23"/>
      </bottom>
      <diagonal/>
    </border>
    <border>
      <left/>
      <right style="thick">
        <color indexed="23"/>
      </right>
      <top style="thick">
        <color indexed="23"/>
      </top>
      <bottom style="medium">
        <color indexed="23"/>
      </bottom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n">
        <color auto="1"/>
      </right>
      <top/>
      <bottom style="thick">
        <color indexed="23"/>
      </bottom>
      <diagonal/>
    </border>
    <border>
      <left/>
      <right style="thin">
        <color auto="1"/>
      </right>
      <top style="thin">
        <color indexed="23"/>
      </top>
      <bottom style="thick">
        <color indexed="23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indexed="23"/>
      </bottom>
      <diagonal/>
    </border>
    <border>
      <left/>
      <right/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ck">
        <color indexed="23"/>
      </bottom>
      <diagonal/>
    </border>
    <border>
      <left/>
      <right/>
      <top style="thin">
        <color auto="1"/>
      </top>
      <bottom style="thick">
        <color indexed="23"/>
      </bottom>
      <diagonal/>
    </border>
    <border>
      <left/>
      <right style="thin">
        <color auto="1"/>
      </right>
      <top style="thin">
        <color auto="1"/>
      </top>
      <bottom style="thick">
        <color indexed="23"/>
      </bottom>
      <diagonal/>
    </border>
    <border>
      <left style="thin">
        <color auto="1"/>
      </left>
      <right/>
      <top style="thick">
        <color indexed="23"/>
      </top>
      <bottom/>
      <diagonal/>
    </border>
    <border>
      <left style="thin">
        <color auto="1"/>
      </left>
      <right/>
      <top style="thin">
        <color indexed="23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23"/>
      </top>
      <bottom style="thin">
        <color indexed="22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n">
        <color auto="1"/>
      </left>
      <right/>
      <top/>
      <bottom style="medium">
        <color indexed="23"/>
      </bottom>
      <diagonal/>
    </border>
    <border>
      <left/>
      <right style="thin">
        <color auto="1"/>
      </right>
      <top style="thick">
        <color indexed="23"/>
      </top>
      <bottom style="medium">
        <color indexed="23"/>
      </bottom>
      <diagonal/>
    </border>
    <border>
      <left/>
      <right style="thin">
        <color auto="1"/>
      </right>
      <top/>
      <bottom style="medium">
        <color indexed="23"/>
      </bottom>
      <diagonal/>
    </border>
    <border>
      <left/>
      <right style="thin">
        <color auto="1"/>
      </right>
      <top style="medium">
        <color indexed="23"/>
      </top>
      <bottom style="thick">
        <color indexed="2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66">
    <xf numFmtId="0" fontId="0" fillId="0" borderId="0" xfId="0"/>
    <xf numFmtId="0" fontId="0" fillId="0" borderId="1" xfId="0" applyFill="1" applyBorder="1" applyAlignment="1"/>
    <xf numFmtId="0" fontId="0" fillId="0" borderId="2" xfId="0" applyFill="1" applyBorder="1" applyAlignment="1"/>
    <xf numFmtId="0" fontId="4" fillId="0" borderId="3" xfId="0" applyFont="1" applyFill="1" applyBorder="1" applyAlignment="1">
      <alignment horizontal="center"/>
    </xf>
    <xf numFmtId="10" fontId="0" fillId="0" borderId="1" xfId="0" applyNumberFormat="1" applyFill="1" applyBorder="1" applyAlignment="1"/>
    <xf numFmtId="49" fontId="0" fillId="0" borderId="1" xfId="0" applyNumberFormat="1" applyFill="1" applyBorder="1" applyAlignment="1"/>
    <xf numFmtId="49" fontId="0" fillId="0" borderId="0" xfId="0" applyNumberFormat="1"/>
    <xf numFmtId="49" fontId="0" fillId="0" borderId="1" xfId="0" quotePrefix="1" applyNumberFormat="1" applyFill="1" applyBorder="1" applyAlignment="1"/>
    <xf numFmtId="0" fontId="0" fillId="0" borderId="1" xfId="0" quotePrefix="1" applyFill="1" applyBorder="1" applyAlignment="1"/>
    <xf numFmtId="165" fontId="0" fillId="0" borderId="1" xfId="0" applyNumberFormat="1" applyFill="1" applyBorder="1" applyAlignment="1"/>
    <xf numFmtId="165" fontId="0" fillId="0" borderId="0" xfId="0" applyNumberFormat="1"/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1" fillId="0" borderId="1" xfId="0" applyFont="1" applyFill="1" applyBorder="1" applyAlignment="1"/>
    <xf numFmtId="0" fontId="1" fillId="0" borderId="0" xfId="0" applyFont="1"/>
    <xf numFmtId="0" fontId="1" fillId="0" borderId="2" xfId="0" applyFont="1" applyFill="1" applyBorder="1" applyAlignment="1"/>
    <xf numFmtId="0" fontId="1" fillId="0" borderId="1" xfId="0" quotePrefix="1" applyFont="1" applyFill="1" applyBorder="1" applyAlignment="1"/>
    <xf numFmtId="0" fontId="1" fillId="0" borderId="1" xfId="0" quotePrefix="1" applyFont="1" applyFill="1" applyBorder="1" applyAlignment="1">
      <alignment horizontal="right"/>
    </xf>
    <xf numFmtId="165" fontId="0" fillId="0" borderId="0" xfId="0" quotePrefix="1" applyNumberFormat="1" applyFill="1" applyBorder="1" applyAlignment="1"/>
    <xf numFmtId="0" fontId="0" fillId="0" borderId="0" xfId="0" quotePrefix="1" applyFill="1" applyBorder="1" applyAlignment="1"/>
    <xf numFmtId="0" fontId="4" fillId="0" borderId="3" xfId="0" applyFont="1" applyFill="1" applyBorder="1" applyAlignment="1">
      <alignment horizontal="right"/>
    </xf>
    <xf numFmtId="0" fontId="0" fillId="0" borderId="0" xfId="0" applyAlignment="1">
      <alignment horizontal="right"/>
    </xf>
    <xf numFmtId="49" fontId="4" fillId="0" borderId="3" xfId="0" applyNumberFormat="1" applyFont="1" applyFill="1" applyBorder="1" applyAlignment="1">
      <alignment horizontal="right"/>
    </xf>
    <xf numFmtId="0" fontId="1" fillId="0" borderId="2" xfId="0" quotePrefix="1" applyFont="1" applyFill="1" applyBorder="1" applyAlignment="1"/>
    <xf numFmtId="166" fontId="0" fillId="0" borderId="1" xfId="0" applyNumberFormat="1" applyFill="1" applyBorder="1" applyAlignment="1"/>
    <xf numFmtId="166" fontId="1" fillId="0" borderId="1" xfId="0" applyNumberFormat="1" applyFont="1" applyFill="1" applyBorder="1" applyAlignment="1"/>
    <xf numFmtId="166" fontId="0" fillId="0" borderId="2" xfId="0" applyNumberFormat="1" applyFill="1" applyBorder="1" applyAlignment="1"/>
    <xf numFmtId="49" fontId="4" fillId="0" borderId="4" xfId="0" applyNumberFormat="1" applyFont="1" applyFill="1" applyBorder="1" applyAlignment="1">
      <alignment horizontal="right"/>
    </xf>
    <xf numFmtId="0" fontId="0" fillId="0" borderId="5" xfId="0" applyFill="1" applyBorder="1" applyAlignment="1"/>
    <xf numFmtId="49" fontId="0" fillId="0" borderId="0" xfId="0" quotePrefix="1" applyNumberFormat="1" applyFill="1" applyBorder="1" applyAlignment="1"/>
    <xf numFmtId="0" fontId="0" fillId="0" borderId="6" xfId="0" applyBorder="1"/>
    <xf numFmtId="0" fontId="0" fillId="0" borderId="1" xfId="0" quotePrefix="1" applyFill="1" applyBorder="1" applyAlignment="1">
      <alignment horizontal="right"/>
    </xf>
    <xf numFmtId="165" fontId="0" fillId="0" borderId="1" xfId="0" quotePrefix="1" applyNumberFormat="1" applyFill="1" applyBorder="1" applyAlignment="1"/>
    <xf numFmtId="49" fontId="0" fillId="0" borderId="1" xfId="0" quotePrefix="1" applyNumberFormat="1" applyFill="1" applyBorder="1" applyAlignment="1">
      <alignment horizontal="left"/>
    </xf>
    <xf numFmtId="165" fontId="0" fillId="0" borderId="1" xfId="0" quotePrefix="1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0" fillId="0" borderId="5" xfId="0" applyNumberFormat="1" applyFill="1" applyBorder="1" applyAlignment="1">
      <alignment horizontal="right"/>
    </xf>
    <xf numFmtId="165" fontId="0" fillId="0" borderId="0" xfId="0" quotePrefix="1" applyNumberFormat="1" applyAlignment="1">
      <alignment horizontal="right"/>
    </xf>
    <xf numFmtId="0" fontId="1" fillId="0" borderId="7" xfId="0" quotePrefix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7" xfId="0" applyFont="1" applyBorder="1"/>
    <xf numFmtId="0" fontId="1" fillId="0" borderId="0" xfId="0" quotePrefix="1" applyFont="1" applyFill="1" applyBorder="1" applyAlignment="1"/>
    <xf numFmtId="0" fontId="1" fillId="0" borderId="0" xfId="0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1" xfId="0" quotePrefix="1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/>
    <xf numFmtId="0" fontId="1" fillId="0" borderId="5" xfId="0" quotePrefix="1" applyNumberFormat="1" applyFont="1" applyFill="1" applyBorder="1" applyAlignment="1">
      <alignment horizontal="right"/>
    </xf>
    <xf numFmtId="166" fontId="1" fillId="0" borderId="5" xfId="0" applyNumberFormat="1" applyFont="1" applyFill="1" applyBorder="1" applyAlignment="1">
      <alignment horizontal="right"/>
    </xf>
    <xf numFmtId="166" fontId="0" fillId="0" borderId="1" xfId="0" quotePrefix="1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0" quotePrefix="1" applyNumberFormat="1" applyFont="1" applyFill="1" applyBorder="1" applyAlignment="1"/>
    <xf numFmtId="49" fontId="1" fillId="0" borderId="2" xfId="0" quotePrefix="1" applyNumberFormat="1" applyFont="1" applyFill="1" applyBorder="1" applyAlignment="1"/>
    <xf numFmtId="165" fontId="0" fillId="0" borderId="0" xfId="0" applyNumberFormat="1" applyFill="1" applyBorder="1" applyAlignment="1"/>
    <xf numFmtId="0" fontId="0" fillId="0" borderId="6" xfId="0" quotePrefix="1" applyFill="1" applyBorder="1" applyAlignment="1"/>
    <xf numFmtId="0" fontId="0" fillId="0" borderId="6" xfId="0" applyFill="1" applyBorder="1" applyAlignment="1"/>
    <xf numFmtId="0" fontId="1" fillId="0" borderId="0" xfId="0" applyFont="1" applyBorder="1"/>
    <xf numFmtId="9" fontId="0" fillId="0" borderId="0" xfId="0" applyNumberFormat="1" applyFill="1" applyBorder="1" applyAlignment="1"/>
    <xf numFmtId="166" fontId="1" fillId="0" borderId="0" xfId="0" applyNumberFormat="1" applyFont="1" applyFill="1" applyBorder="1" applyAlignment="1"/>
    <xf numFmtId="0" fontId="0" fillId="0" borderId="0" xfId="0" quotePrefix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49" fontId="1" fillId="0" borderId="0" xfId="0" quotePrefix="1" applyNumberFormat="1" applyFont="1" applyFill="1" applyBorder="1" applyAlignment="1"/>
    <xf numFmtId="0" fontId="0" fillId="0" borderId="0" xfId="0" applyFill="1" applyBorder="1" applyAlignment="1">
      <alignment horizontal="right"/>
    </xf>
    <xf numFmtId="165" fontId="0" fillId="0" borderId="0" xfId="0" quotePrefix="1" applyNumberFormat="1" applyFill="1" applyBorder="1" applyAlignment="1">
      <alignment horizontal="right"/>
    </xf>
    <xf numFmtId="0" fontId="1" fillId="0" borderId="2" xfId="0" quotePrefix="1" applyFont="1" applyFill="1" applyBorder="1" applyAlignment="1">
      <alignment horizontal="right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0" xfId="0" applyFont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Border="1"/>
    <xf numFmtId="0" fontId="1" fillId="0" borderId="5" xfId="0" applyFont="1" applyFill="1" applyBorder="1" applyAlignment="1"/>
    <xf numFmtId="165" fontId="1" fillId="0" borderId="5" xfId="0" applyNumberFormat="1" applyFont="1" applyFill="1" applyBorder="1" applyAlignment="1">
      <alignment horizontal="right"/>
    </xf>
    <xf numFmtId="0" fontId="1" fillId="0" borderId="4" xfId="0" applyFont="1" applyBorder="1"/>
    <xf numFmtId="165" fontId="0" fillId="0" borderId="5" xfId="0" quotePrefix="1" applyNumberFormat="1" applyFill="1" applyBorder="1" applyAlignment="1">
      <alignment horizontal="right"/>
    </xf>
    <xf numFmtId="0" fontId="0" fillId="0" borderId="6" xfId="0" quotePrefix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7" xfId="0" quotePrefix="1" applyFont="1" applyFill="1" applyBorder="1" applyAlignment="1"/>
    <xf numFmtId="0" fontId="1" fillId="0" borderId="5" xfId="0" quotePrefix="1" applyFont="1" applyFill="1" applyBorder="1" applyAlignment="1"/>
    <xf numFmtId="0" fontId="1" fillId="0" borderId="5" xfId="0" applyFont="1" applyBorder="1"/>
    <xf numFmtId="165" fontId="1" fillId="0" borderId="4" xfId="0" applyNumberFormat="1" applyFont="1" applyFill="1" applyBorder="1" applyAlignment="1">
      <alignment horizontal="right"/>
    </xf>
    <xf numFmtId="165" fontId="1" fillId="0" borderId="4" xfId="0" quotePrefix="1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9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/>
    <xf numFmtId="0" fontId="1" fillId="0" borderId="1" xfId="0" quotePrefix="1" applyNumberFormat="1" applyFont="1" applyFill="1" applyBorder="1" applyAlignment="1">
      <alignment horizontal="right"/>
    </xf>
    <xf numFmtId="0" fontId="0" fillId="0" borderId="9" xfId="0" applyFill="1" applyBorder="1" applyAlignment="1"/>
    <xf numFmtId="165" fontId="0" fillId="0" borderId="10" xfId="0" applyNumberForma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0" fontId="0" fillId="0" borderId="10" xfId="0" applyBorder="1"/>
    <xf numFmtId="9" fontId="0" fillId="0" borderId="1" xfId="0" applyNumberFormat="1" applyFill="1" applyBorder="1" applyAlignment="1"/>
    <xf numFmtId="9" fontId="0" fillId="0" borderId="0" xfId="0" applyNumberFormat="1"/>
    <xf numFmtId="49" fontId="1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/>
    </xf>
    <xf numFmtId="9" fontId="1" fillId="0" borderId="0" xfId="0" applyNumberFormat="1" applyFont="1" applyFill="1" applyBorder="1" applyAlignment="1"/>
    <xf numFmtId="166" fontId="0" fillId="0" borderId="0" xfId="0" applyNumberFormat="1"/>
    <xf numFmtId="166" fontId="0" fillId="0" borderId="0" xfId="0" applyNumberFormat="1" applyBorder="1"/>
    <xf numFmtId="166" fontId="0" fillId="0" borderId="0" xfId="0" applyNumberFormat="1" applyFill="1" applyBorder="1" applyAlignment="1"/>
    <xf numFmtId="166" fontId="0" fillId="0" borderId="0" xfId="0" quotePrefix="1" applyNumberFormat="1" applyFill="1" applyBorder="1" applyAlignment="1">
      <alignment horizontal="right"/>
    </xf>
    <xf numFmtId="166" fontId="1" fillId="0" borderId="2" xfId="0" quotePrefix="1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66" fontId="1" fillId="0" borderId="2" xfId="0" applyNumberFormat="1" applyFont="1" applyFill="1" applyBorder="1" applyAlignment="1"/>
    <xf numFmtId="49" fontId="3" fillId="0" borderId="1" xfId="0" applyNumberFormat="1" applyFont="1" applyFill="1" applyBorder="1" applyAlignment="1"/>
    <xf numFmtId="166" fontId="3" fillId="0" borderId="1" xfId="0" applyNumberFormat="1" applyFont="1" applyFill="1" applyBorder="1" applyAlignment="1"/>
    <xf numFmtId="0" fontId="3" fillId="0" borderId="0" xfId="0" applyFont="1"/>
    <xf numFmtId="9" fontId="1" fillId="0" borderId="1" xfId="0" applyNumberFormat="1" applyFont="1" applyFill="1" applyBorder="1" applyAlignment="1"/>
    <xf numFmtId="0" fontId="1" fillId="0" borderId="0" xfId="0" quotePrefix="1" applyFont="1" applyFill="1" applyBorder="1" applyAlignment="1">
      <alignment horizontal="right"/>
    </xf>
    <xf numFmtId="0" fontId="1" fillId="0" borderId="5" xfId="0" quotePrefix="1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166" fontId="1" fillId="0" borderId="5" xfId="0" quotePrefix="1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49" fontId="3" fillId="0" borderId="1" xfId="0" quotePrefix="1" applyNumberFormat="1" applyFont="1" applyFill="1" applyBorder="1" applyAlignment="1"/>
    <xf numFmtId="49" fontId="1" fillId="0" borderId="1" xfId="0" applyNumberFormat="1" applyFont="1" applyFill="1" applyBorder="1" applyAlignment="1"/>
    <xf numFmtId="49" fontId="4" fillId="0" borderId="11" xfId="0" applyNumberFormat="1" applyFont="1" applyFill="1" applyBorder="1" applyAlignment="1">
      <alignment horizontal="left"/>
    </xf>
    <xf numFmtId="167" fontId="4" fillId="0" borderId="12" xfId="0" applyNumberFormat="1" applyFont="1" applyFill="1" applyBorder="1" applyAlignment="1">
      <alignment horizontal="right"/>
    </xf>
    <xf numFmtId="167" fontId="4" fillId="0" borderId="13" xfId="0" applyNumberFormat="1" applyFont="1" applyFill="1" applyBorder="1" applyAlignment="1">
      <alignment horizontal="right"/>
    </xf>
    <xf numFmtId="49" fontId="0" fillId="0" borderId="14" xfId="0" applyNumberFormat="1" applyFill="1" applyBorder="1" applyAlignment="1"/>
    <xf numFmtId="0" fontId="0" fillId="0" borderId="15" xfId="0" applyFill="1" applyBorder="1" applyAlignment="1"/>
    <xf numFmtId="49" fontId="1" fillId="0" borderId="16" xfId="0" quotePrefix="1" applyNumberFormat="1" applyFont="1" applyFill="1" applyBorder="1" applyAlignment="1"/>
    <xf numFmtId="2" fontId="0" fillId="0" borderId="17" xfId="0" applyNumberFormat="1" applyFill="1" applyBorder="1" applyAlignment="1"/>
    <xf numFmtId="2" fontId="0" fillId="0" borderId="3" xfId="0" applyNumberFormat="1" applyFill="1" applyBorder="1" applyAlignment="1"/>
    <xf numFmtId="2" fontId="0" fillId="0" borderId="18" xfId="0" applyNumberFormat="1" applyFill="1" applyBorder="1" applyAlignment="1"/>
    <xf numFmtId="49" fontId="0" fillId="0" borderId="14" xfId="0" quotePrefix="1" applyNumberFormat="1" applyFill="1" applyBorder="1" applyAlignment="1"/>
    <xf numFmtId="0" fontId="0" fillId="0" borderId="17" xfId="0" applyFill="1" applyBorder="1" applyAlignment="1"/>
    <xf numFmtId="2" fontId="0" fillId="0" borderId="0" xfId="0" applyNumberFormat="1" applyFill="1" applyBorder="1" applyAlignment="1"/>
    <xf numFmtId="0" fontId="0" fillId="0" borderId="19" xfId="0" applyFill="1" applyBorder="1" applyAlignment="1"/>
    <xf numFmtId="49" fontId="0" fillId="0" borderId="20" xfId="0" quotePrefix="1" applyNumberFormat="1" applyFill="1" applyBorder="1" applyAlignment="1"/>
    <xf numFmtId="2" fontId="0" fillId="0" borderId="1" xfId="0" applyNumberFormat="1" applyFill="1" applyBorder="1" applyAlignment="1"/>
    <xf numFmtId="2" fontId="0" fillId="0" borderId="6" xfId="0" applyNumberFormat="1" applyFill="1" applyBorder="1" applyAlignment="1"/>
    <xf numFmtId="165" fontId="0" fillId="0" borderId="20" xfId="0" quotePrefix="1" applyNumberFormat="1" applyFill="1" applyBorder="1" applyAlignment="1"/>
    <xf numFmtId="2" fontId="0" fillId="0" borderId="15" xfId="0" applyNumberFormat="1" applyFill="1" applyBorder="1" applyAlignment="1"/>
    <xf numFmtId="49" fontId="1" fillId="0" borderId="16" xfId="0" quotePrefix="1" applyNumberFormat="1" applyFont="1" applyFill="1" applyBorder="1" applyAlignment="1">
      <alignment horizontal="left"/>
    </xf>
    <xf numFmtId="49" fontId="0" fillId="0" borderId="14" xfId="0" quotePrefix="1" applyNumberFormat="1" applyFill="1" applyBorder="1" applyAlignment="1">
      <alignment horizontal="left"/>
    </xf>
    <xf numFmtId="165" fontId="0" fillId="0" borderId="14" xfId="0" quotePrefix="1" applyNumberFormat="1" applyFill="1" applyBorder="1" applyAlignment="1"/>
    <xf numFmtId="2" fontId="0" fillId="0" borderId="19" xfId="0" applyNumberFormat="1" applyFill="1" applyBorder="1" applyAlignment="1"/>
    <xf numFmtId="2" fontId="0" fillId="0" borderId="21" xfId="0" applyNumberFormat="1" applyFill="1" applyBorder="1" applyAlignment="1"/>
    <xf numFmtId="49" fontId="1" fillId="0" borderId="22" xfId="0" quotePrefix="1" applyNumberFormat="1" applyFont="1" applyFill="1" applyBorder="1" applyAlignment="1">
      <alignment wrapText="1"/>
    </xf>
    <xf numFmtId="2" fontId="0" fillId="0" borderId="10" xfId="0" applyNumberFormat="1" applyFill="1" applyBorder="1" applyAlignment="1"/>
    <xf numFmtId="2" fontId="0" fillId="0" borderId="23" xfId="0" applyNumberFormat="1" applyFill="1" applyBorder="1" applyAlignment="1"/>
    <xf numFmtId="2" fontId="0" fillId="0" borderId="24" xfId="0" applyNumberFormat="1" applyFill="1" applyBorder="1" applyAlignment="1"/>
    <xf numFmtId="49" fontId="6" fillId="0" borderId="0" xfId="0" applyNumberFormat="1" applyFont="1" applyFill="1" applyBorder="1" applyAlignment="1">
      <alignment horizontal="center"/>
    </xf>
    <xf numFmtId="49" fontId="1" fillId="0" borderId="0" xfId="0" quotePrefix="1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>
      <alignment horizontal="right"/>
    </xf>
    <xf numFmtId="0" fontId="0" fillId="0" borderId="21" xfId="0" applyBorder="1"/>
    <xf numFmtId="0" fontId="0" fillId="0" borderId="19" xfId="0" applyBorder="1"/>
    <xf numFmtId="49" fontId="1" fillId="0" borderId="25" xfId="0" quotePrefix="1" applyNumberFormat="1" applyFont="1" applyFill="1" applyBorder="1" applyAlignment="1"/>
    <xf numFmtId="9" fontId="1" fillId="0" borderId="5" xfId="0" applyNumberFormat="1" applyFont="1" applyFill="1" applyBorder="1" applyAlignment="1"/>
    <xf numFmtId="9" fontId="1" fillId="0" borderId="26" xfId="0" applyNumberFormat="1" applyFont="1" applyFill="1" applyBorder="1" applyAlignment="1"/>
    <xf numFmtId="166" fontId="0" fillId="0" borderId="1" xfId="0" applyNumberFormat="1" applyBorder="1"/>
    <xf numFmtId="166" fontId="0" fillId="0" borderId="10" xfId="0" applyNumberFormat="1" applyBorder="1"/>
    <xf numFmtId="166" fontId="0" fillId="0" borderId="27" xfId="0" applyNumberFormat="1" applyBorder="1"/>
    <xf numFmtId="166" fontId="0" fillId="0" borderId="19" xfId="0" applyNumberFormat="1" applyBorder="1"/>
    <xf numFmtId="166" fontId="0" fillId="0" borderId="15" xfId="0" applyNumberFormat="1" applyFill="1" applyBorder="1" applyAlignment="1"/>
    <xf numFmtId="49" fontId="1" fillId="0" borderId="28" xfId="0" quotePrefix="1" applyNumberFormat="1" applyFont="1" applyFill="1" applyBorder="1" applyAlignment="1">
      <alignment horizontal="left"/>
    </xf>
    <xf numFmtId="166" fontId="1" fillId="0" borderId="0" xfId="0" quotePrefix="1" applyNumberFormat="1" applyFont="1" applyFill="1" applyBorder="1" applyAlignment="1">
      <alignment horizontal="right"/>
    </xf>
    <xf numFmtId="166" fontId="1" fillId="0" borderId="29" xfId="0" quotePrefix="1" applyNumberFormat="1" applyFont="1" applyFill="1" applyBorder="1" applyAlignment="1">
      <alignment horizontal="right"/>
    </xf>
    <xf numFmtId="166" fontId="1" fillId="0" borderId="30" xfId="0" quotePrefix="1" applyNumberFormat="1" applyFont="1" applyFill="1" applyBorder="1" applyAlignment="1">
      <alignment horizontal="right"/>
    </xf>
    <xf numFmtId="166" fontId="0" fillId="0" borderId="19" xfId="0" quotePrefix="1" applyNumberFormat="1" applyFill="1" applyBorder="1" applyAlignment="1">
      <alignment horizontal="right"/>
    </xf>
    <xf numFmtId="166" fontId="0" fillId="0" borderId="19" xfId="0" applyNumberFormat="1" applyFill="1" applyBorder="1" applyAlignment="1"/>
    <xf numFmtId="49" fontId="1" fillId="0" borderId="28" xfId="0" quotePrefix="1" applyNumberFormat="1" applyFont="1" applyFill="1" applyBorder="1" applyAlignment="1"/>
    <xf numFmtId="2" fontId="1" fillId="0" borderId="0" xfId="0" quotePrefix="1" applyNumberFormat="1" applyFont="1" applyFill="1" applyBorder="1" applyAlignment="1">
      <alignment horizontal="right"/>
    </xf>
    <xf numFmtId="166" fontId="1" fillId="0" borderId="29" xfId="3" quotePrefix="1" applyNumberFormat="1" applyFont="1" applyFill="1" applyBorder="1" applyAlignment="1">
      <alignment horizontal="right"/>
    </xf>
    <xf numFmtId="166" fontId="1" fillId="0" borderId="30" xfId="3" quotePrefix="1" applyNumberFormat="1" applyFont="1" applyFill="1" applyBorder="1" applyAlignment="1">
      <alignment horizontal="right"/>
    </xf>
    <xf numFmtId="49" fontId="1" fillId="0" borderId="22" xfId="0" quotePrefix="1" applyNumberFormat="1" applyFont="1" applyFill="1" applyBorder="1" applyAlignment="1"/>
    <xf numFmtId="2" fontId="1" fillId="0" borderId="10" xfId="0" quotePrefix="1" applyNumberFormat="1" applyFont="1" applyFill="1" applyBorder="1" applyAlignment="1">
      <alignment horizontal="right"/>
    </xf>
    <xf numFmtId="166" fontId="1" fillId="0" borderId="23" xfId="3" quotePrefix="1" applyNumberFormat="1" applyFont="1" applyFill="1" applyBorder="1" applyAlignment="1">
      <alignment horizontal="right"/>
    </xf>
    <xf numFmtId="166" fontId="1" fillId="0" borderId="24" xfId="3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167" fontId="4" fillId="0" borderId="32" xfId="0" applyNumberFormat="1" applyFont="1" applyFill="1" applyBorder="1" applyAlignment="1">
      <alignment horizontal="right"/>
    </xf>
    <xf numFmtId="167" fontId="4" fillId="0" borderId="33" xfId="0" applyNumberFormat="1" applyFont="1" applyFill="1" applyBorder="1" applyAlignment="1">
      <alignment horizontal="right"/>
    </xf>
    <xf numFmtId="0" fontId="0" fillId="0" borderId="34" xfId="0" applyFill="1" applyBorder="1" applyAlignment="1"/>
    <xf numFmtId="2" fontId="0" fillId="0" borderId="6" xfId="0" applyNumberFormat="1" applyFill="1" applyBorder="1" applyAlignment="1">
      <alignment horizontal="right"/>
    </xf>
    <xf numFmtId="2" fontId="0" fillId="0" borderId="6" xfId="0" applyNumberFormat="1" applyBorder="1"/>
    <xf numFmtId="2" fontId="0" fillId="0" borderId="35" xfId="0" applyNumberFormat="1" applyBorder="1"/>
    <xf numFmtId="0" fontId="0" fillId="0" borderId="14" xfId="0" applyFill="1" applyBorder="1" applyAlignment="1"/>
    <xf numFmtId="2" fontId="0" fillId="0" borderId="0" xfId="0" applyNumberFormat="1" applyFill="1" applyBorder="1" applyAlignment="1">
      <alignment horizontal="right"/>
    </xf>
    <xf numFmtId="2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14" xfId="0" quotePrefix="1" applyFill="1" applyBorder="1" applyAlignment="1"/>
    <xf numFmtId="0" fontId="0" fillId="0" borderId="20" xfId="0" quotePrefix="1" applyFill="1" applyBorder="1" applyAlignment="1"/>
    <xf numFmtId="2" fontId="0" fillId="0" borderId="1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0" fontId="1" fillId="0" borderId="28" xfId="0" applyFont="1" applyFill="1" applyBorder="1" applyAlignment="1"/>
    <xf numFmtId="165" fontId="1" fillId="0" borderId="29" xfId="0" applyNumberFormat="1" applyFont="1" applyFill="1" applyBorder="1" applyAlignment="1">
      <alignment horizontal="right"/>
    </xf>
    <xf numFmtId="2" fontId="1" fillId="0" borderId="29" xfId="0" applyNumberFormat="1" applyFont="1" applyFill="1" applyBorder="1" applyAlignment="1">
      <alignment horizontal="right"/>
    </xf>
    <xf numFmtId="2" fontId="1" fillId="0" borderId="30" xfId="0" applyNumberFormat="1" applyFont="1" applyFill="1" applyBorder="1" applyAlignment="1">
      <alignment horizontal="right"/>
    </xf>
    <xf numFmtId="0" fontId="1" fillId="0" borderId="14" xfId="0" applyFont="1" applyFill="1" applyBorder="1" applyAlignment="1"/>
    <xf numFmtId="2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Border="1"/>
    <xf numFmtId="2" fontId="1" fillId="0" borderId="19" xfId="0" applyNumberFormat="1" applyFont="1" applyBorder="1"/>
    <xf numFmtId="0" fontId="0" fillId="0" borderId="20" xfId="0" applyFill="1" applyBorder="1" applyAlignment="1"/>
    <xf numFmtId="2" fontId="0" fillId="0" borderId="19" xfId="0" applyNumberFormat="1" applyFill="1" applyBorder="1" applyAlignment="1">
      <alignment horizontal="right"/>
    </xf>
    <xf numFmtId="2" fontId="0" fillId="0" borderId="10" xfId="0" applyNumberFormat="1" applyBorder="1"/>
    <xf numFmtId="2" fontId="0" fillId="0" borderId="27" xfId="0" applyNumberFormat="1" applyBorder="1"/>
    <xf numFmtId="2" fontId="0" fillId="0" borderId="19" xfId="0" applyNumberFormat="1" applyBorder="1"/>
    <xf numFmtId="0" fontId="0" fillId="0" borderId="16" xfId="0" applyFill="1" applyBorder="1" applyAlignment="1"/>
    <xf numFmtId="2" fontId="0" fillId="0" borderId="3" xfId="0" applyNumberFormat="1" applyFill="1" applyBorder="1" applyAlignment="1">
      <alignment horizontal="right"/>
    </xf>
    <xf numFmtId="2" fontId="0" fillId="0" borderId="18" xfId="0" applyNumberFormat="1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0" fontId="0" fillId="0" borderId="16" xfId="0" quotePrefix="1" applyFill="1" applyBorder="1" applyAlignment="1"/>
    <xf numFmtId="2" fontId="0" fillId="0" borderId="3" xfId="0" quotePrefix="1" applyNumberForma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0" fontId="1" fillId="0" borderId="22" xfId="0" applyFont="1" applyFill="1" applyBorder="1" applyAlignment="1"/>
    <xf numFmtId="165" fontId="1" fillId="0" borderId="23" xfId="0" applyNumberFormat="1" applyFont="1" applyFill="1" applyBorder="1" applyAlignment="1">
      <alignment horizontal="right"/>
    </xf>
    <xf numFmtId="2" fontId="1" fillId="0" borderId="23" xfId="0" applyNumberFormat="1" applyFont="1" applyFill="1" applyBorder="1" applyAlignment="1">
      <alignment horizontal="right"/>
    </xf>
    <xf numFmtId="2" fontId="1" fillId="0" borderId="24" xfId="0" applyNumberFormat="1" applyFont="1" applyFill="1" applyBorder="1" applyAlignment="1">
      <alignment horizontal="right"/>
    </xf>
    <xf numFmtId="2" fontId="0" fillId="0" borderId="0" xfId="0" applyNumberFormat="1"/>
    <xf numFmtId="167" fontId="4" fillId="0" borderId="29" xfId="0" applyNumberFormat="1" applyFont="1" applyFill="1" applyBorder="1" applyAlignment="1">
      <alignment horizontal="right"/>
    </xf>
    <xf numFmtId="167" fontId="4" fillId="0" borderId="36" xfId="0" applyNumberFormat="1" applyFont="1" applyFill="1" applyBorder="1" applyAlignment="1">
      <alignment horizontal="right"/>
    </xf>
    <xf numFmtId="0" fontId="0" fillId="0" borderId="37" xfId="0" applyFill="1" applyBorder="1" applyAlignment="1"/>
    <xf numFmtId="2" fontId="0" fillId="0" borderId="23" xfId="0" applyNumberFormat="1" applyFill="1" applyBorder="1" applyAlignment="1">
      <alignment horizontal="right"/>
    </xf>
    <xf numFmtId="2" fontId="0" fillId="0" borderId="38" xfId="0" applyNumberFormat="1" applyFill="1" applyBorder="1" applyAlignment="1">
      <alignment horizontal="right"/>
    </xf>
    <xf numFmtId="0" fontId="0" fillId="0" borderId="39" xfId="0" applyFill="1" applyBorder="1" applyAlignment="1"/>
    <xf numFmtId="2" fontId="0" fillId="0" borderId="40" xfId="0" applyNumberFormat="1" applyFill="1" applyBorder="1" applyAlignment="1">
      <alignment horizontal="right"/>
    </xf>
    <xf numFmtId="169" fontId="0" fillId="0" borderId="0" xfId="0" applyNumberFormat="1"/>
    <xf numFmtId="169" fontId="0" fillId="0" borderId="1" xfId="0" applyNumberFormat="1" applyFill="1" applyBorder="1" applyAlignment="1">
      <alignment horizontal="right"/>
    </xf>
    <xf numFmtId="169" fontId="0" fillId="0" borderId="41" xfId="0" applyNumberFormat="1" applyFill="1" applyBorder="1" applyAlignment="1">
      <alignment horizontal="right"/>
    </xf>
    <xf numFmtId="0" fontId="0" fillId="0" borderId="42" xfId="0" applyFill="1" applyBorder="1" applyAlignment="1"/>
    <xf numFmtId="169" fontId="0" fillId="0" borderId="43" xfId="0" applyNumberFormat="1" applyFill="1" applyBorder="1" applyAlignment="1">
      <alignment horizontal="right"/>
    </xf>
    <xf numFmtId="169" fontId="0" fillId="0" borderId="44" xfId="0" applyNumberFormat="1" applyFill="1" applyBorder="1" applyAlignment="1">
      <alignment horizontal="right"/>
    </xf>
    <xf numFmtId="0" fontId="4" fillId="0" borderId="45" xfId="0" applyFont="1" applyFill="1" applyBorder="1" applyAlignment="1">
      <alignment horizontal="left"/>
    </xf>
    <xf numFmtId="167" fontId="4" fillId="0" borderId="3" xfId="0" applyNumberFormat="1" applyFont="1" applyFill="1" applyBorder="1" applyAlignment="1">
      <alignment horizontal="right"/>
    </xf>
    <xf numFmtId="167" fontId="4" fillId="0" borderId="46" xfId="0" applyNumberFormat="1" applyFont="1" applyFill="1" applyBorder="1" applyAlignment="1">
      <alignment horizontal="right"/>
    </xf>
    <xf numFmtId="0" fontId="0" fillId="0" borderId="47" xfId="0" applyFill="1" applyBorder="1" applyAlignment="1"/>
    <xf numFmtId="2" fontId="0" fillId="0" borderId="1" xfId="0" quotePrefix="1" applyNumberFormat="1" applyFill="1" applyBorder="1" applyAlignment="1">
      <alignment horizontal="right"/>
    </xf>
    <xf numFmtId="0" fontId="0" fillId="0" borderId="48" xfId="0" quotePrefix="1" applyFill="1" applyBorder="1" applyAlignment="1"/>
    <xf numFmtId="2" fontId="0" fillId="0" borderId="49" xfId="0" applyNumberFormat="1" applyBorder="1"/>
    <xf numFmtId="0" fontId="0" fillId="0" borderId="48" xfId="0" applyFill="1" applyBorder="1" applyAlignment="1"/>
    <xf numFmtId="2" fontId="0" fillId="0" borderId="49" xfId="0" applyNumberFormat="1" applyFill="1" applyBorder="1" applyAlignment="1">
      <alignment horizontal="right"/>
    </xf>
    <xf numFmtId="0" fontId="0" fillId="0" borderId="50" xfId="0" quotePrefix="1" applyFill="1" applyBorder="1" applyAlignment="1"/>
    <xf numFmtId="2" fontId="0" fillId="0" borderId="6" xfId="0" quotePrefix="1" applyNumberFormat="1" applyBorder="1"/>
    <xf numFmtId="2" fontId="0" fillId="0" borderId="51" xfId="0" applyNumberFormat="1" applyBorder="1"/>
    <xf numFmtId="0" fontId="1" fillId="0" borderId="49" xfId="0" applyFont="1" applyBorder="1"/>
    <xf numFmtId="0" fontId="1" fillId="0" borderId="52" xfId="0" quotePrefix="1" applyFont="1" applyFill="1" applyBorder="1" applyAlignment="1"/>
    <xf numFmtId="2" fontId="1" fillId="0" borderId="7" xfId="0" quotePrefix="1" applyNumberFormat="1" applyFont="1" applyFill="1" applyBorder="1" applyAlignment="1">
      <alignment horizontal="right"/>
    </xf>
    <xf numFmtId="168" fontId="0" fillId="0" borderId="1" xfId="0" applyNumberFormat="1" applyFill="1" applyBorder="1" applyAlignment="1">
      <alignment horizontal="right"/>
    </xf>
    <xf numFmtId="168" fontId="0" fillId="0" borderId="53" xfId="0" applyNumberFormat="1" applyFill="1" applyBorder="1" applyAlignment="1">
      <alignment horizontal="right"/>
    </xf>
    <xf numFmtId="2" fontId="0" fillId="0" borderId="0" xfId="0" quotePrefix="1" applyNumberFormat="1" applyFill="1" applyBorder="1" applyAlignment="1">
      <alignment horizontal="right"/>
    </xf>
    <xf numFmtId="2" fontId="0" fillId="0" borderId="49" xfId="0" quotePrefix="1" applyNumberFormat="1" applyFill="1" applyBorder="1" applyAlignment="1">
      <alignment horizontal="right"/>
    </xf>
    <xf numFmtId="0" fontId="1" fillId="0" borderId="54" xfId="0" quotePrefix="1" applyFont="1" applyFill="1" applyBorder="1" applyAlignment="1"/>
    <xf numFmtId="168" fontId="1" fillId="0" borderId="1" xfId="0" quotePrefix="1" applyNumberFormat="1" applyFont="1" applyFill="1" applyBorder="1" applyAlignment="1">
      <alignment horizontal="right"/>
    </xf>
    <xf numFmtId="2" fontId="1" fillId="0" borderId="1" xfId="0" quotePrefix="1" applyNumberFormat="1" applyFont="1" applyFill="1" applyBorder="1" applyAlignment="1">
      <alignment horizontal="right"/>
    </xf>
    <xf numFmtId="2" fontId="1" fillId="0" borderId="53" xfId="0" quotePrefix="1" applyNumberFormat="1" applyFont="1" applyFill="1" applyBorder="1" applyAlignment="1">
      <alignment horizontal="right"/>
    </xf>
    <xf numFmtId="0" fontId="1" fillId="0" borderId="48" xfId="0" applyFont="1" applyFill="1" applyBorder="1" applyAlignment="1"/>
    <xf numFmtId="0" fontId="0" fillId="0" borderId="47" xfId="0" quotePrefix="1" applyFill="1" applyBorder="1" applyAlignment="1"/>
    <xf numFmtId="2" fontId="0" fillId="0" borderId="53" xfId="0" applyNumberFormat="1" applyFill="1" applyBorder="1" applyAlignment="1">
      <alignment horizontal="right"/>
    </xf>
    <xf numFmtId="0" fontId="1" fillId="0" borderId="55" xfId="0" quotePrefix="1" applyFont="1" applyFill="1" applyBorder="1" applyAlignment="1"/>
    <xf numFmtId="2" fontId="1" fillId="0" borderId="2" xfId="0" applyNumberFormat="1" applyFont="1" applyFill="1" applyBorder="1" applyAlignment="1">
      <alignment horizontal="right"/>
    </xf>
    <xf numFmtId="2" fontId="1" fillId="0" borderId="56" xfId="0" applyNumberFormat="1" applyFont="1" applyFill="1" applyBorder="1" applyAlignment="1">
      <alignment horizontal="right"/>
    </xf>
    <xf numFmtId="0" fontId="4" fillId="0" borderId="57" xfId="0" applyFont="1" applyFill="1" applyBorder="1" applyAlignment="1">
      <alignment horizontal="left"/>
    </xf>
    <xf numFmtId="167" fontId="4" fillId="0" borderId="58" xfId="0" applyNumberFormat="1" applyFont="1" applyFill="1" applyBorder="1" applyAlignment="1">
      <alignment horizontal="right"/>
    </xf>
    <xf numFmtId="167" fontId="4" fillId="0" borderId="59" xfId="0" applyNumberFormat="1" applyFont="1" applyFill="1" applyBorder="1" applyAlignment="1">
      <alignment horizontal="right"/>
    </xf>
    <xf numFmtId="0" fontId="0" fillId="0" borderId="60" xfId="0" applyFill="1" applyBorder="1" applyAlignment="1"/>
    <xf numFmtId="9" fontId="0" fillId="0" borderId="0" xfId="0" applyNumberFormat="1" applyBorder="1"/>
    <xf numFmtId="2" fontId="0" fillId="0" borderId="61" xfId="0" applyNumberFormat="1" applyFill="1" applyBorder="1" applyAlignment="1"/>
    <xf numFmtId="0" fontId="1" fillId="0" borderId="62" xfId="0" quotePrefix="1" applyFont="1" applyFill="1" applyBorder="1" applyAlignment="1"/>
    <xf numFmtId="166" fontId="1" fillId="0" borderId="3" xfId="3" quotePrefix="1" applyNumberFormat="1" applyFont="1" applyFill="1" applyBorder="1" applyAlignment="1">
      <alignment horizontal="right"/>
    </xf>
    <xf numFmtId="0" fontId="0" fillId="0" borderId="60" xfId="0" quotePrefix="1" applyFill="1" applyBorder="1" applyAlignment="1"/>
    <xf numFmtId="166" fontId="0" fillId="0" borderId="63" xfId="0" applyNumberFormat="1" applyFill="1" applyBorder="1" applyAlignment="1">
      <alignment horizontal="right"/>
    </xf>
    <xf numFmtId="10" fontId="0" fillId="0" borderId="63" xfId="0" quotePrefix="1" applyNumberFormat="1" applyFill="1" applyBorder="1" applyAlignment="1">
      <alignment horizontal="right"/>
    </xf>
    <xf numFmtId="10" fontId="1" fillId="0" borderId="64" xfId="3" quotePrefix="1" applyNumberFormat="1" applyFont="1" applyFill="1" applyBorder="1" applyAlignment="1">
      <alignment horizontal="right"/>
    </xf>
    <xf numFmtId="2" fontId="0" fillId="0" borderId="65" xfId="0" applyNumberFormat="1" applyFill="1" applyBorder="1" applyAlignment="1"/>
    <xf numFmtId="0" fontId="1" fillId="0" borderId="66" xfId="0" quotePrefix="1" applyFont="1" applyFill="1" applyBorder="1" applyAlignment="1"/>
    <xf numFmtId="10" fontId="1" fillId="0" borderId="29" xfId="3" quotePrefix="1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61" xfId="0" applyBorder="1"/>
    <xf numFmtId="0" fontId="1" fillId="0" borderId="66" xfId="0" applyFont="1" applyFill="1" applyBorder="1" applyAlignment="1"/>
    <xf numFmtId="166" fontId="0" fillId="0" borderId="43" xfId="0" applyNumberFormat="1" applyFill="1" applyBorder="1" applyAlignment="1"/>
    <xf numFmtId="166" fontId="0" fillId="0" borderId="44" xfId="0" applyNumberFormat="1" applyFill="1" applyBorder="1" applyAlignment="1"/>
    <xf numFmtId="166" fontId="1" fillId="0" borderId="65" xfId="3" quotePrefix="1" applyNumberFormat="1" applyFont="1" applyFill="1" applyBorder="1" applyAlignment="1">
      <alignment horizontal="right"/>
    </xf>
    <xf numFmtId="166" fontId="1" fillId="0" borderId="36" xfId="3" quotePrefix="1" applyNumberFormat="1" applyFont="1" applyFill="1" applyBorder="1" applyAlignment="1">
      <alignment horizontal="right"/>
    </xf>
    <xf numFmtId="9" fontId="0" fillId="0" borderId="0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8" xfId="0" applyNumberFormat="1" applyFill="1" applyBorder="1" applyAlignment="1">
      <alignment horizontal="center"/>
    </xf>
    <xf numFmtId="166" fontId="0" fillId="0" borderId="61" xfId="0" applyNumberFormat="1" applyBorder="1"/>
    <xf numFmtId="172" fontId="0" fillId="0" borderId="0" xfId="0" applyNumberFormat="1"/>
    <xf numFmtId="9" fontId="0" fillId="0" borderId="0" xfId="3" applyFont="1"/>
    <xf numFmtId="9" fontId="0" fillId="0" borderId="0" xfId="3" applyNumberFormat="1" applyFont="1"/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173" fontId="8" fillId="0" borderId="0" xfId="2" applyNumberFormat="1" applyFont="1" applyFill="1"/>
    <xf numFmtId="173" fontId="1" fillId="0" borderId="0" xfId="0" applyNumberFormat="1" applyFont="1" applyBorder="1"/>
    <xf numFmtId="0" fontId="0" fillId="0" borderId="0" xfId="0" applyAlignment="1">
      <alignment horizontal="left"/>
    </xf>
    <xf numFmtId="0" fontId="5" fillId="0" borderId="0" xfId="0" applyFont="1"/>
    <xf numFmtId="165" fontId="1" fillId="0" borderId="0" xfId="0" applyNumberFormat="1" applyFont="1"/>
    <xf numFmtId="2" fontId="1" fillId="0" borderId="0" xfId="0" applyNumberFormat="1" applyFont="1"/>
    <xf numFmtId="2" fontId="0" fillId="0" borderId="5" xfId="0" applyNumberFormat="1" applyFill="1" applyBorder="1" applyAlignment="1"/>
    <xf numFmtId="0" fontId="0" fillId="0" borderId="0" xfId="0" quotePrefix="1" applyBorder="1"/>
    <xf numFmtId="2" fontId="0" fillId="0" borderId="35" xfId="0" applyNumberFormat="1" applyFill="1" applyBorder="1" applyAlignment="1"/>
    <xf numFmtId="171" fontId="0" fillId="0" borderId="0" xfId="0" applyNumberFormat="1"/>
    <xf numFmtId="171" fontId="1" fillId="0" borderId="0" xfId="0" applyNumberFormat="1" applyFont="1"/>
    <xf numFmtId="166" fontId="0" fillId="0" borderId="15" xfId="0" applyNumberFormat="1" applyBorder="1"/>
    <xf numFmtId="166" fontId="0" fillId="0" borderId="67" xfId="0" applyNumberFormat="1" applyFill="1" applyBorder="1" applyAlignment="1"/>
    <xf numFmtId="2" fontId="0" fillId="0" borderId="0" xfId="0" applyNumberFormat="1" applyFill="1" applyBorder="1"/>
    <xf numFmtId="10" fontId="3" fillId="0" borderId="0" xfId="3" applyNumberFormat="1" applyFont="1" applyFill="1" applyBorder="1" applyAlignment="1"/>
    <xf numFmtId="9" fontId="3" fillId="0" borderId="0" xfId="3"/>
    <xf numFmtId="2" fontId="0" fillId="0" borderId="68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 applyAlignment="1"/>
    <xf numFmtId="166" fontId="1" fillId="0" borderId="70" xfId="3" quotePrefix="1" applyNumberFormat="1" applyFont="1" applyFill="1" applyBorder="1" applyAlignment="1">
      <alignment horizontal="right"/>
    </xf>
    <xf numFmtId="166" fontId="1" fillId="0" borderId="71" xfId="3" quotePrefix="1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7" xfId="0" applyBorder="1"/>
    <xf numFmtId="2" fontId="0" fillId="0" borderId="72" xfId="0" quotePrefix="1" applyNumberFormat="1" applyFill="1" applyBorder="1" applyAlignment="1">
      <alignment horizontal="right"/>
    </xf>
    <xf numFmtId="9" fontId="3" fillId="0" borderId="0" xfId="0" applyNumberFormat="1" applyFont="1" applyBorder="1"/>
    <xf numFmtId="9" fontId="3" fillId="0" borderId="61" xfId="0" applyNumberFormat="1" applyFont="1" applyBorder="1"/>
    <xf numFmtId="10" fontId="5" fillId="0" borderId="73" xfId="3" quotePrefix="1" applyNumberFormat="1" applyFont="1" applyFill="1" applyBorder="1" applyAlignment="1">
      <alignment horizontal="right"/>
    </xf>
    <xf numFmtId="10" fontId="5" fillId="0" borderId="64" xfId="3" quotePrefix="1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center"/>
    </xf>
    <xf numFmtId="166" fontId="3" fillId="0" borderId="0" xfId="3" applyNumberFormat="1" applyBorder="1"/>
    <xf numFmtId="170" fontId="0" fillId="0" borderId="0" xfId="0" applyNumberFormat="1" applyBorder="1"/>
    <xf numFmtId="2" fontId="0" fillId="0" borderId="74" xfId="0" applyNumberFormat="1" applyBorder="1"/>
    <xf numFmtId="166" fontId="0" fillId="0" borderId="75" xfId="0" applyNumberFormat="1" applyBorder="1"/>
    <xf numFmtId="166" fontId="0" fillId="0" borderId="6" xfId="0" applyNumberFormat="1" applyBorder="1"/>
    <xf numFmtId="166" fontId="0" fillId="0" borderId="35" xfId="0" applyNumberFormat="1" applyBorder="1"/>
    <xf numFmtId="169" fontId="0" fillId="0" borderId="76" xfId="0" applyNumberFormat="1" applyFill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2" fontId="0" fillId="0" borderId="32" xfId="0" applyNumberFormat="1" applyFill="1" applyBorder="1" applyAlignment="1">
      <alignment horizontal="right"/>
    </xf>
    <xf numFmtId="2" fontId="1" fillId="0" borderId="0" xfId="0" applyNumberFormat="1" applyFont="1" applyFill="1" applyBorder="1" applyAlignment="1"/>
    <xf numFmtId="0" fontId="0" fillId="0" borderId="77" xfId="0" applyFill="1" applyBorder="1" applyAlignment="1"/>
    <xf numFmtId="0" fontId="0" fillId="0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8" xfId="0" applyFill="1" applyBorder="1" applyAlignment="1">
      <alignment horizontal="center"/>
    </xf>
    <xf numFmtId="166" fontId="0" fillId="0" borderId="69" xfId="0" applyNumberFormat="1" applyFill="1" applyBorder="1" applyAlignment="1">
      <alignment horizontal="center"/>
    </xf>
    <xf numFmtId="166" fontId="5" fillId="0" borderId="14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0" xfId="3" applyNumberFormat="1" applyFont="1" applyAlignment="1">
      <alignment horizontal="center"/>
    </xf>
    <xf numFmtId="169" fontId="0" fillId="0" borderId="1" xfId="0" quotePrefix="1" applyNumberFormat="1" applyFill="1" applyBorder="1" applyAlignment="1">
      <alignment horizontal="right"/>
    </xf>
    <xf numFmtId="49" fontId="4" fillId="0" borderId="12" xfId="0" applyNumberFormat="1" applyFont="1" applyFill="1" applyBorder="1" applyAlignment="1">
      <alignment horizontal="left"/>
    </xf>
    <xf numFmtId="49" fontId="1" fillId="0" borderId="3" xfId="0" quotePrefix="1" applyNumberFormat="1" applyFont="1" applyFill="1" applyBorder="1" applyAlignment="1"/>
    <xf numFmtId="49" fontId="1" fillId="0" borderId="3" xfId="0" quotePrefix="1" applyNumberFormat="1" applyFont="1" applyFill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1" fillId="0" borderId="23" xfId="0" quotePrefix="1" applyNumberFormat="1" applyFont="1" applyFill="1" applyBorder="1" applyAlignment="1">
      <alignment wrapText="1"/>
    </xf>
    <xf numFmtId="49" fontId="1" fillId="0" borderId="5" xfId="0" quotePrefix="1" applyNumberFormat="1" applyFont="1" applyFill="1" applyBorder="1" applyAlignment="1"/>
    <xf numFmtId="49" fontId="1" fillId="0" borderId="29" xfId="0" quotePrefix="1" applyNumberFormat="1" applyFont="1" applyFill="1" applyBorder="1" applyAlignment="1">
      <alignment horizontal="left"/>
    </xf>
    <xf numFmtId="49" fontId="1" fillId="0" borderId="29" xfId="0" quotePrefix="1" applyNumberFormat="1" applyFont="1" applyFill="1" applyBorder="1" applyAlignment="1"/>
    <xf numFmtId="49" fontId="1" fillId="0" borderId="23" xfId="0" quotePrefix="1" applyNumberFormat="1" applyFont="1" applyFill="1" applyBorder="1" applyAlignment="1"/>
    <xf numFmtId="0" fontId="4" fillId="0" borderId="32" xfId="0" applyFont="1" applyFill="1" applyBorder="1" applyAlignment="1">
      <alignment horizontal="left"/>
    </xf>
    <xf numFmtId="0" fontId="1" fillId="0" borderId="29" xfId="0" applyFont="1" applyFill="1" applyBorder="1" applyAlignment="1"/>
    <xf numFmtId="0" fontId="0" fillId="0" borderId="3" xfId="0" applyFill="1" applyBorder="1" applyAlignment="1"/>
    <xf numFmtId="0" fontId="0" fillId="0" borderId="3" xfId="0" quotePrefix="1" applyFill="1" applyBorder="1" applyAlignment="1"/>
    <xf numFmtId="0" fontId="1" fillId="0" borderId="23" xfId="0" applyFont="1" applyFill="1" applyBorder="1" applyAlignment="1"/>
    <xf numFmtId="0" fontId="4" fillId="0" borderId="29" xfId="0" applyFont="1" applyFill="1" applyBorder="1" applyAlignment="1">
      <alignment horizontal="left"/>
    </xf>
    <xf numFmtId="0" fontId="0" fillId="0" borderId="63" xfId="0" applyFill="1" applyBorder="1" applyAlignment="1"/>
    <xf numFmtId="169" fontId="0" fillId="0" borderId="0" xfId="0" applyNumberFormat="1" applyBorder="1"/>
    <xf numFmtId="0" fontId="0" fillId="0" borderId="43" xfId="0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58" xfId="0" applyFont="1" applyFill="1" applyBorder="1" applyAlignment="1">
      <alignment horizontal="left"/>
    </xf>
    <xf numFmtId="0" fontId="1" fillId="0" borderId="3" xfId="0" quotePrefix="1" applyFont="1" applyFill="1" applyBorder="1" applyAlignment="1"/>
    <xf numFmtId="0" fontId="1" fillId="0" borderId="29" xfId="0" quotePrefix="1" applyFont="1" applyFill="1" applyBorder="1" applyAlignment="1"/>
    <xf numFmtId="14" fontId="0" fillId="0" borderId="0" xfId="0" quotePrefix="1" applyNumberFormat="1"/>
    <xf numFmtId="0" fontId="0" fillId="0" borderId="0" xfId="0" quotePrefix="1"/>
    <xf numFmtId="14" fontId="0" fillId="0" borderId="0" xfId="0" applyNumberFormat="1"/>
    <xf numFmtId="166" fontId="0" fillId="0" borderId="14" xfId="3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" fontId="0" fillId="0" borderId="19" xfId="0" quotePrefix="1" applyNumberFormat="1" applyBorder="1" applyAlignment="1">
      <alignment horizontal="right"/>
    </xf>
    <xf numFmtId="2" fontId="0" fillId="0" borderId="79" xfId="0" applyNumberFormat="1" applyBorder="1"/>
    <xf numFmtId="2" fontId="0" fillId="0" borderId="43" xfId="0" applyNumberFormat="1" applyFill="1" applyBorder="1" applyAlignment="1">
      <alignment horizontal="right"/>
    </xf>
    <xf numFmtId="2" fontId="0" fillId="0" borderId="46" xfId="0" quotePrefix="1" applyNumberFormat="1" applyBorder="1" applyAlignment="1">
      <alignment horizontal="right"/>
    </xf>
    <xf numFmtId="169" fontId="0" fillId="0" borderId="5" xfId="0" applyNumberFormat="1" applyFill="1" applyBorder="1" applyAlignment="1">
      <alignment horizontal="right"/>
    </xf>
    <xf numFmtId="0" fontId="4" fillId="0" borderId="80" xfId="0" applyFont="1" applyFill="1" applyBorder="1" applyAlignment="1">
      <alignment horizontal="left"/>
    </xf>
    <xf numFmtId="167" fontId="4" fillId="0" borderId="81" xfId="0" applyNumberFormat="1" applyFont="1" applyFill="1" applyBorder="1" applyAlignment="1">
      <alignment horizontal="right"/>
    </xf>
    <xf numFmtId="167" fontId="4" fillId="0" borderId="82" xfId="0" applyNumberFormat="1" applyFont="1" applyFill="1" applyBorder="1" applyAlignment="1">
      <alignment horizontal="right"/>
    </xf>
    <xf numFmtId="0" fontId="0" fillId="0" borderId="83" xfId="0" applyFill="1" applyBorder="1" applyAlignment="1"/>
    <xf numFmtId="169" fontId="0" fillId="0" borderId="19" xfId="0" applyNumberFormat="1" applyFill="1" applyBorder="1" applyAlignment="1">
      <alignment horizontal="right"/>
    </xf>
    <xf numFmtId="0" fontId="0" fillId="0" borderId="84" xfId="0" applyFill="1" applyBorder="1" applyAlignment="1"/>
    <xf numFmtId="169" fontId="0" fillId="0" borderId="9" xfId="0" applyNumberFormat="1" applyFill="1" applyBorder="1" applyAlignment="1">
      <alignment horizontal="right"/>
    </xf>
    <xf numFmtId="169" fontId="0" fillId="0" borderId="27" xfId="0" applyNumberFormat="1" applyFill="1" applyBorder="1" applyAlignment="1">
      <alignment horizontal="right"/>
    </xf>
    <xf numFmtId="2" fontId="0" fillId="0" borderId="24" xfId="0" applyNumberFormat="1" applyFill="1" applyBorder="1" applyAlignment="1">
      <alignment horizontal="right"/>
    </xf>
    <xf numFmtId="2" fontId="0" fillId="0" borderId="85" xfId="0" applyNumberFormat="1" applyFill="1" applyBorder="1" applyAlignment="1">
      <alignment horizontal="right"/>
    </xf>
    <xf numFmtId="2" fontId="0" fillId="0" borderId="33" xfId="0" applyNumberFormat="1" applyFill="1" applyBorder="1" applyAlignment="1">
      <alignment horizontal="right"/>
    </xf>
    <xf numFmtId="169" fontId="0" fillId="0" borderId="26" xfId="0" applyNumberFormat="1" applyFill="1" applyBorder="1" applyAlignment="1">
      <alignment horizontal="right"/>
    </xf>
    <xf numFmtId="169" fontId="0" fillId="0" borderId="15" xfId="0" applyNumberFormat="1" applyFill="1" applyBorder="1" applyAlignment="1">
      <alignment horizontal="right"/>
    </xf>
    <xf numFmtId="2" fontId="0" fillId="0" borderId="17" xfId="0" applyNumberFormat="1" applyBorder="1"/>
    <xf numFmtId="2" fontId="1" fillId="0" borderId="86" xfId="0" quotePrefix="1" applyNumberFormat="1" applyFon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0" fontId="4" fillId="0" borderId="87" xfId="0" applyFont="1" applyFill="1" applyBorder="1" applyAlignment="1">
      <alignment horizontal="left"/>
    </xf>
    <xf numFmtId="0" fontId="1" fillId="0" borderId="47" xfId="0" quotePrefix="1" applyFont="1" applyFill="1" applyBorder="1" applyAlignment="1"/>
    <xf numFmtId="166" fontId="0" fillId="0" borderId="17" xfId="0" applyNumberFormat="1" applyBorder="1"/>
    <xf numFmtId="2" fontId="0" fillId="0" borderId="4" xfId="0" applyNumberFormat="1" applyFill="1" applyBorder="1" applyAlignment="1"/>
    <xf numFmtId="166" fontId="1" fillId="0" borderId="17" xfId="3" quotePrefix="1" applyNumberFormat="1" applyFont="1" applyFill="1" applyBorder="1" applyAlignment="1">
      <alignment horizontal="right"/>
    </xf>
    <xf numFmtId="166" fontId="5" fillId="0" borderId="75" xfId="3" quotePrefix="1" applyNumberFormat="1" applyFont="1" applyFill="1" applyBorder="1" applyAlignment="1">
      <alignment horizontal="right"/>
    </xf>
    <xf numFmtId="0" fontId="0" fillId="0" borderId="29" xfId="0" applyBorder="1"/>
    <xf numFmtId="10" fontId="3" fillId="0" borderId="88" xfId="3" applyNumberFormat="1" applyFont="1" applyFill="1" applyBorder="1" applyAlignment="1"/>
    <xf numFmtId="166" fontId="1" fillId="0" borderId="0" xfId="3" quotePrefix="1" applyNumberFormat="1" applyFont="1" applyFill="1" applyBorder="1" applyAlignment="1">
      <alignment horizontal="right"/>
    </xf>
    <xf numFmtId="2" fontId="0" fillId="0" borderId="1" xfId="0" applyNumberFormat="1" applyBorder="1"/>
    <xf numFmtId="49" fontId="4" fillId="0" borderId="89" xfId="0" applyNumberFormat="1" applyFont="1" applyFill="1" applyBorder="1" applyAlignment="1">
      <alignment horizontal="left"/>
    </xf>
    <xf numFmtId="49" fontId="1" fillId="0" borderId="83" xfId="0" quotePrefix="1" applyNumberFormat="1" applyFont="1" applyFill="1" applyBorder="1" applyAlignment="1">
      <alignment wrapText="1"/>
    </xf>
    <xf numFmtId="166" fontId="0" fillId="0" borderId="19" xfId="3" applyNumberFormat="1" applyFont="1" applyBorder="1"/>
    <xf numFmtId="166" fontId="1" fillId="0" borderId="19" xfId="0" quotePrefix="1" applyNumberFormat="1" applyFont="1" applyFill="1" applyBorder="1" applyAlignment="1">
      <alignment horizontal="right"/>
    </xf>
    <xf numFmtId="0" fontId="1" fillId="0" borderId="32" xfId="0" applyFont="1" applyBorder="1"/>
    <xf numFmtId="174" fontId="1" fillId="0" borderId="32" xfId="1" applyNumberFormat="1" applyFont="1" applyBorder="1" applyAlignment="1">
      <alignment horizontal="center"/>
    </xf>
    <xf numFmtId="174" fontId="0" fillId="0" borderId="0" xfId="1" applyNumberFormat="1" applyFont="1" applyAlignment="1">
      <alignment horizontal="center"/>
    </xf>
    <xf numFmtId="0" fontId="1" fillId="0" borderId="32" xfId="0" applyFont="1" applyBorder="1" applyAlignment="1">
      <alignment horizontal="center"/>
    </xf>
    <xf numFmtId="9" fontId="0" fillId="0" borderId="0" xfId="3" applyFont="1" applyAlignment="1">
      <alignment horizontal="center"/>
    </xf>
    <xf numFmtId="166" fontId="0" fillId="0" borderId="0" xfId="3" applyNumberFormat="1" applyFont="1" applyAlignment="1">
      <alignment horizontal="center"/>
    </xf>
    <xf numFmtId="166" fontId="1" fillId="0" borderId="32" xfId="3" applyNumberFormat="1" applyFont="1" applyBorder="1" applyAlignment="1">
      <alignment horizontal="center"/>
    </xf>
    <xf numFmtId="0" fontId="1" fillId="0" borderId="69" xfId="0" applyFont="1" applyBorder="1"/>
    <xf numFmtId="174" fontId="0" fillId="0" borderId="0" xfId="1" applyNumberFormat="1" applyFont="1"/>
    <xf numFmtId="174" fontId="1" fillId="0" borderId="32" xfId="1" applyNumberFormat="1" applyFont="1" applyBorder="1"/>
    <xf numFmtId="0" fontId="1" fillId="0" borderId="32" xfId="0" quotePrefix="1" applyFont="1" applyBorder="1"/>
    <xf numFmtId="0" fontId="0" fillId="0" borderId="78" xfId="0" applyFill="1" applyBorder="1" applyAlignment="1"/>
    <xf numFmtId="175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/>
    <xf numFmtId="175" fontId="0" fillId="0" borderId="10" xfId="0" applyNumberFormat="1" applyFill="1" applyBorder="1" applyAlignment="1">
      <alignment horizontal="center"/>
    </xf>
    <xf numFmtId="0" fontId="1" fillId="0" borderId="10" xfId="0" applyFont="1" applyBorder="1"/>
    <xf numFmtId="174" fontId="1" fillId="0" borderId="10" xfId="1" applyNumberFormat="1" applyFont="1" applyBorder="1"/>
    <xf numFmtId="165" fontId="0" fillId="0" borderId="0" xfId="0" applyNumberFormat="1" applyAlignment="1">
      <alignment horizontal="center"/>
    </xf>
    <xf numFmtId="166" fontId="1" fillId="0" borderId="0" xfId="3" applyNumberFormat="1" applyFont="1" applyAlignment="1">
      <alignment horizontal="center"/>
    </xf>
    <xf numFmtId="9" fontId="0" fillId="0" borderId="0" xfId="3" applyNumberFormat="1" applyFont="1" applyAlignment="1">
      <alignment horizontal="center"/>
    </xf>
    <xf numFmtId="166" fontId="0" fillId="0" borderId="10" xfId="3" applyNumberFormat="1" applyFont="1" applyBorder="1" applyAlignment="1">
      <alignment horizontal="center"/>
    </xf>
    <xf numFmtId="166" fontId="0" fillId="0" borderId="0" xfId="3" applyNumberFormat="1" applyFont="1" applyBorder="1" applyAlignment="1">
      <alignment horizontal="center"/>
    </xf>
    <xf numFmtId="166" fontId="5" fillId="0" borderId="0" xfId="3" applyNumberFormat="1" applyFont="1" applyBorder="1" applyAlignment="1">
      <alignment horizontal="center"/>
    </xf>
    <xf numFmtId="0" fontId="1" fillId="0" borderId="10" xfId="0" quotePrefix="1" applyFont="1" applyBorder="1"/>
    <xf numFmtId="0" fontId="1" fillId="0" borderId="0" xfId="0" quotePrefix="1" applyFont="1"/>
    <xf numFmtId="166" fontId="0" fillId="0" borderId="0" xfId="3" applyNumberFormat="1" applyFont="1"/>
    <xf numFmtId="174" fontId="0" fillId="0" borderId="0" xfId="1" applyNumberFormat="1" applyFont="1" applyFill="1"/>
    <xf numFmtId="0" fontId="3" fillId="0" borderId="0" xfId="0" applyFont="1" applyAlignment="1">
      <alignment horizontal="center"/>
    </xf>
    <xf numFmtId="166" fontId="3" fillId="0" borderId="0" xfId="3" applyNumberFormat="1" applyFont="1" applyFill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67" fontId="4" fillId="0" borderId="90" xfId="0" applyNumberFormat="1" applyFont="1" applyFill="1" applyBorder="1" applyAlignment="1">
      <alignment horizontal="right"/>
    </xf>
    <xf numFmtId="2" fontId="0" fillId="0" borderId="91" xfId="0" applyNumberFormat="1" applyFill="1" applyBorder="1" applyAlignment="1"/>
    <xf numFmtId="166" fontId="1" fillId="0" borderId="21" xfId="3" quotePrefix="1" applyNumberFormat="1" applyFont="1" applyFill="1" applyBorder="1" applyAlignment="1">
      <alignment horizontal="right"/>
    </xf>
    <xf numFmtId="166" fontId="5" fillId="0" borderId="92" xfId="3" quotePrefix="1" applyNumberFormat="1" applyFont="1" applyFill="1" applyBorder="1" applyAlignment="1">
      <alignment horizontal="right"/>
    </xf>
    <xf numFmtId="168" fontId="0" fillId="0" borderId="19" xfId="0" applyNumberFormat="1" applyFill="1" applyBorder="1" applyAlignment="1">
      <alignment horizontal="right"/>
    </xf>
    <xf numFmtId="2" fontId="0" fillId="0" borderId="67" xfId="0" applyNumberFormat="1" applyFill="1" applyBorder="1" applyAlignment="1"/>
    <xf numFmtId="166" fontId="1" fillId="0" borderId="67" xfId="3" quotePrefix="1" applyNumberFormat="1" applyFont="1" applyFill="1" applyBorder="1" applyAlignment="1">
      <alignment horizontal="right"/>
    </xf>
    <xf numFmtId="0" fontId="0" fillId="0" borderId="30" xfId="0" applyBorder="1"/>
    <xf numFmtId="166" fontId="0" fillId="0" borderId="68" xfId="0" applyNumberFormat="1" applyFill="1" applyBorder="1" applyAlignment="1"/>
    <xf numFmtId="0" fontId="0" fillId="0" borderId="94" xfId="0" applyBorder="1" applyAlignment="1">
      <alignment horizontal="center"/>
    </xf>
    <xf numFmtId="166" fontId="0" fillId="0" borderId="93" xfId="3" applyNumberFormat="1" applyFon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166" fontId="5" fillId="0" borderId="93" xfId="0" applyNumberFormat="1" applyFont="1" applyBorder="1" applyAlignment="1">
      <alignment horizontal="center"/>
    </xf>
    <xf numFmtId="166" fontId="5" fillId="0" borderId="93" xfId="3" applyNumberFormat="1" applyFont="1" applyBorder="1" applyAlignment="1">
      <alignment horizontal="center"/>
    </xf>
    <xf numFmtId="175" fontId="0" fillId="0" borderId="93" xfId="0" applyNumberFormat="1" applyFill="1" applyBorder="1" applyAlignment="1">
      <alignment horizontal="center"/>
    </xf>
    <xf numFmtId="174" fontId="1" fillId="0" borderId="95" xfId="1" applyNumberFormat="1" applyFont="1" applyBorder="1"/>
    <xf numFmtId="174" fontId="1" fillId="0" borderId="95" xfId="1" applyNumberFormat="1" applyFont="1" applyBorder="1" applyAlignment="1">
      <alignment horizontal="center"/>
    </xf>
    <xf numFmtId="166" fontId="1" fillId="0" borderId="95" xfId="3" applyNumberFormat="1" applyFont="1" applyBorder="1" applyAlignment="1">
      <alignment horizontal="center"/>
    </xf>
    <xf numFmtId="0" fontId="3" fillId="0" borderId="0" xfId="0" quotePrefix="1" applyFont="1"/>
    <xf numFmtId="0" fontId="6" fillId="0" borderId="0" xfId="0" applyFont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1" fillId="0" borderId="0" xfId="0" quotePrefix="1" applyNumberFormat="1" applyFont="1" applyFill="1" applyBorder="1" applyAlignment="1">
      <alignment horizontal="center"/>
    </xf>
  </cellXfs>
  <cellStyles count="18"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Milliers" xfId="1" builtinId="3"/>
    <cellStyle name="Normal" xfId="0" builtinId="0"/>
    <cellStyle name="Normal_Legrand" xfId="2" xr:uid="{00000000-0005-0000-0000-000010000000}"/>
    <cellStyle name="Pourcentage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Taux d'inflation, d'intérêt réel et de croissance en France</a:t>
            </a:r>
          </a:p>
        </c:rich>
      </c:tx>
      <c:layout>
        <c:manualLayout>
          <c:xMode val="edge"/>
          <c:yMode val="edge"/>
          <c:x val="0.30456866946240901"/>
          <c:y val="2.8169006012677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6446977697217E-2"/>
          <c:y val="0.117370858386156"/>
          <c:w val="0.91243697226446596"/>
          <c:h val="0.78873216835497095"/>
        </c:manualLayout>
      </c:layout>
      <c:lineChart>
        <c:grouping val="standard"/>
        <c:varyColors val="0"/>
        <c:ser>
          <c:idx val="0"/>
          <c:order val="0"/>
          <c:tx>
            <c:strRef>
              <c:f>Annexe!$B$3:$B$5</c:f>
              <c:strCache>
                <c:ptCount val="3"/>
                <c:pt idx="0">
                  <c:v>Inflation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Annexe!$A$7:$A$57</c:f>
              <c:numCache>
                <c:formatCode>General</c:formatCode>
                <c:ptCount val="5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</c:numCache>
            </c:numRef>
          </c:cat>
          <c:val>
            <c:numRef>
              <c:f>Annexe!$B$7:$B$57</c:f>
              <c:numCache>
                <c:formatCode>0.0%</c:formatCode>
                <c:ptCount val="51"/>
                <c:pt idx="0">
                  <c:v>0.03</c:v>
                </c:pt>
                <c:pt idx="1">
                  <c:v>0.05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</c:v>
                </c:pt>
                <c:pt idx="10">
                  <c:v>0.1</c:v>
                </c:pt>
                <c:pt idx="11">
                  <c:v>0.09</c:v>
                </c:pt>
                <c:pt idx="12">
                  <c:v>0.11</c:v>
                </c:pt>
                <c:pt idx="13">
                  <c:v>0.14000000000000001</c:v>
                </c:pt>
                <c:pt idx="14">
                  <c:v>0.13</c:v>
                </c:pt>
                <c:pt idx="15">
                  <c:v>0.12</c:v>
                </c:pt>
                <c:pt idx="16">
                  <c:v>0.09</c:v>
                </c:pt>
                <c:pt idx="17">
                  <c:v>0.08</c:v>
                </c:pt>
                <c:pt idx="18">
                  <c:v>0.06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0.04</c:v>
                </c:pt>
                <c:pt idx="23">
                  <c:v>0.03</c:v>
                </c:pt>
                <c:pt idx="24">
                  <c:v>0.03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1.6299999999999999E-2</c:v>
                </c:pt>
                <c:pt idx="35">
                  <c:v>1.9199999999999998E-2</c:v>
                </c:pt>
                <c:pt idx="36">
                  <c:v>2.1099999999999997E-2</c:v>
                </c:pt>
                <c:pt idx="37">
                  <c:v>2.1299999999999999E-2</c:v>
                </c:pt>
                <c:pt idx="38">
                  <c:v>1.7399999999999999E-2</c:v>
                </c:pt>
                <c:pt idx="39">
                  <c:v>1.6799999999999999E-2</c:v>
                </c:pt>
                <c:pt idx="40">
                  <c:v>1.49E-2</c:v>
                </c:pt>
                <c:pt idx="41">
                  <c:v>2.8000000000000001E-2</c:v>
                </c:pt>
                <c:pt idx="42">
                  <c:v>1E-3</c:v>
                </c:pt>
                <c:pt idx="43">
                  <c:v>1.4999999999999999E-2</c:v>
                </c:pt>
                <c:pt idx="44">
                  <c:v>2.1000000000000001E-2</c:v>
                </c:pt>
                <c:pt idx="45">
                  <c:v>0.02</c:v>
                </c:pt>
                <c:pt idx="46">
                  <c:v>8.9999999999999993E-3</c:v>
                </c:pt>
                <c:pt idx="47">
                  <c:v>5.0000000000000001E-3</c:v>
                </c:pt>
                <c:pt idx="48">
                  <c:v>0</c:v>
                </c:pt>
                <c:pt idx="49">
                  <c:v>2E-3</c:v>
                </c:pt>
                <c:pt idx="50">
                  <c:v>0.01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F4CF-4E72-B341-AA6037F1625D}"/>
            </c:ext>
          </c:extLst>
        </c:ser>
        <c:ser>
          <c:idx val="2"/>
          <c:order val="1"/>
          <c:tx>
            <c:strRef>
              <c:f>Annexe!$D$3:$D$5</c:f>
              <c:strCache>
                <c:ptCount val="3"/>
                <c:pt idx="0">
                  <c:v>Taux d'intérêt réel</c:v>
                </c:pt>
              </c:strCache>
            </c:strRef>
          </c:tx>
          <c:spPr>
            <a:ln w="38100">
              <a:solidFill>
                <a:srgbClr val="424242"/>
              </a:solid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cat>
            <c:numRef>
              <c:f>Annexe!$A$7:$A$57</c:f>
              <c:numCache>
                <c:formatCode>General</c:formatCode>
                <c:ptCount val="5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</c:numCache>
            </c:numRef>
          </c:cat>
          <c:val>
            <c:numRef>
              <c:f>Annexe!$D$7:$D$57</c:f>
              <c:numCache>
                <c:formatCode>0.0%</c:formatCode>
                <c:ptCount val="51"/>
                <c:pt idx="0">
                  <c:v>0.04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-0.02</c:v>
                </c:pt>
                <c:pt idx="8">
                  <c:v>-0.01</c:v>
                </c:pt>
                <c:pt idx="9">
                  <c:v>0.02</c:v>
                </c:pt>
                <c:pt idx="10">
                  <c:v>0.02</c:v>
                </c:pt>
                <c:pt idx="11">
                  <c:v>0.01</c:v>
                </c:pt>
                <c:pt idx="12">
                  <c:v>0.02</c:v>
                </c:pt>
                <c:pt idx="13">
                  <c:v>0.02</c:v>
                </c:pt>
                <c:pt idx="14">
                  <c:v>0.05</c:v>
                </c:pt>
                <c:pt idx="15">
                  <c:v>0.04</c:v>
                </c:pt>
                <c:pt idx="16">
                  <c:v>0.05</c:v>
                </c:pt>
                <c:pt idx="17">
                  <c:v>0.05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7.0000000000000007E-2</c:v>
                </c:pt>
                <c:pt idx="21">
                  <c:v>0.06</c:v>
                </c:pt>
                <c:pt idx="22">
                  <c:v>0.06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0.06</c:v>
                </c:pt>
                <c:pt idx="26">
                  <c:v>0.04</c:v>
                </c:pt>
                <c:pt idx="27">
                  <c:v>0.06</c:v>
                </c:pt>
                <c:pt idx="28">
                  <c:v>0.05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3.6191666666666664E-2</c:v>
                </c:pt>
                <c:pt idx="35">
                  <c:v>3.1616666666666668E-2</c:v>
                </c:pt>
                <c:pt idx="36">
                  <c:v>2.2900000000000007E-2</c:v>
                </c:pt>
                <c:pt idx="37">
                  <c:v>2.2341666666666669E-2</c:v>
                </c:pt>
                <c:pt idx="38">
                  <c:v>1.9175000000000005E-2</c:v>
                </c:pt>
                <c:pt idx="39">
                  <c:v>2.1175000000000003E-2</c:v>
                </c:pt>
                <c:pt idx="40">
                  <c:v>2.78055E-2</c:v>
                </c:pt>
                <c:pt idx="41">
                  <c:v>1.4952442748091595E-2</c:v>
                </c:pt>
                <c:pt idx="42">
                  <c:v>4.0392015209125443E-2</c:v>
                </c:pt>
                <c:pt idx="43">
                  <c:v>2.1111755725190827E-2</c:v>
                </c:pt>
                <c:pt idx="44">
                  <c:v>9.9744274809160337E-3</c:v>
                </c:pt>
                <c:pt idx="45">
                  <c:v>1.2675419847328253E-2</c:v>
                </c:pt>
                <c:pt idx="46">
                  <c:v>1.5229425287356322E-2</c:v>
                </c:pt>
                <c:pt idx="47">
                  <c:v>1.7209809160305345E-2</c:v>
                </c:pt>
                <c:pt idx="48">
                  <c:v>1.5201526717557248E-2</c:v>
                </c:pt>
                <c:pt idx="49">
                  <c:v>3.0000000000000001E-3</c:v>
                </c:pt>
                <c:pt idx="50">
                  <c:v>-2E-3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F4CF-4E72-B341-AA6037F1625D}"/>
            </c:ext>
          </c:extLst>
        </c:ser>
        <c:ser>
          <c:idx val="3"/>
          <c:order val="2"/>
          <c:tx>
            <c:strRef>
              <c:f>Annexe!$E$3:$E$5</c:f>
              <c:strCache>
                <c:ptCount val="3"/>
                <c:pt idx="0">
                  <c:v>Croissance PIB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Annexe!$A$7:$A$57</c:f>
              <c:numCache>
                <c:formatCode>General</c:formatCode>
                <c:ptCount val="5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</c:numCache>
            </c:numRef>
          </c:cat>
          <c:val>
            <c:numRef>
              <c:f>Annexe!$E$7:$E$57</c:f>
              <c:numCache>
                <c:formatCode>0.0%</c:formatCode>
                <c:ptCount val="51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0.05</c:v>
                </c:pt>
                <c:pt idx="5">
                  <c:v>0.04</c:v>
                </c:pt>
                <c:pt idx="6">
                  <c:v>0.06</c:v>
                </c:pt>
                <c:pt idx="7">
                  <c:v>0.03</c:v>
                </c:pt>
                <c:pt idx="8">
                  <c:v>0</c:v>
                </c:pt>
                <c:pt idx="9">
                  <c:v>0.04</c:v>
                </c:pt>
                <c:pt idx="10">
                  <c:v>0.03</c:v>
                </c:pt>
                <c:pt idx="11">
                  <c:v>0.04</c:v>
                </c:pt>
                <c:pt idx="12">
                  <c:v>0.03</c:v>
                </c:pt>
                <c:pt idx="13">
                  <c:v>0.01</c:v>
                </c:pt>
                <c:pt idx="14">
                  <c:v>0.01</c:v>
                </c:pt>
                <c:pt idx="15">
                  <c:v>0.03</c:v>
                </c:pt>
                <c:pt idx="16">
                  <c:v>0.01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0.03</c:v>
                </c:pt>
                <c:pt idx="21">
                  <c:v>0.04</c:v>
                </c:pt>
                <c:pt idx="22">
                  <c:v>0.04</c:v>
                </c:pt>
                <c:pt idx="23">
                  <c:v>0.02</c:v>
                </c:pt>
                <c:pt idx="24">
                  <c:v>0.01</c:v>
                </c:pt>
                <c:pt idx="25">
                  <c:v>0.01</c:v>
                </c:pt>
                <c:pt idx="26">
                  <c:v>-0.01</c:v>
                </c:pt>
                <c:pt idx="27">
                  <c:v>0.02</c:v>
                </c:pt>
                <c:pt idx="28">
                  <c:v>0.02</c:v>
                </c:pt>
                <c:pt idx="29">
                  <c:v>0.01</c:v>
                </c:pt>
                <c:pt idx="30">
                  <c:v>0.02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1.814789934841432E-2</c:v>
                </c:pt>
                <c:pt idx="35">
                  <c:v>1.113192374812666E-2</c:v>
                </c:pt>
                <c:pt idx="36">
                  <c:v>1.128882807365339E-2</c:v>
                </c:pt>
                <c:pt idx="37">
                  <c:v>2.0329983512810124E-2</c:v>
                </c:pt>
                <c:pt idx="38">
                  <c:v>1.1919966220780065E-2</c:v>
                </c:pt>
                <c:pt idx="39">
                  <c:v>2.2000000000000002E-2</c:v>
                </c:pt>
                <c:pt idx="40">
                  <c:v>1.9E-2</c:v>
                </c:pt>
                <c:pt idx="41">
                  <c:v>4.0000000000000001E-3</c:v>
                </c:pt>
                <c:pt idx="42">
                  <c:v>-2.5000000000000001E-2</c:v>
                </c:pt>
                <c:pt idx="43">
                  <c:v>1.4E-2</c:v>
                </c:pt>
                <c:pt idx="44">
                  <c:v>1.7000000000000001E-2</c:v>
                </c:pt>
                <c:pt idx="45">
                  <c:v>1E-3</c:v>
                </c:pt>
                <c:pt idx="46">
                  <c:v>3.0000000000000001E-3</c:v>
                </c:pt>
                <c:pt idx="47">
                  <c:v>2E-3</c:v>
                </c:pt>
                <c:pt idx="48">
                  <c:v>1.2E-2</c:v>
                </c:pt>
                <c:pt idx="49">
                  <c:v>1.2E-2</c:v>
                </c:pt>
                <c:pt idx="50">
                  <c:v>1.6E-2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F4CF-4E72-B341-AA6037F16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5503064"/>
        <c:axId val="2115117400"/>
      </c:lineChart>
      <c:catAx>
        <c:axId val="2115503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5117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15117400"/>
        <c:scaling>
          <c:orientation val="minMax"/>
          <c:max val="0.140000000000000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5503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060927211204801"/>
          <c:y val="0.92253494691519"/>
          <c:w val="0.43781746235221197"/>
          <c:h val="6.3380263528524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1" l="0.75" r="0.75" t="1" header="0.4921259845" footer="0.4921259845"/>
    <c:pageSetup paperSize="9" orientation="landscape"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2654300</xdr:colOff>
      <xdr:row>8</xdr:row>
      <xdr:rowOff>127000</xdr:rowOff>
    </xdr:from>
    <xdr:to>
      <xdr:col>0</xdr:col>
      <xdr:colOff>2781300</xdr:colOff>
      <xdr:row>8</xdr:row>
      <xdr:rowOff>266700</xdr:rowOff>
    </xdr:to>
    <xdr:sp macro="" textlink="">
      <xdr:nvSpPr>
        <xdr:cNvPr id="1031" name="Arc 7">
          <a:extLst>
            <a:ext uri="{FF2B5EF4-FFF2-40B4-BE49-F238E27FC236}">
              <a16:creationId xmlns:a16="http://schemas.microsoft.com/office/drawing/2014/main" id="{00000000-0008-0000-0500-000007040000}"/>
            </a:ext>
          </a:extLst>
        </xdr:cNvPr>
        <xdr:cNvSpPr>
          <a:spLocks/>
        </xdr:cNvSpPr>
      </xdr:nvSpPr>
      <xdr:spPr bwMode="auto">
        <a:xfrm>
          <a:off x="2654300" y="2260600"/>
          <a:ext cx="127000" cy="13970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</a:path>
            <a:path w="21600" h="21600" stroke="0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2667000</xdr:colOff>
      <xdr:row>9</xdr:row>
      <xdr:rowOff>0</xdr:rowOff>
    </xdr:from>
    <xdr:to>
      <xdr:col>0</xdr:col>
      <xdr:colOff>2781300</xdr:colOff>
      <xdr:row>9</xdr:row>
      <xdr:rowOff>177800</xdr:rowOff>
    </xdr:to>
    <xdr:sp macro="" textlink="">
      <xdr:nvSpPr>
        <xdr:cNvPr id="1032" name="Arc 8">
          <a:extLst>
            <a:ext uri="{FF2B5EF4-FFF2-40B4-BE49-F238E27FC236}">
              <a16:creationId xmlns:a16="http://schemas.microsoft.com/office/drawing/2014/main" id="{00000000-0008-0000-0500-000008040000}"/>
            </a:ext>
          </a:extLst>
        </xdr:cNvPr>
        <xdr:cNvSpPr>
          <a:spLocks/>
        </xdr:cNvSpPr>
      </xdr:nvSpPr>
      <xdr:spPr bwMode="auto">
        <a:xfrm flipV="1">
          <a:off x="2667000" y="2400300"/>
          <a:ext cx="114300" cy="17780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</a:path>
            <a:path w="21600" h="21600" stroke="0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2654300</xdr:colOff>
      <xdr:row>30</xdr:row>
      <xdr:rowOff>127000</xdr:rowOff>
    </xdr:from>
    <xdr:to>
      <xdr:col>0</xdr:col>
      <xdr:colOff>2781300</xdr:colOff>
      <xdr:row>30</xdr:row>
      <xdr:rowOff>266700</xdr:rowOff>
    </xdr:to>
    <xdr:sp macro="" textlink="">
      <xdr:nvSpPr>
        <xdr:cNvPr id="1033" name="Arc 9">
          <a:extLst>
            <a:ext uri="{FF2B5EF4-FFF2-40B4-BE49-F238E27FC236}">
              <a16:creationId xmlns:a16="http://schemas.microsoft.com/office/drawing/2014/main" id="{00000000-0008-0000-0500-000009040000}"/>
            </a:ext>
          </a:extLst>
        </xdr:cNvPr>
        <xdr:cNvSpPr>
          <a:spLocks/>
        </xdr:cNvSpPr>
      </xdr:nvSpPr>
      <xdr:spPr bwMode="auto">
        <a:xfrm>
          <a:off x="2654300" y="7899400"/>
          <a:ext cx="127000" cy="13970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</a:path>
            <a:path w="21600" h="21600" stroke="0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2667000</xdr:colOff>
      <xdr:row>31</xdr:row>
      <xdr:rowOff>0</xdr:rowOff>
    </xdr:from>
    <xdr:to>
      <xdr:col>0</xdr:col>
      <xdr:colOff>2781300</xdr:colOff>
      <xdr:row>31</xdr:row>
      <xdr:rowOff>177800</xdr:rowOff>
    </xdr:to>
    <xdr:sp macro="" textlink="">
      <xdr:nvSpPr>
        <xdr:cNvPr id="1034" name="Arc 10">
          <a:extLst>
            <a:ext uri="{FF2B5EF4-FFF2-40B4-BE49-F238E27FC236}">
              <a16:creationId xmlns:a16="http://schemas.microsoft.com/office/drawing/2014/main" id="{00000000-0008-0000-0500-00000A040000}"/>
            </a:ext>
          </a:extLst>
        </xdr:cNvPr>
        <xdr:cNvSpPr>
          <a:spLocks/>
        </xdr:cNvSpPr>
      </xdr:nvSpPr>
      <xdr:spPr bwMode="auto">
        <a:xfrm flipV="1">
          <a:off x="2667000" y="8039100"/>
          <a:ext cx="114300" cy="17780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</a:path>
            <a:path w="21600" h="21600" stroke="0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2654300</xdr:colOff>
      <xdr:row>11</xdr:row>
      <xdr:rowOff>127000</xdr:rowOff>
    </xdr:from>
    <xdr:to>
      <xdr:col>1</xdr:col>
      <xdr:colOff>2768600</xdr:colOff>
      <xdr:row>11</xdr:row>
      <xdr:rowOff>266700</xdr:rowOff>
    </xdr:to>
    <xdr:sp macro="" textlink="">
      <xdr:nvSpPr>
        <xdr:cNvPr id="16385" name="Arc 1">
          <a:extLst>
            <a:ext uri="{FF2B5EF4-FFF2-40B4-BE49-F238E27FC236}">
              <a16:creationId xmlns:a16="http://schemas.microsoft.com/office/drawing/2014/main" id="{00000000-0008-0000-0A00-000001400000}"/>
            </a:ext>
          </a:extLst>
        </xdr:cNvPr>
        <xdr:cNvSpPr>
          <a:spLocks/>
        </xdr:cNvSpPr>
      </xdr:nvSpPr>
      <xdr:spPr bwMode="auto">
        <a:xfrm>
          <a:off x="2844800" y="2298700"/>
          <a:ext cx="114300" cy="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</a:path>
            <a:path w="21600" h="21600" stroke="0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2654300</xdr:colOff>
      <xdr:row>38</xdr:row>
      <xdr:rowOff>127000</xdr:rowOff>
    </xdr:from>
    <xdr:to>
      <xdr:col>1</xdr:col>
      <xdr:colOff>2768600</xdr:colOff>
      <xdr:row>38</xdr:row>
      <xdr:rowOff>266700</xdr:rowOff>
    </xdr:to>
    <xdr:sp macro="" textlink="">
      <xdr:nvSpPr>
        <xdr:cNvPr id="16386" name="Arc 2">
          <a:extLst>
            <a:ext uri="{FF2B5EF4-FFF2-40B4-BE49-F238E27FC236}">
              <a16:creationId xmlns:a16="http://schemas.microsoft.com/office/drawing/2014/main" id="{00000000-0008-0000-0A00-000002400000}"/>
            </a:ext>
          </a:extLst>
        </xdr:cNvPr>
        <xdr:cNvSpPr>
          <a:spLocks/>
        </xdr:cNvSpPr>
      </xdr:nvSpPr>
      <xdr:spPr bwMode="auto">
        <a:xfrm>
          <a:off x="2844800" y="9169400"/>
          <a:ext cx="114300" cy="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</a:path>
            <a:path w="21600" h="21600" stroke="0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2654300</xdr:colOff>
      <xdr:row>38</xdr:row>
      <xdr:rowOff>127000</xdr:rowOff>
    </xdr:from>
    <xdr:to>
      <xdr:col>1</xdr:col>
      <xdr:colOff>2768600</xdr:colOff>
      <xdr:row>38</xdr:row>
      <xdr:rowOff>266700</xdr:rowOff>
    </xdr:to>
    <xdr:sp macro="" textlink="">
      <xdr:nvSpPr>
        <xdr:cNvPr id="16387" name="Arc 3">
          <a:extLst>
            <a:ext uri="{FF2B5EF4-FFF2-40B4-BE49-F238E27FC236}">
              <a16:creationId xmlns:a16="http://schemas.microsoft.com/office/drawing/2014/main" id="{00000000-0008-0000-0A00-000003400000}"/>
            </a:ext>
          </a:extLst>
        </xdr:cNvPr>
        <xdr:cNvSpPr>
          <a:spLocks/>
        </xdr:cNvSpPr>
      </xdr:nvSpPr>
      <xdr:spPr bwMode="auto">
        <a:xfrm>
          <a:off x="2844800" y="9169400"/>
          <a:ext cx="114300" cy="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</a:path>
            <a:path w="21600" h="21600" stroke="0" extrusionOk="0">
              <a:moveTo>
                <a:pt x="0" y="-1"/>
              </a:moveTo>
              <a:cubicBezTo>
                <a:pt x="11929" y="-1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101600</xdr:colOff>
      <xdr:row>35</xdr:row>
      <xdr:rowOff>76200</xdr:rowOff>
    </xdr:to>
    <xdr:graphicFrame macro="">
      <xdr:nvGraphicFramePr>
        <xdr:cNvPr id="4097" name="Graphique 1">
          <a:extLst>
            <a:ext uri="{FF2B5EF4-FFF2-40B4-BE49-F238E27FC236}">
              <a16:creationId xmlns:a16="http://schemas.microsoft.com/office/drawing/2014/main" id="{00000000-0008-0000-19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0.0897</cdr:x>
      <cdr:y>0.93617</cdr:y>
    </cdr:from>
    <cdr:to>
      <cdr:x>0.20873</cdr:x>
      <cdr:y>0.97371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8849" y="5076768"/>
          <a:ext cx="1192724" cy="203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5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Source: Datastream</a:t>
          </a:r>
        </a:p>
      </cdr:txBody>
    </cdr:sp>
  </cdr:relSizeAnchor>
  <cdr:relSizeAnchor xmlns:cdr="http://schemas.openxmlformats.org/drawingml/2006/chartDrawing">
    <cdr:from>
      <cdr:x>0.11519</cdr:x>
      <cdr:y>0.80812</cdr:y>
    </cdr:from>
    <cdr:to>
      <cdr:x>0.11519</cdr:x>
      <cdr:y>0.8167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154255" y="4382338"/>
          <a:ext cx="0" cy="46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0.00507</cdr:x>
      <cdr:y>0.00937</cdr:y>
    </cdr:from>
    <cdr:to>
      <cdr:x>0.01274</cdr:x>
      <cdr:y>0.0469</cdr:y>
    </cdr:to>
    <cdr:sp macro="" textlink="">
      <cdr:nvSpPr>
        <cdr:cNvPr id="51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6870" cy="203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0.10777</cdr:x>
      <cdr:y>0.82063</cdr:y>
    </cdr:from>
    <cdr:to>
      <cdr:x>0.14192</cdr:x>
      <cdr:y>0.85816</cdr:y>
    </cdr:to>
    <cdr:sp macro="" textlink="">
      <cdr:nvSpPr>
        <cdr:cNvPr id="51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865" y="4450185"/>
          <a:ext cx="342195" cy="203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1967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673100</xdr:colOff>
      <xdr:row>1</xdr:row>
      <xdr:rowOff>0</xdr:rowOff>
    </xdr:to>
    <xdr:sp macro="" textlink="">
      <xdr:nvSpPr>
        <xdr:cNvPr id="17410" name="XLDataChannel1" hidden="1">
          <a:extLst>
            <a:ext uri="{63B3BB69-23CF-44E3-9099-C40C66FF867C}">
              <a14:compatExt xmlns:a14="http://schemas.microsoft.com/office/drawing/2010/main" spid="_x0000_s17410"/>
            </a:ext>
            <a:ext uri="{FF2B5EF4-FFF2-40B4-BE49-F238E27FC236}">
              <a16:creationId xmlns:a16="http://schemas.microsoft.com/office/drawing/2014/main" id="{00000000-0008-0000-1B00-0000024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673100</xdr:colOff>
      <xdr:row>1</xdr:row>
      <xdr:rowOff>0</xdr:rowOff>
    </xdr:to>
    <xdr:sp macro="" textlink="">
      <xdr:nvSpPr>
        <xdr:cNvPr id="17412" name="XLDataChannel2" hidden="1">
          <a:extLst>
            <a:ext uri="{63B3BB69-23CF-44E3-9099-C40C66FF867C}">
              <a14:compatExt xmlns:a14="http://schemas.microsoft.com/office/drawing/2010/main" spid="_x0000_s17412"/>
            </a:ext>
            <a:ext uri="{FF2B5EF4-FFF2-40B4-BE49-F238E27FC236}">
              <a16:creationId xmlns:a16="http://schemas.microsoft.com/office/drawing/2014/main" id="{00000000-0008-0000-1B00-0000044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 fPrintsWithSheet="0"/>
  </xdr:twoCellAnchor>
  <xdr:twoCellAnchor editAs="oneCell">
    <xdr:from>
      <xdr:col>7</xdr:col>
      <xdr:colOff>0</xdr:colOff>
      <xdr:row>0</xdr:row>
      <xdr:rowOff>0</xdr:rowOff>
    </xdr:from>
    <xdr:to>
      <xdr:col>7</xdr:col>
      <xdr:colOff>673100</xdr:colOff>
      <xdr:row>1</xdr:row>
      <xdr:rowOff>0</xdr:rowOff>
    </xdr:to>
    <xdr:sp macro="" textlink="">
      <xdr:nvSpPr>
        <xdr:cNvPr id="17414" name="XLDataChannel3" hidden="1">
          <a:extLst>
            <a:ext uri="{63B3BB69-23CF-44E3-9099-C40C66FF867C}">
              <a14:compatExt xmlns:a14="http://schemas.microsoft.com/office/drawing/2010/main" spid="_x0000_s17414"/>
            </a:ext>
            <a:ext uri="{FF2B5EF4-FFF2-40B4-BE49-F238E27FC236}">
              <a16:creationId xmlns:a16="http://schemas.microsoft.com/office/drawing/2014/main" id="{00000000-0008-0000-1B00-0000064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 fPrintsWithSheet="0"/>
  </xdr:twoCellAnchor>
  <xdr:twoCellAnchor editAs="oneCell">
    <xdr:from>
      <xdr:col>11</xdr:col>
      <xdr:colOff>0</xdr:colOff>
      <xdr:row>0</xdr:row>
      <xdr:rowOff>0</xdr:rowOff>
    </xdr:from>
    <xdr:to>
      <xdr:col>11</xdr:col>
      <xdr:colOff>673100</xdr:colOff>
      <xdr:row>1</xdr:row>
      <xdr:rowOff>0</xdr:rowOff>
    </xdr:to>
    <xdr:sp macro="" textlink="">
      <xdr:nvSpPr>
        <xdr:cNvPr id="17416" name="XLDataChannel4" hidden="1">
          <a:extLst>
            <a:ext uri="{63B3BB69-23CF-44E3-9099-C40C66FF867C}">
              <a14:compatExt xmlns:a14="http://schemas.microsoft.com/office/drawing/2010/main" spid="_x0000_s17416"/>
            </a:ext>
            <a:ext uri="{FF2B5EF4-FFF2-40B4-BE49-F238E27FC236}">
              <a16:creationId xmlns:a16="http://schemas.microsoft.com/office/drawing/2014/main" id="{00000000-0008-0000-1B00-0000084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673100</xdr:colOff>
      <xdr:row>1</xdr:row>
      <xdr:rowOff>0</xdr:rowOff>
    </xdr:to>
    <xdr:pic>
      <xdr:nvPicPr>
        <xdr:cNvPr id="2" name="XLDataChannel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3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673100</xdr:colOff>
      <xdr:row>1</xdr:row>
      <xdr:rowOff>0</xdr:rowOff>
    </xdr:to>
    <xdr:pic>
      <xdr:nvPicPr>
        <xdr:cNvPr id="3" name="XLDataChannel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0"/>
          <a:ext cx="673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0</xdr:row>
      <xdr:rowOff>0</xdr:rowOff>
    </xdr:from>
    <xdr:to>
      <xdr:col>7</xdr:col>
      <xdr:colOff>673100</xdr:colOff>
      <xdr:row>1</xdr:row>
      <xdr:rowOff>0</xdr:rowOff>
    </xdr:to>
    <xdr:pic>
      <xdr:nvPicPr>
        <xdr:cNvPr id="4" name="XLDataChannel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0"/>
          <a:ext cx="673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0</xdr:colOff>
      <xdr:row>0</xdr:row>
      <xdr:rowOff>0</xdr:rowOff>
    </xdr:from>
    <xdr:to>
      <xdr:col>11</xdr:col>
      <xdr:colOff>673100</xdr:colOff>
      <xdr:row>1</xdr:row>
      <xdr:rowOff>0</xdr:rowOff>
    </xdr:to>
    <xdr:pic>
      <xdr:nvPicPr>
        <xdr:cNvPr id="5" name="XLDataChannel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0" y="0"/>
          <a:ext cx="673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quiry/Library/Containers/com.apple.mail/Data/Library/Mail%20Downloads/2EF98867-2BAF-4308-9E79-08E6BE808668/WINDOWS/Desktop/tobi/C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70%20B80%20C90%20D0%20E10%20u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70%20B80%20C90%20D0%20E10%20uk%2016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90 résultat"/>
      <sheetName val="c90 bilan"/>
      <sheetName val="c90 trésorerie"/>
      <sheetName val="c90 fdr"/>
      <sheetName val="c90 rentabilit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70 P&amp;L"/>
      <sheetName val="a70 Balance sheet"/>
      <sheetName val="a70 Working capital"/>
      <sheetName val="a70 Cash flow"/>
      <sheetName val="a70 Returns"/>
      <sheetName val="b80 P&amp;L"/>
      <sheetName val="b80 Balance sheet"/>
      <sheetName val="b80 Working capital"/>
      <sheetName val="b80 Cash flow"/>
      <sheetName val="b80 Returns"/>
      <sheetName val="c90 P&amp;L"/>
      <sheetName val="c90 Balance sheet"/>
      <sheetName val="c90 Working capital"/>
      <sheetName val="c90 Cash flow"/>
      <sheetName val="c90 Returns"/>
      <sheetName val="d00 P&amp;L "/>
      <sheetName val="d00 Balance sheet"/>
      <sheetName val="d00 Working capital"/>
      <sheetName val="d00 Cash flow"/>
      <sheetName val="d00 Retunrs"/>
      <sheetName val="e10 P&amp;L"/>
      <sheetName val="e10  cash flow"/>
      <sheetName val="e10 balancesheet"/>
      <sheetName val="e10 working cap"/>
      <sheetName val="e10 returns"/>
      <sheetName val="rates"/>
      <sheetName val="Appendix"/>
      <sheetName val="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B5">
            <v>98786</v>
          </cell>
          <cell r="C5">
            <v>103630</v>
          </cell>
          <cell r="D5">
            <v>95758</v>
          </cell>
          <cell r="E5">
            <v>99870</v>
          </cell>
          <cell r="F5">
            <v>106916</v>
          </cell>
          <cell r="G5">
            <v>104507</v>
          </cell>
          <cell r="H5">
            <v>98367</v>
          </cell>
          <cell r="I5">
            <v>92793</v>
          </cell>
        </row>
      </sheetData>
      <sheetData sheetId="21" refreshError="1"/>
      <sheetData sheetId="22" refreshError="1">
        <row r="10">
          <cell r="B10">
            <v>2664</v>
          </cell>
          <cell r="C10">
            <v>2701</v>
          </cell>
          <cell r="D10">
            <v>2494</v>
          </cell>
          <cell r="E10">
            <v>2450</v>
          </cell>
          <cell r="F10">
            <v>2595</v>
          </cell>
          <cell r="G10">
            <v>2287</v>
          </cell>
          <cell r="H10">
            <v>2310</v>
          </cell>
          <cell r="I10">
            <v>2103</v>
          </cell>
        </row>
        <row r="11">
          <cell r="B11">
            <v>27530</v>
          </cell>
          <cell r="C11">
            <v>25328</v>
          </cell>
          <cell r="D11">
            <v>23030</v>
          </cell>
          <cell r="E11">
            <v>23527</v>
          </cell>
          <cell r="F11">
            <v>24293</v>
          </cell>
          <cell r="G11">
            <v>26947</v>
          </cell>
          <cell r="H11">
            <v>27926</v>
          </cell>
          <cell r="I11">
            <v>27372</v>
          </cell>
        </row>
        <row r="13">
          <cell r="B13">
            <v>8054</v>
          </cell>
          <cell r="C13">
            <v>7014</v>
          </cell>
          <cell r="D13">
            <v>7436</v>
          </cell>
          <cell r="E13">
            <v>7804</v>
          </cell>
          <cell r="F13">
            <v>8517</v>
          </cell>
          <cell r="G13">
            <v>7952</v>
          </cell>
          <cell r="H13">
            <v>7461</v>
          </cell>
          <cell r="I13">
            <v>6864</v>
          </cell>
        </row>
        <row r="15">
          <cell r="B15">
            <v>3842</v>
          </cell>
          <cell r="C15">
            <v>3176</v>
          </cell>
          <cell r="D15">
            <v>-339</v>
          </cell>
          <cell r="E15">
            <v>-227</v>
          </cell>
          <cell r="F15">
            <v>1677</v>
          </cell>
          <cell r="G15">
            <v>3159</v>
          </cell>
          <cell r="H15">
            <v>4055</v>
          </cell>
          <cell r="I15">
            <v>3736</v>
          </cell>
        </row>
      </sheetData>
      <sheetData sheetId="23" refreshError="1">
        <row r="8">
          <cell r="B8">
            <v>98786</v>
          </cell>
          <cell r="C8">
            <v>103630</v>
          </cell>
          <cell r="D8">
            <v>95758</v>
          </cell>
          <cell r="E8">
            <v>99870</v>
          </cell>
          <cell r="F8">
            <v>106916</v>
          </cell>
          <cell r="G8">
            <v>104507</v>
          </cell>
          <cell r="H8">
            <v>98367</v>
          </cell>
          <cell r="I8">
            <v>92793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70 P&amp;L"/>
      <sheetName val="a70 Balance sheet"/>
      <sheetName val="a70 Working capital"/>
      <sheetName val="a70 Cash flow"/>
      <sheetName val="a70 Returns"/>
      <sheetName val="b80 P&amp;L"/>
      <sheetName val="b80 Balance sheet"/>
      <sheetName val="b80 Working capital"/>
      <sheetName val="b80 Cash flow"/>
      <sheetName val="b80 Returns"/>
      <sheetName val="c90 P&amp;L"/>
      <sheetName val="c90 Balance sheet"/>
      <sheetName val="c90 Working capital"/>
      <sheetName val="c90 Cash flow"/>
      <sheetName val="c90 Returns"/>
      <sheetName val="d00 P&amp;L "/>
      <sheetName val="d00 Balance sheet"/>
      <sheetName val="d00 Working capital"/>
      <sheetName val="d00 Cash flow"/>
      <sheetName val="d00 Returns"/>
      <sheetName val="e10 P&amp;L"/>
      <sheetName val="e10  cash flow"/>
      <sheetName val="e10 balancesheet"/>
      <sheetName val="e10 working cap"/>
      <sheetName val="e10 returns"/>
      <sheetName val="rates"/>
      <sheetName val="Append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5">
          <cell r="J5">
            <v>81741</v>
          </cell>
          <cell r="L5">
            <v>79139</v>
          </cell>
        </row>
      </sheetData>
      <sheetData sheetId="21" refreshError="1"/>
      <sheetData sheetId="22">
        <row r="10">
          <cell r="J10">
            <v>1551</v>
          </cell>
          <cell r="L10">
            <v>1583</v>
          </cell>
        </row>
        <row r="11">
          <cell r="J11">
            <v>26345</v>
          </cell>
          <cell r="L11">
            <v>28647</v>
          </cell>
        </row>
        <row r="13">
          <cell r="J13">
            <v>6028</v>
          </cell>
        </row>
        <row r="15">
          <cell r="J15">
            <v>4644</v>
          </cell>
          <cell r="L15">
            <v>2618</v>
          </cell>
        </row>
      </sheetData>
      <sheetData sheetId="23">
        <row r="8">
          <cell r="J8">
            <v>81741</v>
          </cell>
          <cell r="L8">
            <v>79139</v>
          </cell>
        </row>
      </sheetData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39"/>
  <sheetViews>
    <sheetView workbookViewId="0">
      <selection activeCell="B28" sqref="B28"/>
    </sheetView>
  </sheetViews>
  <sheetFormatPr baseColWidth="10" defaultColWidth="11.5" defaultRowHeight="13" x14ac:dyDescent="0.15"/>
  <cols>
    <col min="1" max="1" width="50.6640625" style="6" customWidth="1"/>
    <col min="2" max="2" width="8.6640625" style="100" customWidth="1"/>
    <col min="3" max="11" width="8.6640625" customWidth="1"/>
  </cols>
  <sheetData>
    <row r="1" spans="1:11" s="23" customFormat="1" ht="24.75" customHeight="1" thickBot="1" x14ac:dyDescent="0.2">
      <c r="A1" s="24"/>
      <c r="B1" s="24">
        <v>1968</v>
      </c>
      <c r="C1" s="22">
        <v>1969</v>
      </c>
      <c r="D1" s="22">
        <v>1970</v>
      </c>
      <c r="E1" s="22">
        <v>1971</v>
      </c>
      <c r="F1" s="22">
        <v>1972</v>
      </c>
      <c r="G1" s="22">
        <v>1973</v>
      </c>
      <c r="H1" s="22">
        <v>1974</v>
      </c>
      <c r="I1" s="22">
        <v>1975</v>
      </c>
      <c r="J1" s="22">
        <v>1976</v>
      </c>
      <c r="K1" s="22">
        <v>1977</v>
      </c>
    </row>
    <row r="2" spans="1:11" s="16" customFormat="1" ht="24.75" customHeight="1" x14ac:dyDescent="0.15">
      <c r="A2" s="124" t="s">
        <v>0</v>
      </c>
      <c r="B2" s="101">
        <v>202.3</v>
      </c>
      <c r="C2" s="15">
        <v>249.1</v>
      </c>
      <c r="D2" s="15">
        <v>315.10000000000002</v>
      </c>
      <c r="E2" s="15">
        <v>404.2</v>
      </c>
      <c r="F2" s="15">
        <v>571.6</v>
      </c>
      <c r="G2" s="15">
        <v>740.2</v>
      </c>
      <c r="H2" s="15">
        <v>986.3</v>
      </c>
      <c r="I2" s="15">
        <v>1184.4000000000001</v>
      </c>
      <c r="J2" s="15">
        <v>1380.7</v>
      </c>
      <c r="K2" s="15">
        <v>1458</v>
      </c>
    </row>
    <row r="3" spans="1:11" ht="24.75" customHeight="1" x14ac:dyDescent="0.15">
      <c r="A3" s="5" t="s">
        <v>1</v>
      </c>
      <c r="B3" s="102">
        <v>1.1000000000000001</v>
      </c>
      <c r="C3" s="1">
        <v>21.8</v>
      </c>
      <c r="D3" s="1">
        <v>22.8</v>
      </c>
      <c r="E3" s="1">
        <v>16.899999999999999</v>
      </c>
      <c r="F3" s="1">
        <v>12</v>
      </c>
      <c r="G3" s="1">
        <v>10.1</v>
      </c>
      <c r="H3" s="1">
        <v>27.2</v>
      </c>
      <c r="I3" s="1">
        <v>7.3</v>
      </c>
      <c r="J3" s="1">
        <v>64</v>
      </c>
      <c r="K3" s="1">
        <v>73.900000000000006</v>
      </c>
    </row>
    <row r="4" spans="1:11" s="115" customFormat="1" ht="24.75" customHeight="1" x14ac:dyDescent="0.15">
      <c r="A4" s="123" t="s">
        <v>2</v>
      </c>
      <c r="B4" s="121">
        <v>203.4</v>
      </c>
      <c r="C4" s="122">
        <v>270.89999999999998</v>
      </c>
      <c r="D4" s="122">
        <v>337.9</v>
      </c>
      <c r="E4" s="122">
        <v>421.1</v>
      </c>
      <c r="F4" s="122">
        <v>583.6</v>
      </c>
      <c r="G4" s="122">
        <v>750.3</v>
      </c>
      <c r="H4" s="122">
        <v>1013.5</v>
      </c>
      <c r="I4" s="122">
        <v>1191.7</v>
      </c>
      <c r="J4" s="122">
        <v>1444.7</v>
      </c>
      <c r="K4" s="122">
        <v>1531.9</v>
      </c>
    </row>
    <row r="5" spans="1:11" ht="24.75" customHeight="1" x14ac:dyDescent="0.15">
      <c r="A5" s="7" t="s">
        <v>3</v>
      </c>
      <c r="B5" s="102" t="s">
        <v>217</v>
      </c>
      <c r="C5" s="1">
        <v>104.3</v>
      </c>
      <c r="D5" s="1">
        <v>128.1</v>
      </c>
      <c r="E5" s="1">
        <v>156.9</v>
      </c>
      <c r="F5" s="1">
        <v>214.5</v>
      </c>
      <c r="G5" s="1">
        <v>300.10000000000002</v>
      </c>
      <c r="H5" s="1">
        <v>397.9</v>
      </c>
      <c r="I5" s="1">
        <v>457.2</v>
      </c>
      <c r="J5" s="1">
        <v>546.1</v>
      </c>
      <c r="K5" s="1">
        <v>546.29999999999995</v>
      </c>
    </row>
    <row r="6" spans="1:11" s="57" customFormat="1" ht="24.75" customHeight="1" x14ac:dyDescent="0.15">
      <c r="A6" s="31" t="s">
        <v>4</v>
      </c>
      <c r="B6" s="103">
        <v>27.4</v>
      </c>
      <c r="C6" s="14">
        <v>33.799999999999997</v>
      </c>
      <c r="D6" s="14">
        <v>42.9</v>
      </c>
      <c r="E6" s="14">
        <v>53</v>
      </c>
      <c r="F6" s="14">
        <v>72.099999999999994</v>
      </c>
      <c r="G6" s="14">
        <v>79.2</v>
      </c>
      <c r="H6" s="14">
        <v>90.5</v>
      </c>
      <c r="I6" s="14">
        <v>117.7</v>
      </c>
      <c r="J6" s="14">
        <v>149.19999999999999</v>
      </c>
      <c r="K6" s="14">
        <v>162.69999999999999</v>
      </c>
    </row>
    <row r="7" spans="1:11" ht="24.75" customHeight="1" x14ac:dyDescent="0.15">
      <c r="A7" s="7" t="s">
        <v>5</v>
      </c>
      <c r="B7" s="102" t="s">
        <v>218</v>
      </c>
      <c r="C7" s="1">
        <v>132.80000000000001</v>
      </c>
      <c r="D7" s="1">
        <v>166.9</v>
      </c>
      <c r="E7" s="1">
        <v>211.2</v>
      </c>
      <c r="F7" s="1">
        <v>297</v>
      </c>
      <c r="G7" s="1">
        <v>371</v>
      </c>
      <c r="H7" s="1">
        <v>525.1</v>
      </c>
      <c r="I7" s="1">
        <v>616.79999999999995</v>
      </c>
      <c r="J7" s="1">
        <v>749.4</v>
      </c>
      <c r="K7" s="1">
        <v>822.9</v>
      </c>
    </row>
    <row r="8" spans="1:11" ht="24.75" customHeight="1" x14ac:dyDescent="0.15">
      <c r="A8" s="7" t="s">
        <v>6</v>
      </c>
      <c r="B8" s="102" t="s">
        <v>219</v>
      </c>
      <c r="C8" s="1">
        <v>88.1</v>
      </c>
      <c r="D8" s="1">
        <v>105.9</v>
      </c>
      <c r="E8" s="1">
        <v>133.80000000000001</v>
      </c>
      <c r="F8" s="1">
        <v>179.6</v>
      </c>
      <c r="G8" s="1">
        <v>229.1</v>
      </c>
      <c r="H8" s="1">
        <v>350.2</v>
      </c>
      <c r="I8" s="1">
        <v>412.2</v>
      </c>
      <c r="J8" s="1">
        <v>487.3</v>
      </c>
      <c r="K8" s="1">
        <v>534.79999999999995</v>
      </c>
    </row>
    <row r="9" spans="1:11" s="57" customFormat="1" ht="24.75" customHeight="1" x14ac:dyDescent="0.15">
      <c r="A9" s="31" t="s">
        <v>7</v>
      </c>
      <c r="B9" s="103">
        <v>1.4</v>
      </c>
      <c r="C9" s="14">
        <v>2</v>
      </c>
      <c r="D9" s="14">
        <v>2.7</v>
      </c>
      <c r="E9" s="14">
        <v>3.8</v>
      </c>
      <c r="F9" s="14">
        <v>7.1</v>
      </c>
      <c r="G9" s="14">
        <v>8</v>
      </c>
      <c r="H9" s="14">
        <v>8.3000000000000007</v>
      </c>
      <c r="I9" s="14">
        <v>12.4</v>
      </c>
      <c r="J9" s="14">
        <v>13.4</v>
      </c>
      <c r="K9" s="14">
        <v>18.100000000000001</v>
      </c>
    </row>
    <row r="10" spans="1:11" s="57" customFormat="1" ht="24.75" customHeight="1" x14ac:dyDescent="0.15">
      <c r="A10" s="31" t="s">
        <v>8</v>
      </c>
      <c r="B10" s="103">
        <v>3.3</v>
      </c>
      <c r="C10" s="14">
        <v>3.1</v>
      </c>
      <c r="D10" s="14">
        <v>3.7</v>
      </c>
      <c r="E10" s="14">
        <v>4.3</v>
      </c>
      <c r="F10" s="14">
        <v>4.5</v>
      </c>
      <c r="G10" s="14">
        <v>2</v>
      </c>
      <c r="H10" s="14">
        <v>2.1</v>
      </c>
      <c r="I10" s="14">
        <v>2.6</v>
      </c>
      <c r="J10" s="14">
        <v>2.6</v>
      </c>
      <c r="K10" s="14">
        <v>4.3</v>
      </c>
    </row>
    <row r="11" spans="1:11" ht="24.75" customHeight="1" x14ac:dyDescent="0.15">
      <c r="A11" s="7" t="s">
        <v>9</v>
      </c>
      <c r="B11" s="102">
        <v>33.9</v>
      </c>
      <c r="C11" s="1">
        <v>39.6</v>
      </c>
      <c r="D11" s="1">
        <v>54.6</v>
      </c>
      <c r="E11" s="1">
        <v>69.3</v>
      </c>
      <c r="F11" s="1">
        <v>105.8</v>
      </c>
      <c r="G11" s="1">
        <v>131.9</v>
      </c>
      <c r="H11" s="1">
        <v>164.5</v>
      </c>
      <c r="I11" s="1">
        <v>189.6</v>
      </c>
      <c r="J11" s="1">
        <v>246.1</v>
      </c>
      <c r="K11" s="1">
        <v>265.7</v>
      </c>
    </row>
    <row r="12" spans="1:11" ht="24.75" customHeight="1" x14ac:dyDescent="0.15">
      <c r="A12" s="7" t="s">
        <v>10</v>
      </c>
      <c r="B12" s="102">
        <v>16.100000000000001</v>
      </c>
      <c r="C12" s="1">
        <v>18.5</v>
      </c>
      <c r="D12" s="1">
        <v>24</v>
      </c>
      <c r="E12" s="1">
        <v>30.4</v>
      </c>
      <c r="F12" s="1">
        <v>38.4</v>
      </c>
      <c r="G12" s="1">
        <v>50.1</v>
      </c>
      <c r="H12" s="1">
        <v>74.900000000000006</v>
      </c>
      <c r="I12" s="1">
        <v>80.2</v>
      </c>
      <c r="J12" s="1">
        <v>89</v>
      </c>
      <c r="K12" s="1">
        <v>106.4</v>
      </c>
    </row>
    <row r="13" spans="1:11" ht="9.75" customHeight="1" x14ac:dyDescent="0.15">
      <c r="A13" s="13" t="s">
        <v>11</v>
      </c>
      <c r="B13" s="103"/>
      <c r="C13" s="14"/>
      <c r="D13" s="14"/>
      <c r="E13" s="14"/>
      <c r="F13" s="14"/>
      <c r="G13" s="14"/>
      <c r="H13" s="14"/>
      <c r="I13" s="14"/>
      <c r="J13" s="14"/>
      <c r="K13" s="14"/>
    </row>
    <row r="14" spans="1:11" s="16" customFormat="1" ht="24.75" customHeight="1" x14ac:dyDescent="0.15">
      <c r="A14" s="61" t="s">
        <v>12</v>
      </c>
      <c r="B14" s="101">
        <v>17.8</v>
      </c>
      <c r="C14" s="15">
        <v>21.1</v>
      </c>
      <c r="D14" s="15">
        <v>30.6</v>
      </c>
      <c r="E14" s="15">
        <v>38.9</v>
      </c>
      <c r="F14" s="15">
        <v>67.400000000000006</v>
      </c>
      <c r="G14" s="15">
        <v>81.8</v>
      </c>
      <c r="H14" s="15">
        <v>89.6</v>
      </c>
      <c r="I14" s="15">
        <v>109.4</v>
      </c>
      <c r="J14" s="15">
        <v>157.1</v>
      </c>
      <c r="K14" s="15">
        <v>159.30000000000001</v>
      </c>
    </row>
    <row r="15" spans="1:11" ht="24.75" customHeight="1" x14ac:dyDescent="0.15">
      <c r="A15" s="7" t="s">
        <v>13</v>
      </c>
      <c r="B15" s="102">
        <v>-2.4</v>
      </c>
      <c r="C15" s="1">
        <v>-4.3</v>
      </c>
      <c r="D15" s="1">
        <v>-8.1999999999999993</v>
      </c>
      <c r="E15" s="1">
        <v>-9.1999999999999993</v>
      </c>
      <c r="F15" s="1">
        <v>-9.9</v>
      </c>
      <c r="G15" s="1">
        <v>-11</v>
      </c>
      <c r="H15" s="1">
        <v>-12.1</v>
      </c>
      <c r="I15" s="1">
        <v>-9.1999999999999993</v>
      </c>
      <c r="J15" s="1">
        <v>-10.8</v>
      </c>
      <c r="K15" s="1">
        <v>-5.4</v>
      </c>
    </row>
    <row r="16" spans="1:11" s="57" customFormat="1" ht="24.75" customHeight="1" x14ac:dyDescent="0.15">
      <c r="A16" s="31" t="s">
        <v>14</v>
      </c>
      <c r="B16" s="103">
        <v>15.4</v>
      </c>
      <c r="C16" s="14">
        <v>16.8</v>
      </c>
      <c r="D16" s="14">
        <v>22.4</v>
      </c>
      <c r="E16" s="14">
        <v>29.7</v>
      </c>
      <c r="F16" s="14">
        <v>57.5</v>
      </c>
      <c r="G16" s="14">
        <v>70.8</v>
      </c>
      <c r="H16" s="14">
        <v>77.5</v>
      </c>
      <c r="I16" s="14">
        <v>100.2</v>
      </c>
      <c r="J16" s="14">
        <v>146.30000000000001</v>
      </c>
      <c r="K16" s="14">
        <v>153.9</v>
      </c>
    </row>
    <row r="17" spans="1:11" s="57" customFormat="1" ht="24.75" customHeight="1" x14ac:dyDescent="0.15">
      <c r="A17" s="31" t="s">
        <v>15</v>
      </c>
      <c r="B17" s="103" t="s">
        <v>16</v>
      </c>
      <c r="C17" s="14">
        <v>2.8</v>
      </c>
      <c r="D17" s="14">
        <v>0.4</v>
      </c>
      <c r="E17" s="14">
        <v>0.4</v>
      </c>
      <c r="F17" s="14">
        <v>0.8</v>
      </c>
      <c r="G17" s="14">
        <v>-8</v>
      </c>
      <c r="H17" s="14">
        <v>-10.1</v>
      </c>
      <c r="I17" s="14">
        <v>-2.1</v>
      </c>
      <c r="J17" s="14">
        <v>-10.3</v>
      </c>
      <c r="K17" s="14">
        <v>0.3</v>
      </c>
    </row>
    <row r="18" spans="1:11" s="57" customFormat="1" ht="24.75" customHeight="1" x14ac:dyDescent="0.15">
      <c r="A18" s="31" t="s">
        <v>17</v>
      </c>
      <c r="B18" s="103">
        <v>8.6999999999999993</v>
      </c>
      <c r="C18" s="14">
        <v>9.6999999999999993</v>
      </c>
      <c r="D18" s="14">
        <v>10.199999999999999</v>
      </c>
      <c r="E18" s="14">
        <v>15.1</v>
      </c>
      <c r="F18" s="14">
        <v>30</v>
      </c>
      <c r="G18" s="14">
        <v>33.200000000000003</v>
      </c>
      <c r="H18" s="14">
        <v>35.700000000000003</v>
      </c>
      <c r="I18" s="14">
        <v>45.7</v>
      </c>
      <c r="J18" s="14">
        <v>65.099999999999994</v>
      </c>
      <c r="K18" s="14">
        <v>78</v>
      </c>
    </row>
    <row r="19" spans="1:11" s="16" customFormat="1" ht="24.75" customHeight="1" thickBot="1" x14ac:dyDescent="0.2">
      <c r="A19" s="62" t="s">
        <v>18</v>
      </c>
      <c r="B19" s="104">
        <v>6.7</v>
      </c>
      <c r="C19" s="17">
        <v>9.9</v>
      </c>
      <c r="D19" s="17">
        <v>12.6</v>
      </c>
      <c r="E19" s="17">
        <v>15</v>
      </c>
      <c r="F19" s="17">
        <v>28.3</v>
      </c>
      <c r="G19" s="17">
        <v>29.6</v>
      </c>
      <c r="H19" s="17">
        <v>31.7</v>
      </c>
      <c r="I19" s="17">
        <v>52.4</v>
      </c>
      <c r="J19" s="17">
        <v>70.900000000000006</v>
      </c>
      <c r="K19" s="17">
        <v>76.2</v>
      </c>
    </row>
    <row r="20" spans="1:11" ht="14" thickBot="1" x14ac:dyDescent="0.2"/>
    <row r="21" spans="1:11" ht="24.75" customHeight="1" thickBot="1" x14ac:dyDescent="0.2">
      <c r="A21" s="24"/>
      <c r="B21" s="24">
        <v>1968</v>
      </c>
      <c r="C21" s="22">
        <v>1969</v>
      </c>
      <c r="D21" s="22">
        <v>1970</v>
      </c>
      <c r="E21" s="22">
        <v>1971</v>
      </c>
      <c r="F21" s="22">
        <v>1972</v>
      </c>
      <c r="G21" s="22">
        <v>1973</v>
      </c>
      <c r="H21" s="22">
        <v>1974</v>
      </c>
      <c r="I21" s="22">
        <v>1975</v>
      </c>
      <c r="J21" s="22">
        <v>1976</v>
      </c>
      <c r="K21" s="22">
        <v>1977</v>
      </c>
    </row>
    <row r="22" spans="1:11" s="115" customFormat="1" ht="24.75" customHeight="1" x14ac:dyDescent="0.15">
      <c r="A22" s="113" t="s">
        <v>0</v>
      </c>
      <c r="B22" s="114">
        <f>B2/B4</f>
        <v>0.99459193706981319</v>
      </c>
      <c r="C22" s="114">
        <f t="shared" ref="C22:K22" si="0">C2/C4</f>
        <v>0.91952750092284985</v>
      </c>
      <c r="D22" s="114">
        <f t="shared" si="0"/>
        <v>0.93252441550754672</v>
      </c>
      <c r="E22" s="114">
        <f t="shared" si="0"/>
        <v>0.95986701496081683</v>
      </c>
      <c r="F22" s="114">
        <f t="shared" si="0"/>
        <v>0.97943797121315967</v>
      </c>
      <c r="G22" s="114">
        <f t="shared" si="0"/>
        <v>0.98653871784619496</v>
      </c>
      <c r="H22" s="114">
        <f t="shared" si="0"/>
        <v>0.97316230883078436</v>
      </c>
      <c r="I22" s="114">
        <f t="shared" si="0"/>
        <v>0.99387429722245535</v>
      </c>
      <c r="J22" s="114">
        <f t="shared" si="0"/>
        <v>0.95570014535889802</v>
      </c>
      <c r="K22" s="114">
        <f t="shared" si="0"/>
        <v>0.9517592532149618</v>
      </c>
    </row>
    <row r="23" spans="1:11" ht="24.75" customHeight="1" x14ac:dyDescent="0.15">
      <c r="A23" s="5" t="s">
        <v>1</v>
      </c>
      <c r="B23" s="26">
        <f>B3/B4</f>
        <v>5.4080629301868242E-3</v>
      </c>
      <c r="C23" s="26">
        <f t="shared" ref="C23:K23" si="1">C3/C4</f>
        <v>8.0472499077150247E-2</v>
      </c>
      <c r="D23" s="26">
        <f t="shared" si="1"/>
        <v>6.7475584492453389E-2</v>
      </c>
      <c r="E23" s="26">
        <f t="shared" si="1"/>
        <v>4.0132985039183083E-2</v>
      </c>
      <c r="F23" s="26">
        <f t="shared" si="1"/>
        <v>2.0562028786840301E-2</v>
      </c>
      <c r="G23" s="26">
        <f t="shared" si="1"/>
        <v>1.3461282153805145E-2</v>
      </c>
      <c r="H23" s="26">
        <f t="shared" si="1"/>
        <v>2.683769116921559E-2</v>
      </c>
      <c r="I23" s="26">
        <f t="shared" si="1"/>
        <v>6.1257027775446834E-3</v>
      </c>
      <c r="J23" s="26">
        <f t="shared" si="1"/>
        <v>4.4299854641101956E-2</v>
      </c>
      <c r="K23" s="26">
        <f t="shared" si="1"/>
        <v>4.8240746785038188E-2</v>
      </c>
    </row>
    <row r="24" spans="1:11" s="16" customFormat="1" ht="24.75" customHeight="1" x14ac:dyDescent="0.15">
      <c r="A24" s="61" t="s">
        <v>2</v>
      </c>
      <c r="B24" s="116">
        <f>B4/B4</f>
        <v>1</v>
      </c>
      <c r="C24" s="116">
        <f t="shared" ref="C24:K24" si="2">C4/C4</f>
        <v>1</v>
      </c>
      <c r="D24" s="116">
        <f t="shared" si="2"/>
        <v>1</v>
      </c>
      <c r="E24" s="116">
        <f t="shared" si="2"/>
        <v>1</v>
      </c>
      <c r="F24" s="116">
        <f t="shared" si="2"/>
        <v>1</v>
      </c>
      <c r="G24" s="116">
        <f t="shared" si="2"/>
        <v>1</v>
      </c>
      <c r="H24" s="116">
        <f t="shared" si="2"/>
        <v>1</v>
      </c>
      <c r="I24" s="116">
        <f t="shared" si="2"/>
        <v>1</v>
      </c>
      <c r="J24" s="116">
        <f t="shared" si="2"/>
        <v>1</v>
      </c>
      <c r="K24" s="116">
        <f t="shared" si="2"/>
        <v>1</v>
      </c>
    </row>
    <row r="25" spans="1:11" ht="24.75" customHeight="1" x14ac:dyDescent="0.2">
      <c r="A25" s="7" t="s">
        <v>3</v>
      </c>
      <c r="B25" s="26">
        <v>0.39</v>
      </c>
      <c r="C25" s="26">
        <f t="shared" ref="C25:K25" si="3">C5/C4</f>
        <v>0.38501291989664083</v>
      </c>
      <c r="D25" s="26">
        <f t="shared" si="3"/>
        <v>0.37910624445102103</v>
      </c>
      <c r="E25" s="26">
        <f t="shared" si="3"/>
        <v>0.37259558299691287</v>
      </c>
      <c r="F25" s="26">
        <f t="shared" si="3"/>
        <v>0.36754626456477035</v>
      </c>
      <c r="G25" s="26">
        <f t="shared" si="3"/>
        <v>0.39997334399573509</v>
      </c>
      <c r="H25" s="26">
        <f t="shared" si="3"/>
        <v>0.39259990133201772</v>
      </c>
      <c r="I25" s="26">
        <f t="shared" si="3"/>
        <v>0.38365360409499033</v>
      </c>
      <c r="J25" s="26">
        <f t="shared" si="3"/>
        <v>0.37800235342977784</v>
      </c>
      <c r="K25" s="26">
        <f t="shared" si="3"/>
        <v>0.35661596709968008</v>
      </c>
    </row>
    <row r="26" spans="1:11" ht="24.75" customHeight="1" x14ac:dyDescent="0.2">
      <c r="A26" s="31" t="s">
        <v>4</v>
      </c>
      <c r="B26" s="108">
        <f>B6/B4</f>
        <v>0.13470993117010815</v>
      </c>
      <c r="C26" s="108">
        <f t="shared" ref="C26:K26" si="4">C6/C4</f>
        <v>0.12476928755998523</v>
      </c>
      <c r="D26" s="108">
        <f t="shared" si="4"/>
        <v>0.12696063924237941</v>
      </c>
      <c r="E26" s="108">
        <f t="shared" si="4"/>
        <v>0.12586084065542627</v>
      </c>
      <c r="F26" s="108">
        <f t="shared" si="4"/>
        <v>0.12354352296093213</v>
      </c>
      <c r="G26" s="108">
        <f t="shared" si="4"/>
        <v>0.10555777688924431</v>
      </c>
      <c r="H26" s="108">
        <f t="shared" si="4"/>
        <v>8.9294523926985697E-2</v>
      </c>
      <c r="I26" s="108">
        <f t="shared" si="4"/>
        <v>9.8766468070823191E-2</v>
      </c>
      <c r="J26" s="108">
        <f t="shared" si="4"/>
        <v>0.10327403613206892</v>
      </c>
      <c r="K26" s="108">
        <f t="shared" si="4"/>
        <v>0.10620797702199881</v>
      </c>
    </row>
    <row r="27" spans="1:11" ht="24.75" customHeight="1" x14ac:dyDescent="0.2">
      <c r="A27" s="7" t="s">
        <v>5</v>
      </c>
      <c r="B27" s="26">
        <v>0.47499999999999998</v>
      </c>
      <c r="C27" s="26">
        <f t="shared" ref="C27:K27" si="5">C7/C4</f>
        <v>0.490217792543374</v>
      </c>
      <c r="D27" s="26">
        <f t="shared" si="5"/>
        <v>0.49393311630659964</v>
      </c>
      <c r="E27" s="26">
        <f t="shared" si="5"/>
        <v>0.50154357634766078</v>
      </c>
      <c r="F27" s="26">
        <f t="shared" si="5"/>
        <v>0.50891021247429746</v>
      </c>
      <c r="G27" s="26">
        <f t="shared" si="5"/>
        <v>0.49446887911502069</v>
      </c>
      <c r="H27" s="26">
        <f t="shared" si="5"/>
        <v>0.51810557474099661</v>
      </c>
      <c r="I27" s="26">
        <f t="shared" si="5"/>
        <v>0.51757992783418638</v>
      </c>
      <c r="J27" s="26">
        <f t="shared" si="5"/>
        <v>0.51872361043815318</v>
      </c>
      <c r="K27" s="26">
        <f t="shared" si="5"/>
        <v>0.53717605587832096</v>
      </c>
    </row>
    <row r="28" spans="1:11" ht="24.75" customHeight="1" x14ac:dyDescent="0.2">
      <c r="A28" s="7" t="s">
        <v>6</v>
      </c>
      <c r="B28" s="26">
        <v>0.28599999999999998</v>
      </c>
      <c r="C28" s="26">
        <f t="shared" ref="C28:K28" si="6">C8/C4</f>
        <v>0.32521225544481358</v>
      </c>
      <c r="D28" s="26">
        <f t="shared" si="6"/>
        <v>0.31340633323468486</v>
      </c>
      <c r="E28" s="26">
        <f t="shared" si="6"/>
        <v>0.31773925433388744</v>
      </c>
      <c r="F28" s="26">
        <f t="shared" si="6"/>
        <v>0.30774503084304317</v>
      </c>
      <c r="G28" s="26">
        <f t="shared" si="6"/>
        <v>0.30534452885512464</v>
      </c>
      <c r="H28" s="26">
        <f t="shared" si="6"/>
        <v>0.34553527380365068</v>
      </c>
      <c r="I28" s="26">
        <f t="shared" si="6"/>
        <v>0.34589242258957786</v>
      </c>
      <c r="J28" s="26">
        <f t="shared" si="6"/>
        <v>0.33730186197826539</v>
      </c>
      <c r="K28" s="26">
        <f t="shared" si="6"/>
        <v>0.34910894967034395</v>
      </c>
    </row>
    <row r="29" spans="1:11" ht="24.75" customHeight="1" x14ac:dyDescent="0.2">
      <c r="A29" s="31" t="s">
        <v>7</v>
      </c>
      <c r="B29" s="108">
        <f>B9/B4</f>
        <v>6.882989183874139E-3</v>
      </c>
      <c r="C29" s="108">
        <f t="shared" ref="C29:K29" si="7">C9/C4</f>
        <v>7.3827980804724996E-3</v>
      </c>
      <c r="D29" s="108">
        <f t="shared" si="7"/>
        <v>7.9905297425273761E-3</v>
      </c>
      <c r="E29" s="108">
        <f t="shared" si="7"/>
        <v>9.0239848017098067E-3</v>
      </c>
      <c r="F29" s="108">
        <f t="shared" si="7"/>
        <v>1.2165867032213845E-2</v>
      </c>
      <c r="G29" s="108">
        <f t="shared" si="7"/>
        <v>1.0662401705984273E-2</v>
      </c>
      <c r="H29" s="108">
        <f t="shared" si="7"/>
        <v>8.1894425259003457E-3</v>
      </c>
      <c r="I29" s="108">
        <f t="shared" si="7"/>
        <v>1.0405303348158094E-2</v>
      </c>
      <c r="J29" s="108">
        <f t="shared" si="7"/>
        <v>9.2752820654807226E-3</v>
      </c>
      <c r="K29" s="108">
        <f t="shared" si="7"/>
        <v>1.1815392649650761E-2</v>
      </c>
    </row>
    <row r="30" spans="1:11" ht="24.75" customHeight="1" x14ac:dyDescent="0.2">
      <c r="A30" s="31" t="s">
        <v>8</v>
      </c>
      <c r="B30" s="108">
        <f>B10/B4</f>
        <v>1.6224188790560472E-2</v>
      </c>
      <c r="C30" s="108">
        <f t="shared" ref="C30:K30" si="8">C10/C4</f>
        <v>1.1443337024732375E-2</v>
      </c>
      <c r="D30" s="108">
        <f t="shared" si="8"/>
        <v>1.09499852027227E-2</v>
      </c>
      <c r="E30" s="108">
        <f t="shared" si="8"/>
        <v>1.0211351222987414E-2</v>
      </c>
      <c r="F30" s="108">
        <f t="shared" si="8"/>
        <v>7.7107607950651124E-3</v>
      </c>
      <c r="G30" s="108">
        <f t="shared" si="8"/>
        <v>2.6656004264960682E-3</v>
      </c>
      <c r="H30" s="108">
        <f t="shared" si="8"/>
        <v>2.0720276270350274E-3</v>
      </c>
      <c r="I30" s="108">
        <f t="shared" si="8"/>
        <v>2.1817571536460519E-3</v>
      </c>
      <c r="J30" s="108">
        <f t="shared" si="8"/>
        <v>1.7996815947947671E-3</v>
      </c>
      <c r="K30" s="108">
        <f t="shared" si="8"/>
        <v>2.8069717344474179E-3</v>
      </c>
    </row>
    <row r="31" spans="1:11" ht="24.75" customHeight="1" x14ac:dyDescent="0.2">
      <c r="A31" s="7" t="s">
        <v>9</v>
      </c>
      <c r="B31" s="26">
        <f>B11/B4</f>
        <v>0.16666666666666666</v>
      </c>
      <c r="C31" s="26">
        <f t="shared" ref="C31:K31" si="9">C11/C4</f>
        <v>0.1461794019933555</v>
      </c>
      <c r="D31" s="26">
        <f t="shared" si="9"/>
        <v>0.16158626812666471</v>
      </c>
      <c r="E31" s="26">
        <f t="shared" si="9"/>
        <v>0.16456898598907621</v>
      </c>
      <c r="F31" s="26">
        <f t="shared" si="9"/>
        <v>0.18128855380397532</v>
      </c>
      <c r="G31" s="26">
        <f t="shared" si="9"/>
        <v>0.17579634812741571</v>
      </c>
      <c r="H31" s="26">
        <f t="shared" si="9"/>
        <v>0.16230883078441047</v>
      </c>
      <c r="I31" s="26">
        <f t="shared" si="9"/>
        <v>0.15910044474280438</v>
      </c>
      <c r="J31" s="26">
        <f t="shared" si="9"/>
        <v>0.17034678479961238</v>
      </c>
      <c r="K31" s="26">
        <f t="shared" si="9"/>
        <v>0.17344474182387881</v>
      </c>
    </row>
    <row r="32" spans="1:11" x14ac:dyDescent="0.2">
      <c r="A32" s="7" t="s">
        <v>10</v>
      </c>
      <c r="B32" s="26">
        <f>B12/B4</f>
        <v>7.9154375614552616E-2</v>
      </c>
      <c r="C32" s="26">
        <f t="shared" ref="C32:K32" si="10">C12/C4</f>
        <v>6.8290882244370618E-2</v>
      </c>
      <c r="D32" s="26">
        <f t="shared" si="10"/>
        <v>7.1026931044687783E-2</v>
      </c>
      <c r="E32" s="26">
        <f t="shared" si="10"/>
        <v>7.2191878413678454E-2</v>
      </c>
      <c r="F32" s="26">
        <f t="shared" si="10"/>
        <v>6.5798492117888963E-2</v>
      </c>
      <c r="G32" s="26">
        <f t="shared" si="10"/>
        <v>6.6773290683726519E-2</v>
      </c>
      <c r="H32" s="26">
        <f t="shared" si="10"/>
        <v>7.3902318697582639E-2</v>
      </c>
      <c r="I32" s="26">
        <f t="shared" si="10"/>
        <v>6.7298816816312834E-2</v>
      </c>
      <c r="J32" s="26">
        <f t="shared" si="10"/>
        <v>6.1604485360282409E-2</v>
      </c>
      <c r="K32" s="26">
        <f t="shared" si="10"/>
        <v>6.945623082446635E-2</v>
      </c>
    </row>
    <row r="33" spans="1:11" x14ac:dyDescent="0.2">
      <c r="A33" s="13" t="s">
        <v>11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24.75" customHeight="1" x14ac:dyDescent="0.2">
      <c r="A34" s="61" t="s">
        <v>12</v>
      </c>
      <c r="B34" s="27">
        <f>B14/B4</f>
        <v>8.7512291052114055E-2</v>
      </c>
      <c r="C34" s="27">
        <f t="shared" ref="C34:K34" si="11">C14/C4</f>
        <v>7.7888519748984877E-2</v>
      </c>
      <c r="D34" s="27">
        <f t="shared" si="11"/>
        <v>9.0559337081976929E-2</v>
      </c>
      <c r="E34" s="27">
        <f t="shared" si="11"/>
        <v>9.2377107575397757E-2</v>
      </c>
      <c r="F34" s="27">
        <f t="shared" si="11"/>
        <v>0.11549006168608636</v>
      </c>
      <c r="G34" s="27">
        <f t="shared" si="11"/>
        <v>0.10902305744368919</v>
      </c>
      <c r="H34" s="27">
        <f t="shared" si="11"/>
        <v>8.8406512086827815E-2</v>
      </c>
      <c r="I34" s="27">
        <f t="shared" si="11"/>
        <v>9.1801627926491575E-2</v>
      </c>
      <c r="J34" s="27">
        <f t="shared" si="11"/>
        <v>0.10874229943932996</v>
      </c>
      <c r="K34" s="27">
        <f t="shared" si="11"/>
        <v>0.10398851099941249</v>
      </c>
    </row>
    <row r="35" spans="1:11" ht="24.75" customHeight="1" x14ac:dyDescent="0.2">
      <c r="A35" s="7" t="s">
        <v>13</v>
      </c>
      <c r="B35" s="26">
        <f>B15/B4</f>
        <v>-1.1799410029498525E-2</v>
      </c>
      <c r="C35" s="26">
        <f t="shared" ref="C35:K35" si="12">C15/C4</f>
        <v>-1.5873015873015872E-2</v>
      </c>
      <c r="D35" s="26">
        <f t="shared" si="12"/>
        <v>-2.4267534773601655E-2</v>
      </c>
      <c r="E35" s="26">
        <f t="shared" si="12"/>
        <v>-2.1847542151507953E-2</v>
      </c>
      <c r="F35" s="26">
        <f t="shared" si="12"/>
        <v>-1.6963673749143249E-2</v>
      </c>
      <c r="G35" s="26">
        <f t="shared" si="12"/>
        <v>-1.4660802345728377E-2</v>
      </c>
      <c r="H35" s="26">
        <f t="shared" si="12"/>
        <v>-1.1938825851011347E-2</v>
      </c>
      <c r="I35" s="26">
        <f t="shared" si="12"/>
        <v>-7.7200637744398752E-3</v>
      </c>
      <c r="J35" s="26">
        <f t="shared" si="12"/>
        <v>-7.4756004706859561E-3</v>
      </c>
      <c r="K35" s="26">
        <f t="shared" si="12"/>
        <v>-3.5250342711665252E-3</v>
      </c>
    </row>
    <row r="36" spans="1:11" ht="24.75" customHeight="1" x14ac:dyDescent="0.2">
      <c r="A36" s="31" t="s">
        <v>14</v>
      </c>
      <c r="B36" s="108">
        <f>B16/B4</f>
        <v>7.571288102261553E-2</v>
      </c>
      <c r="C36" s="108">
        <f t="shared" ref="C36:K36" si="13">C16/C4</f>
        <v>6.2015503875968998E-2</v>
      </c>
      <c r="D36" s="108">
        <f t="shared" si="13"/>
        <v>6.6291802308375253E-2</v>
      </c>
      <c r="E36" s="108">
        <f t="shared" si="13"/>
        <v>7.0529565423889801E-2</v>
      </c>
      <c r="F36" s="108">
        <f t="shared" si="13"/>
        <v>9.8526387936943113E-2</v>
      </c>
      <c r="G36" s="108">
        <f t="shared" si="13"/>
        <v>9.4362255097960812E-2</v>
      </c>
      <c r="H36" s="108">
        <f t="shared" si="13"/>
        <v>7.6467686235816484E-2</v>
      </c>
      <c r="I36" s="108">
        <f t="shared" si="13"/>
        <v>8.4081564152051688E-2</v>
      </c>
      <c r="J36" s="108">
        <f t="shared" si="13"/>
        <v>0.10126669896864401</v>
      </c>
      <c r="K36" s="108">
        <f t="shared" si="13"/>
        <v>0.10046347672824597</v>
      </c>
    </row>
    <row r="37" spans="1:11" ht="24.75" customHeight="1" x14ac:dyDescent="0.2">
      <c r="A37" s="31" t="s">
        <v>15</v>
      </c>
      <c r="B37" s="111" t="s">
        <v>16</v>
      </c>
      <c r="C37" s="108">
        <f>C17/C4</f>
        <v>1.0335917312661499E-2</v>
      </c>
      <c r="D37" s="108">
        <f t="shared" ref="D37:K37" si="14">D17/D4</f>
        <v>1.1837821840781297E-3</v>
      </c>
      <c r="E37" s="108">
        <f t="shared" si="14"/>
        <v>9.4989313702208502E-4</v>
      </c>
      <c r="F37" s="108">
        <f t="shared" si="14"/>
        <v>1.3708019191226869E-3</v>
      </c>
      <c r="G37" s="108">
        <f t="shared" si="14"/>
        <v>-1.0662401705984273E-2</v>
      </c>
      <c r="H37" s="108">
        <f t="shared" si="14"/>
        <v>-9.9654662062160834E-3</v>
      </c>
      <c r="I37" s="108">
        <f t="shared" si="14"/>
        <v>-1.7621884702525804E-3</v>
      </c>
      <c r="J37" s="108">
        <f t="shared" si="14"/>
        <v>-7.1295078563023469E-3</v>
      </c>
      <c r="K37" s="108">
        <f t="shared" si="14"/>
        <v>1.9583523728702916E-4</v>
      </c>
    </row>
    <row r="38" spans="1:11" ht="24.75" customHeight="1" x14ac:dyDescent="0.2">
      <c r="A38" s="31" t="s">
        <v>17</v>
      </c>
      <c r="B38" s="108">
        <f>B18/B4</f>
        <v>4.2772861356932146E-2</v>
      </c>
      <c r="C38" s="108">
        <f t="shared" ref="C38:K38" si="15">C18/C4</f>
        <v>3.5806570690291618E-2</v>
      </c>
      <c r="D38" s="108">
        <f t="shared" si="15"/>
        <v>3.0186445693992304E-2</v>
      </c>
      <c r="E38" s="108">
        <f t="shared" si="15"/>
        <v>3.585846592258371E-2</v>
      </c>
      <c r="F38" s="108">
        <f t="shared" si="15"/>
        <v>5.140507196710075E-2</v>
      </c>
      <c r="G38" s="108">
        <f t="shared" si="15"/>
        <v>4.4248967079834736E-2</v>
      </c>
      <c r="H38" s="108">
        <f t="shared" si="15"/>
        <v>3.5224469659595463E-2</v>
      </c>
      <c r="I38" s="108">
        <f t="shared" si="15"/>
        <v>3.8348577662163298E-2</v>
      </c>
      <c r="J38" s="108">
        <f t="shared" si="15"/>
        <v>4.5061258392745891E-2</v>
      </c>
      <c r="K38" s="108">
        <f t="shared" si="15"/>
        <v>5.0917161694627587E-2</v>
      </c>
    </row>
    <row r="39" spans="1:11" ht="24.75" customHeight="1" thickBot="1" x14ac:dyDescent="0.2">
      <c r="A39" s="62" t="s">
        <v>18</v>
      </c>
      <c r="B39" s="112">
        <f>B19/B4</f>
        <v>3.2940019665683384E-2</v>
      </c>
      <c r="C39" s="112">
        <f t="shared" ref="C39:K39" si="16">C19/C4</f>
        <v>3.6544850498338874E-2</v>
      </c>
      <c r="D39" s="112">
        <f t="shared" si="16"/>
        <v>3.7289138798461081E-2</v>
      </c>
      <c r="E39" s="112">
        <f t="shared" si="16"/>
        <v>3.5620992638328186E-2</v>
      </c>
      <c r="F39" s="112">
        <f t="shared" si="16"/>
        <v>4.8492117888965042E-2</v>
      </c>
      <c r="G39" s="112">
        <f t="shared" si="16"/>
        <v>3.9450886312141817E-2</v>
      </c>
      <c r="H39" s="112">
        <f t="shared" si="16"/>
        <v>3.1277750370004929E-2</v>
      </c>
      <c r="I39" s="112">
        <f t="shared" si="16"/>
        <v>4.3970798019635812E-2</v>
      </c>
      <c r="J39" s="112">
        <f t="shared" si="16"/>
        <v>4.9075932719595768E-2</v>
      </c>
      <c r="K39" s="112">
        <f t="shared" si="16"/>
        <v>4.9742150270905408E-2</v>
      </c>
    </row>
  </sheetData>
  <phoneticPr fontId="0" type="noConversion"/>
  <printOptions horizontalCentered="1" verticalCentered="1"/>
  <pageMargins left="0.26" right="0.26" top="0.98425196850393704" bottom="0.98425196850393704" header="0.51181102362204722" footer="0.51181102362204722"/>
  <pageSetup paperSize="9" scale="97" orientation="landscape" horizontalDpi="4294967292" verticalDpi="0"/>
  <headerFooter>
    <oddHeader>&amp;C&amp;18A70 : Compte de résultat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I13"/>
  <sheetViews>
    <sheetView zoomScale="75" workbookViewId="0">
      <selection activeCell="A9" sqref="A9"/>
    </sheetView>
  </sheetViews>
  <sheetFormatPr baseColWidth="10" defaultColWidth="11.5" defaultRowHeight="13" x14ac:dyDescent="0.15"/>
  <cols>
    <col min="1" max="1" width="50.6640625" customWidth="1"/>
    <col min="2" max="9" width="10.6640625" customWidth="1"/>
  </cols>
  <sheetData>
    <row r="1" spans="1:9" s="23" customFormat="1" ht="39.75" customHeight="1" thickBot="1" x14ac:dyDescent="0.2">
      <c r="A1" s="22"/>
      <c r="B1" s="22">
        <v>1982</v>
      </c>
      <c r="C1" s="22">
        <v>1983</v>
      </c>
      <c r="D1" s="22">
        <v>1984</v>
      </c>
      <c r="E1" s="22">
        <v>1985</v>
      </c>
      <c r="F1" s="22">
        <v>1986</v>
      </c>
      <c r="G1" s="22">
        <v>1987</v>
      </c>
      <c r="H1" s="22">
        <v>1988</v>
      </c>
      <c r="I1" s="22">
        <v>1989</v>
      </c>
    </row>
    <row r="2" spans="1:9" ht="39.75" customHeight="1" x14ac:dyDescent="0.15">
      <c r="A2" s="1" t="s">
        <v>102</v>
      </c>
      <c r="B2" s="47" t="s">
        <v>188</v>
      </c>
      <c r="C2" s="48">
        <v>2.9000000000000001E-2</v>
      </c>
      <c r="D2" s="48">
        <v>3.2000000000000001E-2</v>
      </c>
      <c r="E2" s="48">
        <v>5.0999999999999997E-2</v>
      </c>
      <c r="F2" s="48">
        <v>6.8000000000000005E-2</v>
      </c>
      <c r="G2" s="48">
        <v>9.7000000000000003E-2</v>
      </c>
      <c r="H2" s="48">
        <v>0.115</v>
      </c>
      <c r="I2" s="48">
        <v>0.115</v>
      </c>
    </row>
    <row r="3" spans="1:9" s="57" customFormat="1" ht="39.75" customHeight="1" x14ac:dyDescent="0.15">
      <c r="A3" s="14" t="s">
        <v>103</v>
      </c>
      <c r="B3" s="91">
        <v>1</v>
      </c>
      <c r="C3" s="91">
        <v>1</v>
      </c>
      <c r="D3" s="91">
        <v>1</v>
      </c>
      <c r="E3" s="91">
        <v>0.5</v>
      </c>
      <c r="F3" s="91">
        <v>0.63</v>
      </c>
      <c r="G3" s="91">
        <v>0.6</v>
      </c>
      <c r="H3" s="91">
        <v>0.62</v>
      </c>
      <c r="I3" s="91">
        <v>0.62</v>
      </c>
    </row>
    <row r="4" spans="1:9" s="57" customFormat="1" ht="39.75" customHeight="1" x14ac:dyDescent="0.15">
      <c r="A4" s="65" t="s">
        <v>104</v>
      </c>
      <c r="B4" s="92">
        <v>1.9</v>
      </c>
      <c r="C4" s="92">
        <v>2.2000000000000002</v>
      </c>
      <c r="D4" s="92">
        <v>2.2999999999999998</v>
      </c>
      <c r="E4" s="92">
        <v>2.4</v>
      </c>
      <c r="F4" s="92">
        <v>2.5</v>
      </c>
      <c r="G4" s="92">
        <v>2.8</v>
      </c>
      <c r="H4" s="92">
        <v>3.3</v>
      </c>
      <c r="I4" s="92">
        <v>3.1</v>
      </c>
    </row>
    <row r="5" spans="1:9" s="16" customFormat="1" ht="39.75" customHeight="1" x14ac:dyDescent="0.15">
      <c r="A5" s="43" t="s">
        <v>189</v>
      </c>
      <c r="B5" s="50" t="s">
        <v>190</v>
      </c>
      <c r="C5" s="51">
        <v>6.4000000000000001E-2</v>
      </c>
      <c r="D5" s="51">
        <v>7.3999999999999996E-2</v>
      </c>
      <c r="E5" s="51">
        <v>6.0999999999999999E-2</v>
      </c>
      <c r="F5" s="51">
        <v>0.107</v>
      </c>
      <c r="G5" s="51">
        <v>0.16300000000000001</v>
      </c>
      <c r="H5" s="51">
        <v>0.23499999999999999</v>
      </c>
      <c r="I5" s="51">
        <v>0.221</v>
      </c>
    </row>
    <row r="6" spans="1:9" ht="39.75" customHeight="1" x14ac:dyDescent="0.15">
      <c r="A6" s="8"/>
    </row>
    <row r="7" spans="1:9" ht="39.75" customHeight="1" x14ac:dyDescent="0.15">
      <c r="A7" s="1" t="s">
        <v>106</v>
      </c>
      <c r="B7" s="48">
        <v>-5.6000000000000001E-2</v>
      </c>
      <c r="C7" s="47" t="s">
        <v>191</v>
      </c>
      <c r="D7" s="47" t="s">
        <v>192</v>
      </c>
      <c r="E7" s="52" t="s">
        <v>193</v>
      </c>
      <c r="F7" s="48">
        <v>3.9E-2</v>
      </c>
      <c r="G7" s="48">
        <v>8.2000000000000003E-2</v>
      </c>
      <c r="H7" s="48">
        <v>0.17299999999999999</v>
      </c>
      <c r="I7" s="48">
        <v>0.157</v>
      </c>
    </row>
    <row r="8" spans="1:9" ht="39.75" customHeight="1" x14ac:dyDescent="0.15">
      <c r="A8" s="65" t="s">
        <v>107</v>
      </c>
      <c r="B8" s="63">
        <v>3</v>
      </c>
      <c r="C8" s="63">
        <v>4.4000000000000004</v>
      </c>
      <c r="D8" s="63">
        <v>5.4</v>
      </c>
      <c r="E8" s="63">
        <v>4.8</v>
      </c>
      <c r="F8" s="63">
        <v>2.9</v>
      </c>
      <c r="G8" s="63">
        <v>1</v>
      </c>
      <c r="H8" s="63">
        <v>0.4</v>
      </c>
      <c r="I8" s="63">
        <v>0.3</v>
      </c>
    </row>
    <row r="9" spans="1:9" s="16" customFormat="1" ht="39.75" customHeight="1" x14ac:dyDescent="0.15">
      <c r="A9" s="43" t="s">
        <v>108</v>
      </c>
      <c r="B9" s="93" t="s">
        <v>194</v>
      </c>
      <c r="C9" s="93" t="s">
        <v>195</v>
      </c>
      <c r="D9" s="93" t="s">
        <v>196</v>
      </c>
      <c r="E9" s="93" t="s">
        <v>197</v>
      </c>
      <c r="F9" s="55">
        <v>0.113</v>
      </c>
      <c r="G9" s="55">
        <v>8.2000000000000003E-2</v>
      </c>
      <c r="H9" s="55">
        <v>6.9000000000000006E-2</v>
      </c>
      <c r="I9" s="55">
        <v>4.7E-2</v>
      </c>
    </row>
    <row r="10" spans="1:9" ht="39.75" customHeight="1" x14ac:dyDescent="0.15">
      <c r="A10" s="8"/>
      <c r="B10" s="53"/>
      <c r="C10" s="53"/>
      <c r="D10" s="53"/>
      <c r="E10" s="53"/>
      <c r="F10" s="53"/>
      <c r="G10" s="53"/>
      <c r="H10" s="53"/>
      <c r="I10" s="53"/>
    </row>
    <row r="11" spans="1:9" s="16" customFormat="1" ht="39.75" customHeight="1" x14ac:dyDescent="0.15">
      <c r="A11" s="15" t="s">
        <v>109</v>
      </c>
      <c r="B11" s="54" t="s">
        <v>198</v>
      </c>
      <c r="C11" s="54" t="s">
        <v>199</v>
      </c>
      <c r="D11" s="54" t="s">
        <v>200</v>
      </c>
      <c r="E11" s="55">
        <v>4.2999999999999997E-2</v>
      </c>
      <c r="F11" s="55">
        <v>0.22</v>
      </c>
      <c r="G11" s="55">
        <v>0.245</v>
      </c>
      <c r="H11" s="55">
        <v>0.30399999999999999</v>
      </c>
      <c r="I11" s="55">
        <v>0.26800000000000002</v>
      </c>
    </row>
    <row r="12" spans="1:9" ht="39.75" customHeight="1" x14ac:dyDescent="0.15">
      <c r="A12" s="1"/>
      <c r="B12" s="49"/>
      <c r="C12" s="49"/>
      <c r="D12" s="49"/>
      <c r="E12" s="49"/>
      <c r="F12" s="49"/>
      <c r="G12" s="49"/>
      <c r="H12" s="49"/>
      <c r="I12" s="49"/>
    </row>
    <row r="13" spans="1:9" s="56" customFormat="1" ht="39.75" customHeight="1" thickBot="1" x14ac:dyDescent="0.2">
      <c r="A13" s="2" t="s">
        <v>110</v>
      </c>
      <c r="B13" s="28">
        <v>0.12</v>
      </c>
      <c r="C13" s="28">
        <v>9.4E-2</v>
      </c>
      <c r="D13" s="28">
        <v>7.6999999999999999E-2</v>
      </c>
      <c r="E13" s="28">
        <v>5.8000000000000003E-2</v>
      </c>
      <c r="F13" s="28">
        <v>2.5000000000000001E-2</v>
      </c>
      <c r="G13" s="28">
        <v>3.3000000000000002E-2</v>
      </c>
      <c r="H13" s="28">
        <v>2.7E-2</v>
      </c>
      <c r="I13" s="28">
        <v>3.5999999999999997E-2</v>
      </c>
    </row>
  </sheetData>
  <phoneticPr fontId="0" type="noConversion"/>
  <printOptions horizontalCentered="1" verticalCentered="1"/>
  <pageMargins left="0.3" right="0.32" top="0.98425196850393704" bottom="0.98425196850393704" header="0.51181102362204722" footer="0.51181102362204722"/>
  <pageSetup paperSize="9" orientation="landscape" horizontalDpi="4294967292" verticalDpi="0"/>
  <headerFooter>
    <oddHeader>&amp;C&amp;18B80 : Formation de la rentabilité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2:T53"/>
  <sheetViews>
    <sheetView zoomScaleSheetLayoutView="50" workbookViewId="0">
      <pane xSplit="3" topLeftCell="D1" activePane="topRight" state="frozen"/>
      <selection activeCell="I27" sqref="I27:R27"/>
      <selection pane="topRight" activeCell="C1" sqref="C1:C1048576"/>
    </sheetView>
  </sheetViews>
  <sheetFormatPr baseColWidth="10" defaultColWidth="11.5" defaultRowHeight="13" x14ac:dyDescent="0.15"/>
  <cols>
    <col min="1" max="1" width="2.5" customWidth="1"/>
    <col min="2" max="2" width="51.5" style="6" customWidth="1"/>
    <col min="3" max="3" width="10.33203125" hidden="1" customWidth="1"/>
    <col min="4" max="13" width="9.33203125" customWidth="1"/>
    <col min="14" max="18" width="11.5" hidden="1" customWidth="1"/>
  </cols>
  <sheetData>
    <row r="2" spans="2:18" ht="23" x14ac:dyDescent="0.25">
      <c r="B2" s="463" t="s">
        <v>201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2:18" ht="22.5" customHeight="1" x14ac:dyDescent="0.15">
      <c r="R3" s="23" t="s">
        <v>221</v>
      </c>
    </row>
    <row r="4" spans="2:18" s="23" customFormat="1" ht="21.75" customHeight="1" thickBot="1" x14ac:dyDescent="0.2">
      <c r="B4" s="349" t="s">
        <v>202</v>
      </c>
      <c r="C4" s="126">
        <v>32874</v>
      </c>
      <c r="D4" s="126">
        <f t="shared" ref="D4:R4" si="0">C4+370</f>
        <v>33244</v>
      </c>
      <c r="E4" s="126">
        <f t="shared" si="0"/>
        <v>33614</v>
      </c>
      <c r="F4" s="126">
        <f t="shared" si="0"/>
        <v>33984</v>
      </c>
      <c r="G4" s="126">
        <f t="shared" si="0"/>
        <v>34354</v>
      </c>
      <c r="H4" s="126">
        <f t="shared" si="0"/>
        <v>34724</v>
      </c>
      <c r="I4" s="126">
        <f t="shared" si="0"/>
        <v>35094</v>
      </c>
      <c r="J4" s="126">
        <f t="shared" si="0"/>
        <v>35464</v>
      </c>
      <c r="K4" s="126">
        <f t="shared" si="0"/>
        <v>35834</v>
      </c>
      <c r="L4" s="126">
        <f t="shared" si="0"/>
        <v>36204</v>
      </c>
      <c r="M4" s="126">
        <f t="shared" si="0"/>
        <v>36574</v>
      </c>
      <c r="N4" s="126">
        <f t="shared" si="0"/>
        <v>36944</v>
      </c>
      <c r="O4" s="126">
        <f t="shared" si="0"/>
        <v>37314</v>
      </c>
      <c r="P4" s="126">
        <f t="shared" si="0"/>
        <v>37684</v>
      </c>
      <c r="Q4" s="126">
        <f t="shared" si="0"/>
        <v>38054</v>
      </c>
      <c r="R4" s="127">
        <f t="shared" si="0"/>
        <v>38424</v>
      </c>
    </row>
    <row r="5" spans="2:18" ht="21.75" hidden="1" customHeight="1" x14ac:dyDescent="0.15">
      <c r="B5" s="13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35"/>
      <c r="N5" s="135"/>
      <c r="O5" s="1"/>
      <c r="P5" s="1"/>
      <c r="Q5" s="1"/>
      <c r="R5" s="129"/>
    </row>
    <row r="6" spans="2:18" s="57" customFormat="1" ht="21.75" hidden="1" customHeight="1" thickBot="1" x14ac:dyDescent="0.2">
      <c r="B6" s="13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29"/>
    </row>
    <row r="7" spans="2:18" s="66" customFormat="1" ht="21.75" customHeight="1" thickBot="1" x14ac:dyDescent="0.2">
      <c r="B7" s="350" t="s">
        <v>2</v>
      </c>
      <c r="C7" s="131">
        <v>4.4000000000000004</v>
      </c>
      <c r="D7" s="132">
        <v>4.8499999999999996</v>
      </c>
      <c r="E7" s="132">
        <v>4.5599999999999996</v>
      </c>
      <c r="F7" s="132">
        <v>4.63</v>
      </c>
      <c r="G7" s="132">
        <v>4.84</v>
      </c>
      <c r="H7" s="132">
        <v>4.91</v>
      </c>
      <c r="I7" s="132">
        <v>5.24</v>
      </c>
      <c r="J7" s="132">
        <v>5.85</v>
      </c>
      <c r="K7" s="132">
        <v>6.08</v>
      </c>
      <c r="L7" s="132">
        <v>6.2089999999999996</v>
      </c>
      <c r="M7" s="132">
        <v>9.07</v>
      </c>
      <c r="N7" s="132">
        <v>8.6258999999999997</v>
      </c>
      <c r="O7" s="132">
        <v>8.2186000000000003</v>
      </c>
      <c r="P7" s="132">
        <v>8.7146000000000008</v>
      </c>
      <c r="Q7" s="132">
        <v>9.7784999999999993</v>
      </c>
      <c r="R7" s="133">
        <v>10.434799999999999</v>
      </c>
    </row>
    <row r="8" spans="2:18" s="57" customFormat="1" ht="21.75" customHeight="1" x14ac:dyDescent="0.15">
      <c r="B8" s="31" t="s">
        <v>3</v>
      </c>
      <c r="C8" s="14"/>
      <c r="D8" s="131">
        <f>12.037/6.55957</f>
        <v>1.8350288204867089</v>
      </c>
      <c r="E8" s="131">
        <f>11.089/6.55957</f>
        <v>1.6905071521456438</v>
      </c>
      <c r="F8" s="131">
        <f>11.123/6.55957</f>
        <v>1.6956904187317157</v>
      </c>
      <c r="G8" s="131">
        <f>11.502/6.55957</f>
        <v>1.7534685962646943</v>
      </c>
      <c r="H8" s="131">
        <f>11.777/6.55957</f>
        <v>1.795392076004982</v>
      </c>
      <c r="I8" s="131">
        <f>13.122/6.55957</f>
        <v>2.0004360041892988</v>
      </c>
      <c r="J8" s="131">
        <v>2.3119999999999998</v>
      </c>
      <c r="K8" s="131">
        <v>2.4249999999999998</v>
      </c>
      <c r="L8" s="135"/>
      <c r="M8" s="131"/>
      <c r="N8" s="131">
        <v>3.1476999999999999</v>
      </c>
      <c r="O8" s="131">
        <v>2.6884000000000001</v>
      </c>
      <c r="P8" s="131">
        <v>2.9992000000000001</v>
      </c>
      <c r="Q8" s="131">
        <v>3.4325000000000001</v>
      </c>
      <c r="R8" s="147">
        <v>3.9455</v>
      </c>
    </row>
    <row r="9" spans="2:18" s="57" customFormat="1" ht="21.75" customHeight="1" x14ac:dyDescent="0.15">
      <c r="B9" s="31" t="s">
        <v>4</v>
      </c>
      <c r="C9" s="14"/>
      <c r="D9" s="136">
        <f>(7.345-0.142-1.498)/6.55957</f>
        <v>0.86972164333942614</v>
      </c>
      <c r="E9" s="136">
        <f>(7.012-0.18-1.068)/6.55957</f>
        <v>0.87871613535643334</v>
      </c>
      <c r="F9" s="136">
        <f>(7.081-1.09-0.22)/6.55957</f>
        <v>0.87978327847709548</v>
      </c>
      <c r="G9" s="136">
        <f>(7.292-0.154-0.782)/6.55957</f>
        <v>0.96896595356098036</v>
      </c>
      <c r="H9" s="136">
        <f>(7.806-1.284-0.191)/6.55957</f>
        <v>0.96515472813004521</v>
      </c>
      <c r="I9" s="136">
        <f>(8.111-1.886)/6.55957</f>
        <v>0.94899513230287968</v>
      </c>
      <c r="J9" s="136">
        <f>1.41-0.411</f>
        <v>0.99899999999999989</v>
      </c>
      <c r="K9" s="136">
        <f>1.432-0.499</f>
        <v>0.93299999999999994</v>
      </c>
      <c r="L9" s="14"/>
      <c r="M9" s="136"/>
      <c r="N9" s="136">
        <v>1.8615999999999999</v>
      </c>
      <c r="O9" s="136">
        <v>1.9305000000000001</v>
      </c>
      <c r="P9" s="136">
        <v>2.0486</v>
      </c>
      <c r="Q9" s="136">
        <v>2.3331</v>
      </c>
      <c r="R9" s="146">
        <v>2.218</v>
      </c>
    </row>
    <row r="10" spans="2:18" ht="21.75" customHeight="1" thickBot="1" x14ac:dyDescent="0.2">
      <c r="B10" s="7" t="s">
        <v>5</v>
      </c>
      <c r="C10" s="14"/>
      <c r="D10" s="139">
        <f t="shared" ref="D10:K10" si="1">D7-D8-D9</f>
        <v>2.1452495361738642</v>
      </c>
      <c r="E10" s="139">
        <f t="shared" si="1"/>
        <v>1.9907767124979223</v>
      </c>
      <c r="F10" s="139">
        <f t="shared" si="1"/>
        <v>2.0545263027911886</v>
      </c>
      <c r="G10" s="139">
        <f t="shared" si="1"/>
        <v>2.1175654501743253</v>
      </c>
      <c r="H10" s="139">
        <f t="shared" si="1"/>
        <v>2.149453195864973</v>
      </c>
      <c r="I10" s="139">
        <f t="shared" si="1"/>
        <v>2.2905688635078216</v>
      </c>
      <c r="J10" s="139">
        <f t="shared" si="1"/>
        <v>2.5389999999999997</v>
      </c>
      <c r="K10" s="139">
        <f t="shared" si="1"/>
        <v>2.7220000000000004</v>
      </c>
      <c r="L10" s="1"/>
      <c r="M10" s="139"/>
      <c r="N10" s="139">
        <f>N7-N8-N9</f>
        <v>3.6165999999999991</v>
      </c>
      <c r="O10" s="139">
        <f>O7-O8-O9</f>
        <v>3.5997000000000003</v>
      </c>
      <c r="P10" s="139">
        <f>P7-P8-P9</f>
        <v>3.6668000000000007</v>
      </c>
      <c r="Q10" s="139">
        <f>Q7-Q8-Q9</f>
        <v>4.0128999999999992</v>
      </c>
      <c r="R10" s="142">
        <f>R7-R8-R9</f>
        <v>4.2712999999999992</v>
      </c>
    </row>
    <row r="11" spans="2:18" ht="21.75" customHeight="1" x14ac:dyDescent="0.15">
      <c r="B11" s="7" t="s">
        <v>6</v>
      </c>
      <c r="C11" s="14"/>
      <c r="D11" s="131">
        <f>7.157/6.55957</f>
        <v>1.0910776163681462</v>
      </c>
      <c r="E11" s="131">
        <f>6.727/6.55957</f>
        <v>1.0255245389560597</v>
      </c>
      <c r="F11" s="131">
        <f>6.884/6.55957</f>
        <v>1.0494590346623331</v>
      </c>
      <c r="G11" s="131">
        <f>6.855/6.55957</f>
        <v>1.0450380131624482</v>
      </c>
      <c r="H11" s="131">
        <f>6.829/6.55957</f>
        <v>1.0410743387142753</v>
      </c>
      <c r="I11" s="131">
        <f>7.585/6.55957</f>
        <v>1.1563257957457578</v>
      </c>
      <c r="J11" s="131">
        <v>1.2609999999999999</v>
      </c>
      <c r="K11" s="131">
        <v>1.3240000000000001</v>
      </c>
      <c r="L11" s="135"/>
      <c r="M11" s="131"/>
      <c r="N11" s="131">
        <v>1.603</v>
      </c>
      <c r="O11" s="131">
        <v>1.5908</v>
      </c>
      <c r="P11" s="131">
        <v>1.6414</v>
      </c>
      <c r="Q11" s="131">
        <v>1.8288</v>
      </c>
      <c r="R11" s="147">
        <v>1.8564000000000001</v>
      </c>
    </row>
    <row r="12" spans="2:18" s="57" customFormat="1" ht="21.75" hidden="1" customHeight="1" x14ac:dyDescent="0.15">
      <c r="B12" s="31" t="s">
        <v>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6"/>
      <c r="R12" s="146">
        <v>0</v>
      </c>
    </row>
    <row r="13" spans="2:18" s="57" customFormat="1" ht="21.75" customHeight="1" x14ac:dyDescent="0.15">
      <c r="B13" s="31" t="s">
        <v>111</v>
      </c>
      <c r="C13" s="14"/>
      <c r="D13" s="140">
        <f>0.356/6.55957</f>
        <v>5.4271850136518092E-2</v>
      </c>
      <c r="E13" s="140">
        <f>0.219/6.55957</f>
        <v>3.3386334774992872E-2</v>
      </c>
      <c r="F13" s="140">
        <f>0.2/6.55957</f>
        <v>3.0489803447482079E-2</v>
      </c>
      <c r="G13" s="140">
        <f>0.198/6.55957</f>
        <v>3.0184905413007258E-2</v>
      </c>
      <c r="H13" s="140">
        <f>0.186/6.55957</f>
        <v>2.835551720615833E-2</v>
      </c>
      <c r="I13" s="140">
        <f>0.175/6.55957</f>
        <v>2.6678578016546814E-2</v>
      </c>
      <c r="J13" s="140">
        <v>0</v>
      </c>
      <c r="K13" s="140">
        <v>-4.3999999999999997E-2</v>
      </c>
      <c r="L13" s="65"/>
      <c r="M13" s="140"/>
      <c r="N13" s="140">
        <v>-1.0800000000000001E-2</v>
      </c>
      <c r="O13" s="140">
        <v>-3.4099999999999998E-2</v>
      </c>
      <c r="P13" s="140">
        <v>-2.07E-2</v>
      </c>
      <c r="Q13" s="140">
        <v>7.1999999999999998E-3</v>
      </c>
      <c r="R13" s="303">
        <v>0</v>
      </c>
    </row>
    <row r="14" spans="2:18" ht="21.75" customHeight="1" x14ac:dyDescent="0.15">
      <c r="B14" s="7" t="s">
        <v>9</v>
      </c>
      <c r="C14" s="14">
        <f>C10-C11-C12+C13</f>
        <v>0</v>
      </c>
      <c r="D14" s="139">
        <f t="shared" ref="D14:K14" si="2">D10-D11+D13</f>
        <v>1.108443769942236</v>
      </c>
      <c r="E14" s="139">
        <f t="shared" si="2"/>
        <v>0.99863850831685552</v>
      </c>
      <c r="F14" s="139">
        <f t="shared" si="2"/>
        <v>1.0355570715763376</v>
      </c>
      <c r="G14" s="139">
        <f t="shared" si="2"/>
        <v>1.1027123424248844</v>
      </c>
      <c r="H14" s="139">
        <f t="shared" si="2"/>
        <v>1.1367343743568559</v>
      </c>
      <c r="I14" s="139">
        <f t="shared" si="2"/>
        <v>1.1609216457786107</v>
      </c>
      <c r="J14" s="139">
        <f t="shared" si="2"/>
        <v>1.2779999999999998</v>
      </c>
      <c r="K14" s="139">
        <f t="shared" si="2"/>
        <v>1.3540000000000003</v>
      </c>
      <c r="L14" s="1">
        <v>1.49</v>
      </c>
      <c r="M14" s="139">
        <v>2.19</v>
      </c>
      <c r="N14" s="139">
        <f>N10-N11+N13</f>
        <v>2.0027999999999992</v>
      </c>
      <c r="O14" s="139">
        <f>O10-O11+O13</f>
        <v>1.9748000000000006</v>
      </c>
      <c r="P14" s="139">
        <f>P10-P11+P13</f>
        <v>2.0047000000000006</v>
      </c>
      <c r="Q14" s="139">
        <f>Q10-Q11+Q13</f>
        <v>2.1912999999999991</v>
      </c>
      <c r="R14" s="142">
        <f>R10-R11+R13</f>
        <v>2.4148999999999994</v>
      </c>
    </row>
    <row r="15" spans="2:18" s="10" customFormat="1" ht="21.75" customHeight="1" x14ac:dyDescent="0.15">
      <c r="B15" s="34" t="s">
        <v>10</v>
      </c>
      <c r="C15" s="14"/>
      <c r="D15" s="139">
        <f>2.415/6.55957</f>
        <v>0.36816437662834606</v>
      </c>
      <c r="E15" s="139">
        <f>2.41/6.55957</f>
        <v>0.36740213154215906</v>
      </c>
      <c r="F15" s="139">
        <f>2.629/6.55957</f>
        <v>0.40078846631715187</v>
      </c>
      <c r="G15" s="139">
        <f>2.773/6.55957</f>
        <v>0.42274112479933901</v>
      </c>
      <c r="H15" s="139">
        <f>2.781/6.55957</f>
        <v>0.4239607169372383</v>
      </c>
      <c r="I15" s="139">
        <f>2.924/6.55957</f>
        <v>0.44576092640218795</v>
      </c>
      <c r="J15" s="139">
        <v>0.497</v>
      </c>
      <c r="K15" s="139">
        <v>0.55800000000000005</v>
      </c>
      <c r="L15" s="139">
        <v>0.56899999999999995</v>
      </c>
      <c r="M15" s="139">
        <v>0.84</v>
      </c>
      <c r="N15" s="139">
        <v>0.78810000000000002</v>
      </c>
      <c r="O15" s="139">
        <v>0.77549999999999997</v>
      </c>
      <c r="P15" s="139">
        <v>0.76929999999999998</v>
      </c>
      <c r="Q15" s="139">
        <v>0.84750000000000003</v>
      </c>
      <c r="R15" s="142">
        <v>0.89729999999999999</v>
      </c>
    </row>
    <row r="16" spans="2:18" ht="14.25" customHeight="1" thickBot="1" x14ac:dyDescent="0.2">
      <c r="B16" s="13" t="s">
        <v>119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36"/>
      <c r="N16" s="136"/>
      <c r="O16" s="136"/>
      <c r="P16" s="136"/>
      <c r="Q16" s="136"/>
      <c r="R16" s="146"/>
    </row>
    <row r="17" spans="2:20" s="76" customFormat="1" ht="21.75" customHeight="1" thickBot="1" x14ac:dyDescent="0.2">
      <c r="B17" s="351" t="s">
        <v>12</v>
      </c>
      <c r="C17" s="136">
        <f>3.931/N17</f>
        <v>3.236190005762742</v>
      </c>
      <c r="D17" s="132">
        <f t="shared" ref="D17:K17" si="3">D14-D15</f>
        <v>0.74027939331389003</v>
      </c>
      <c r="E17" s="132">
        <f t="shared" si="3"/>
        <v>0.63123637677469646</v>
      </c>
      <c r="F17" s="132">
        <f t="shared" si="3"/>
        <v>0.63476860525918566</v>
      </c>
      <c r="G17" s="132">
        <f t="shared" si="3"/>
        <v>0.67997121762554535</v>
      </c>
      <c r="H17" s="132">
        <f t="shared" si="3"/>
        <v>0.71277365741961751</v>
      </c>
      <c r="I17" s="132">
        <f t="shared" si="3"/>
        <v>0.71516071937642267</v>
      </c>
      <c r="J17" s="132">
        <f t="shared" si="3"/>
        <v>0.78099999999999981</v>
      </c>
      <c r="K17" s="132">
        <f t="shared" si="3"/>
        <v>0.79600000000000026</v>
      </c>
      <c r="L17" s="132">
        <v>0.92</v>
      </c>
      <c r="M17" s="132">
        <f t="shared" ref="M17:R17" si="4">M14-M15</f>
        <v>1.35</v>
      </c>
      <c r="N17" s="132">
        <f t="shared" si="4"/>
        <v>1.2146999999999992</v>
      </c>
      <c r="O17" s="132">
        <f t="shared" si="4"/>
        <v>1.1993000000000005</v>
      </c>
      <c r="P17" s="132">
        <f t="shared" si="4"/>
        <v>1.2354000000000007</v>
      </c>
      <c r="Q17" s="132">
        <f t="shared" si="4"/>
        <v>1.343799999999999</v>
      </c>
      <c r="R17" s="133">
        <f t="shared" si="4"/>
        <v>1.5175999999999994</v>
      </c>
    </row>
    <row r="18" spans="2:20" s="23" customFormat="1" ht="21.75" customHeight="1" x14ac:dyDescent="0.15">
      <c r="B18" s="352" t="s">
        <v>13</v>
      </c>
      <c r="C18" s="14"/>
      <c r="D18" s="131">
        <f>(0.05+0.62)/6.55957</f>
        <v>0.10214084154906496</v>
      </c>
      <c r="E18" s="131">
        <f>(0.373+0.043)/6.55957</f>
        <v>6.3418791170762712E-2</v>
      </c>
      <c r="F18" s="131">
        <f>(0.039+0.356)/6.55957</f>
        <v>6.0217361808777098E-2</v>
      </c>
      <c r="G18" s="131">
        <f>0.317/6.55957+0.006</f>
        <v>5.4326338464259091E-2</v>
      </c>
      <c r="H18" s="131">
        <f>(0.028+0.359)/6.55957</f>
        <v>5.8997769670877817E-2</v>
      </c>
      <c r="I18" s="131">
        <f>(0.042+0.385)/6.55957</f>
        <v>6.5095730360374235E-2</v>
      </c>
      <c r="J18" s="131">
        <f>0.063</f>
        <v>6.3E-2</v>
      </c>
      <c r="K18" s="131">
        <v>7.2999999999999995E-2</v>
      </c>
      <c r="L18" s="131">
        <v>7.0000000000000007E-2</v>
      </c>
      <c r="M18" s="131">
        <v>0.35</v>
      </c>
      <c r="N18" s="131">
        <v>0.15409999999999999</v>
      </c>
      <c r="O18" s="131">
        <v>0.12720000000000001</v>
      </c>
      <c r="P18" s="131">
        <v>0.106</v>
      </c>
      <c r="Q18" s="131">
        <v>0.1434</v>
      </c>
      <c r="R18" s="147">
        <v>0.2122</v>
      </c>
    </row>
    <row r="19" spans="2:20" ht="21.75" customHeight="1" x14ac:dyDescent="0.15">
      <c r="B19" s="31" t="s">
        <v>14</v>
      </c>
      <c r="C19" s="136">
        <f t="shared" ref="C19:R19" si="5">C17-C18</f>
        <v>3.236190005762742</v>
      </c>
      <c r="D19" s="136">
        <f t="shared" si="5"/>
        <v>0.63813855176482503</v>
      </c>
      <c r="E19" s="136">
        <f t="shared" si="5"/>
        <v>0.56781758560393381</v>
      </c>
      <c r="F19" s="136">
        <f t="shared" si="5"/>
        <v>0.57455124345040853</v>
      </c>
      <c r="G19" s="136">
        <f t="shared" si="5"/>
        <v>0.6256448791612863</v>
      </c>
      <c r="H19" s="136">
        <f t="shared" si="5"/>
        <v>0.65377588774873974</v>
      </c>
      <c r="I19" s="136">
        <f t="shared" si="5"/>
        <v>0.65006498901604848</v>
      </c>
      <c r="J19" s="136">
        <f t="shared" si="5"/>
        <v>0.71799999999999975</v>
      </c>
      <c r="K19" s="136">
        <f t="shared" si="5"/>
        <v>0.72300000000000031</v>
      </c>
      <c r="L19" s="136">
        <f t="shared" si="5"/>
        <v>0.85000000000000009</v>
      </c>
      <c r="M19" s="136">
        <f t="shared" si="5"/>
        <v>1</v>
      </c>
      <c r="N19" s="136">
        <f t="shared" si="5"/>
        <v>1.0605999999999993</v>
      </c>
      <c r="O19" s="136">
        <f t="shared" si="5"/>
        <v>1.0721000000000005</v>
      </c>
      <c r="P19" s="136">
        <f t="shared" si="5"/>
        <v>1.1294000000000006</v>
      </c>
      <c r="Q19" s="136">
        <f t="shared" si="5"/>
        <v>1.200399999999999</v>
      </c>
      <c r="R19" s="146">
        <f t="shared" si="5"/>
        <v>1.3053999999999994</v>
      </c>
    </row>
    <row r="20" spans="2:20" s="10" customFormat="1" ht="21.75" customHeight="1" x14ac:dyDescent="0.15">
      <c r="B20" s="20" t="s">
        <v>15</v>
      </c>
      <c r="C20" s="14"/>
      <c r="D20" s="136">
        <f>(-0.09+0.165)/6.55957</f>
        <v>1.143367629280578E-2</v>
      </c>
      <c r="E20" s="136">
        <f>(0.082+0.167)/6.55957</f>
        <v>3.7959805292115185E-2</v>
      </c>
      <c r="F20" s="136">
        <f>(0.083+0.033)/6.55957</f>
        <v>1.7684085999539606E-2</v>
      </c>
      <c r="G20" s="136">
        <f>(0.088-0.025)/6.55957</f>
        <v>9.6042880859568535E-3</v>
      </c>
      <c r="H20" s="136">
        <f>(0.018+0.027)/6.55957</f>
        <v>6.8602057756834665E-3</v>
      </c>
      <c r="I20" s="136">
        <f>(0.067+0.001)/6.55957</f>
        <v>1.0366533172143907E-2</v>
      </c>
      <c r="J20" s="136">
        <v>-4.0000000000000001E-3</v>
      </c>
      <c r="K20" s="136">
        <f>0.013+0.044</f>
        <v>5.6999999999999995E-2</v>
      </c>
      <c r="L20" s="136">
        <v>0</v>
      </c>
      <c r="M20" s="136">
        <v>-4.3E-3</v>
      </c>
      <c r="N20" s="136">
        <v>-1.1999999999999999E-3</v>
      </c>
      <c r="O20" s="136">
        <v>-4.9599999999999998E-2</v>
      </c>
      <c r="P20" s="136">
        <v>-5.04E-2</v>
      </c>
      <c r="Q20" s="136">
        <v>-3.5400000000000001E-2</v>
      </c>
      <c r="R20" s="146">
        <v>4.24E-2</v>
      </c>
      <c r="S20" s="304"/>
    </row>
    <row r="21" spans="2:20" s="10" customFormat="1" ht="21.75" customHeight="1" thickBot="1" x14ac:dyDescent="0.2">
      <c r="B21" s="20" t="s">
        <v>130</v>
      </c>
      <c r="C21" s="136">
        <f>1.383/6.55957</f>
        <v>0.21083699083933855</v>
      </c>
      <c r="D21" s="136">
        <f>1.339/6.55957</f>
        <v>0.20412923408089251</v>
      </c>
      <c r="E21" s="136">
        <f>1.054/6.55957</f>
        <v>0.16068126416823056</v>
      </c>
      <c r="F21" s="136">
        <f>1.108/6.55957</f>
        <v>0.16891351109905073</v>
      </c>
      <c r="G21" s="136">
        <f>1.222/6.55957</f>
        <v>0.18629269906411547</v>
      </c>
      <c r="H21" s="136">
        <f>1.392/6.55957</f>
        <v>0.21220903199447524</v>
      </c>
      <c r="I21" s="136">
        <f>1.404/6.55957</f>
        <v>0.21403842020132416</v>
      </c>
      <c r="J21" s="136">
        <f>1.69/6.55957</f>
        <v>0.25763883913122354</v>
      </c>
      <c r="K21" s="136">
        <f>1.781/6.55957</f>
        <v>0.27151169969982786</v>
      </c>
      <c r="L21" s="136">
        <v>0.28499999999999998</v>
      </c>
      <c r="M21" s="136">
        <v>0.2984</v>
      </c>
      <c r="N21" s="136">
        <v>0.31419999999999998</v>
      </c>
      <c r="O21" s="136">
        <v>0.29020000000000001</v>
      </c>
      <c r="P21" s="136">
        <v>0.30730000000000002</v>
      </c>
      <c r="Q21" s="136">
        <v>0.2928</v>
      </c>
      <c r="R21" s="146">
        <v>0.37069999999999997</v>
      </c>
    </row>
    <row r="22" spans="2:20" s="10" customFormat="1" ht="21.75" customHeight="1" thickBot="1" x14ac:dyDescent="0.2">
      <c r="B22" s="350" t="s">
        <v>203</v>
      </c>
      <c r="C22" s="136">
        <f>2.223/N17</f>
        <v>1.8300815016053358</v>
      </c>
      <c r="D22" s="132">
        <f t="shared" ref="D22:R22" si="6">D19+D20-D21</f>
        <v>0.44544299397673831</v>
      </c>
      <c r="E22" s="132">
        <f t="shared" si="6"/>
        <v>0.4450961267278184</v>
      </c>
      <c r="F22" s="132">
        <f t="shared" si="6"/>
        <v>0.42332181835089744</v>
      </c>
      <c r="G22" s="132">
        <f t="shared" si="6"/>
        <v>0.44895646818312762</v>
      </c>
      <c r="H22" s="132">
        <f t="shared" si="6"/>
        <v>0.44842706152994793</v>
      </c>
      <c r="I22" s="132">
        <f t="shared" si="6"/>
        <v>0.44639310198686821</v>
      </c>
      <c r="J22" s="132">
        <f t="shared" si="6"/>
        <v>0.45636116086877621</v>
      </c>
      <c r="K22" s="132">
        <f t="shared" si="6"/>
        <v>0.50848830030017234</v>
      </c>
      <c r="L22" s="132">
        <f t="shared" si="6"/>
        <v>0.56500000000000017</v>
      </c>
      <c r="M22" s="132">
        <f t="shared" si="6"/>
        <v>0.69730000000000003</v>
      </c>
      <c r="N22" s="132">
        <f t="shared" si="6"/>
        <v>0.7451999999999992</v>
      </c>
      <c r="O22" s="132">
        <f t="shared" si="6"/>
        <v>0.7323000000000004</v>
      </c>
      <c r="P22" s="132">
        <f t="shared" si="6"/>
        <v>0.77170000000000061</v>
      </c>
      <c r="Q22" s="132">
        <f t="shared" si="6"/>
        <v>0.87219999999999898</v>
      </c>
      <c r="R22" s="133">
        <f t="shared" si="6"/>
        <v>0.97709999999999941</v>
      </c>
      <c r="S22" s="304"/>
    </row>
    <row r="23" spans="2:20" s="10" customFormat="1" ht="21.75" customHeight="1" x14ac:dyDescent="0.15">
      <c r="B23" s="20" t="s">
        <v>204</v>
      </c>
      <c r="C23" s="14"/>
      <c r="D23" s="131">
        <f>0.459/6.55957</f>
        <v>6.9974098911971372E-2</v>
      </c>
      <c r="E23" s="131">
        <f>0.362/6.55957</f>
        <v>5.5186544239942556E-2</v>
      </c>
      <c r="F23" s="131">
        <f>0.283/6.55957</f>
        <v>4.3143071878187132E-2</v>
      </c>
      <c r="G23" s="131">
        <f>0.284/6.55957</f>
        <v>4.3295520895424544E-2</v>
      </c>
      <c r="H23" s="131">
        <f>0.209/6.55957</f>
        <v>3.1861844602618768E-2</v>
      </c>
      <c r="I23" s="131">
        <f>0.234/6.55957</f>
        <v>3.5673070033554029E-2</v>
      </c>
      <c r="J23" s="131">
        <f>0.256/6.55957</f>
        <v>3.9026948412777061E-2</v>
      </c>
      <c r="K23" s="131">
        <f>0.04</f>
        <v>0.04</v>
      </c>
      <c r="L23" s="131">
        <f>0.041</f>
        <v>4.1000000000000002E-2</v>
      </c>
      <c r="M23" s="131">
        <v>7.0000000000000007E-2</v>
      </c>
      <c r="N23" s="131">
        <v>5.11E-2</v>
      </c>
      <c r="O23" s="131">
        <v>4.7399999999999998E-2</v>
      </c>
      <c r="P23" s="131">
        <v>5.62E-2</v>
      </c>
      <c r="Q23" s="131">
        <v>6.4299999999999996E-2</v>
      </c>
      <c r="R23" s="147">
        <v>7.3599999999999999E-2</v>
      </c>
    </row>
    <row r="24" spans="2:20" s="10" customFormat="1" ht="21.75" customHeight="1" thickBot="1" x14ac:dyDescent="0.2">
      <c r="B24" s="20" t="s">
        <v>205</v>
      </c>
      <c r="C24" s="14"/>
      <c r="D24" s="136">
        <f>0.096/6.55957</f>
        <v>1.4635105654791397E-2</v>
      </c>
      <c r="E24" s="136">
        <f>0.167/6.55957</f>
        <v>2.5458985878647537E-2</v>
      </c>
      <c r="F24" s="136">
        <f>0.217/6.55957</f>
        <v>3.3081436740518055E-2</v>
      </c>
      <c r="G24" s="136">
        <f>0.283/6.55957</f>
        <v>4.3143071878187132E-2</v>
      </c>
      <c r="H24" s="136">
        <f>0.318/6.55957</f>
        <v>4.8478787481496505E-2</v>
      </c>
      <c r="I24" s="136">
        <f>0.337/6.55957</f>
        <v>5.1375318809007302E-2</v>
      </c>
      <c r="J24" s="136">
        <f>0.345/6.55957</f>
        <v>5.2594910946906576E-2</v>
      </c>
      <c r="K24" s="136">
        <v>0.04</v>
      </c>
      <c r="L24" s="136">
        <v>3.7999999999999999E-2</v>
      </c>
      <c r="M24" s="136">
        <v>0.08</v>
      </c>
      <c r="N24" s="136">
        <v>4.4900000000000002E-2</v>
      </c>
      <c r="O24" s="136">
        <v>5.6000000000000001E-2</v>
      </c>
      <c r="P24" s="136">
        <v>4.9500000000000002E-2</v>
      </c>
      <c r="Q24" s="136">
        <v>3.6499999999999998E-2</v>
      </c>
      <c r="R24" s="146">
        <v>3.6499999999999998E-2</v>
      </c>
    </row>
    <row r="25" spans="2:20" s="16" customFormat="1" ht="28.5" customHeight="1" thickTop="1" x14ac:dyDescent="0.15">
      <c r="B25" s="353" t="s">
        <v>265</v>
      </c>
      <c r="C25" s="149">
        <f t="shared" ref="C25:R25" si="7">C22-C23+C24</f>
        <v>1.8300815016053358</v>
      </c>
      <c r="D25" s="150">
        <f t="shared" si="7"/>
        <v>0.39010400071955831</v>
      </c>
      <c r="E25" s="150">
        <f t="shared" si="7"/>
        <v>0.41536856836652336</v>
      </c>
      <c r="F25" s="150">
        <f t="shared" si="7"/>
        <v>0.41326018321322838</v>
      </c>
      <c r="G25" s="150">
        <f t="shared" si="7"/>
        <v>0.44880401916589019</v>
      </c>
      <c r="H25" s="150">
        <f t="shared" si="7"/>
        <v>0.46504400440882565</v>
      </c>
      <c r="I25" s="150">
        <f t="shared" si="7"/>
        <v>0.4620953507623215</v>
      </c>
      <c r="J25" s="150">
        <f t="shared" si="7"/>
        <v>0.46992912340290571</v>
      </c>
      <c r="K25" s="150">
        <f t="shared" si="7"/>
        <v>0.50848830030017234</v>
      </c>
      <c r="L25" s="150">
        <f t="shared" si="7"/>
        <v>0.56200000000000017</v>
      </c>
      <c r="M25" s="150">
        <f t="shared" si="7"/>
        <v>0.70729999999999993</v>
      </c>
      <c r="N25" s="150">
        <f t="shared" si="7"/>
        <v>0.73899999999999921</v>
      </c>
      <c r="O25" s="150">
        <f t="shared" si="7"/>
        <v>0.74090000000000045</v>
      </c>
      <c r="P25" s="150">
        <f t="shared" si="7"/>
        <v>0.76500000000000057</v>
      </c>
      <c r="Q25" s="150">
        <f t="shared" si="7"/>
        <v>0.84439999999999893</v>
      </c>
      <c r="R25" s="151">
        <f t="shared" si="7"/>
        <v>0.93999999999999939</v>
      </c>
      <c r="S25" s="305"/>
      <c r="T25" s="305"/>
    </row>
    <row r="26" spans="2:20" s="16" customFormat="1" ht="21.75" customHeight="1" x14ac:dyDescent="0.15">
      <c r="B26" s="71"/>
      <c r="C26" s="117"/>
      <c r="D26" s="117"/>
      <c r="E26" s="117"/>
      <c r="F26" s="44"/>
      <c r="G26" s="44"/>
      <c r="H26" s="44"/>
      <c r="I26" s="44"/>
      <c r="J26" s="44"/>
      <c r="S26" s="23"/>
    </row>
    <row r="27" spans="2:20" s="16" customFormat="1" ht="21.75" customHeight="1" x14ac:dyDescent="0.15">
      <c r="B27" s="71"/>
      <c r="C27" s="117"/>
      <c r="D27" s="117"/>
      <c r="E27" s="117"/>
      <c r="F27" s="44"/>
      <c r="G27" s="44"/>
      <c r="H27" s="44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23"/>
    </row>
    <row r="28" spans="2:20" s="16" customFormat="1" ht="16.5" customHeight="1" x14ac:dyDescent="0.15">
      <c r="B28" s="71"/>
      <c r="C28" s="117"/>
      <c r="D28" s="117"/>
      <c r="E28" s="117"/>
      <c r="F28" s="44"/>
      <c r="G28" s="44"/>
      <c r="H28" s="44"/>
      <c r="I28" s="44"/>
      <c r="J28" s="44"/>
    </row>
    <row r="29" spans="2:20" s="16" customFormat="1" ht="23" x14ac:dyDescent="0.25">
      <c r="B29" s="464" t="s">
        <v>206</v>
      </c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</row>
    <row r="30" spans="2:20" s="16" customFormat="1" ht="23" x14ac:dyDescent="0.25">
      <c r="B30" s="152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20" ht="21.75" customHeight="1" thickBot="1" x14ac:dyDescent="0.2">
      <c r="B31" s="126"/>
      <c r="C31" s="126">
        <v>32874</v>
      </c>
      <c r="D31" s="126">
        <f t="shared" ref="D31:R31" si="8">C31+370</f>
        <v>33244</v>
      </c>
      <c r="E31" s="126">
        <f t="shared" si="8"/>
        <v>33614</v>
      </c>
      <c r="F31" s="126">
        <f t="shared" si="8"/>
        <v>33984</v>
      </c>
      <c r="G31" s="126">
        <f t="shared" si="8"/>
        <v>34354</v>
      </c>
      <c r="H31" s="126">
        <f t="shared" si="8"/>
        <v>34724</v>
      </c>
      <c r="I31" s="126">
        <f t="shared" si="8"/>
        <v>35094</v>
      </c>
      <c r="J31" s="126">
        <f t="shared" si="8"/>
        <v>35464</v>
      </c>
      <c r="K31" s="126">
        <f t="shared" si="8"/>
        <v>35834</v>
      </c>
      <c r="L31" s="126">
        <f t="shared" si="8"/>
        <v>36204</v>
      </c>
      <c r="M31" s="126">
        <f t="shared" si="8"/>
        <v>36574</v>
      </c>
      <c r="N31" s="126">
        <f t="shared" si="8"/>
        <v>36944</v>
      </c>
      <c r="O31" s="126">
        <f t="shared" si="8"/>
        <v>37314</v>
      </c>
      <c r="P31" s="126">
        <f t="shared" si="8"/>
        <v>37684</v>
      </c>
      <c r="Q31" s="126">
        <f t="shared" si="8"/>
        <v>38054</v>
      </c>
      <c r="R31" s="126">
        <f t="shared" si="8"/>
        <v>38424</v>
      </c>
    </row>
    <row r="32" spans="2:20" ht="21.75" customHeight="1" x14ac:dyDescent="0.15">
      <c r="B32" s="13" t="s">
        <v>0</v>
      </c>
      <c r="C32" s="99"/>
      <c r="D32" s="99"/>
      <c r="E32" s="99"/>
      <c r="F32" s="99"/>
      <c r="G32" s="99"/>
      <c r="H32" s="99"/>
      <c r="I32" s="99"/>
      <c r="J32" s="99"/>
      <c r="K32" s="57"/>
      <c r="L32" s="57"/>
      <c r="M32" s="317"/>
      <c r="N32" s="57"/>
      <c r="O32" s="57"/>
      <c r="P32" s="57"/>
      <c r="Q32" s="57"/>
      <c r="R32" s="57"/>
    </row>
    <row r="33" spans="2:18" ht="21.75" customHeight="1" x14ac:dyDescent="0.15">
      <c r="B33" s="13" t="s">
        <v>1</v>
      </c>
      <c r="C33" s="67"/>
      <c r="D33" s="67"/>
      <c r="E33" s="67"/>
      <c r="F33" s="67"/>
      <c r="G33" s="67"/>
      <c r="H33" s="67"/>
      <c r="I33" s="67"/>
      <c r="J33" s="67"/>
      <c r="K33" s="57"/>
      <c r="L33" s="57"/>
      <c r="M33" s="57"/>
      <c r="N33" s="57"/>
      <c r="O33" s="57"/>
      <c r="P33" s="57"/>
      <c r="Q33" s="57"/>
      <c r="R33" s="57"/>
    </row>
    <row r="34" spans="2:18" ht="21.75" customHeight="1" x14ac:dyDescent="0.15">
      <c r="B34" s="354" t="s">
        <v>2</v>
      </c>
      <c r="C34" s="116">
        <f t="shared" ref="C34:R34" si="9">C7/C7</f>
        <v>1</v>
      </c>
      <c r="D34" s="158">
        <f t="shared" si="9"/>
        <v>1</v>
      </c>
      <c r="E34" s="158">
        <f t="shared" si="9"/>
        <v>1</v>
      </c>
      <c r="F34" s="158">
        <f t="shared" si="9"/>
        <v>1</v>
      </c>
      <c r="G34" s="158">
        <f t="shared" si="9"/>
        <v>1</v>
      </c>
      <c r="H34" s="158">
        <f t="shared" si="9"/>
        <v>1</v>
      </c>
      <c r="I34" s="158">
        <f t="shared" si="9"/>
        <v>1</v>
      </c>
      <c r="J34" s="158">
        <f t="shared" si="9"/>
        <v>1</v>
      </c>
      <c r="K34" s="158">
        <f t="shared" si="9"/>
        <v>1</v>
      </c>
      <c r="L34" s="158">
        <f t="shared" si="9"/>
        <v>1</v>
      </c>
      <c r="M34" s="158">
        <f t="shared" si="9"/>
        <v>1</v>
      </c>
      <c r="N34" s="158">
        <f t="shared" si="9"/>
        <v>1</v>
      </c>
      <c r="O34" s="158">
        <f t="shared" si="9"/>
        <v>1</v>
      </c>
      <c r="P34" s="158">
        <f t="shared" si="9"/>
        <v>1</v>
      </c>
      <c r="Q34" s="158">
        <f t="shared" si="9"/>
        <v>1</v>
      </c>
      <c r="R34" s="159">
        <f t="shared" si="9"/>
        <v>1</v>
      </c>
    </row>
    <row r="35" spans="2:18" ht="21.75" customHeight="1" x14ac:dyDescent="0.15">
      <c r="B35" s="31" t="s">
        <v>3</v>
      </c>
      <c r="C35" s="107"/>
      <c r="D35" s="160">
        <f t="shared" ref="D35:K35" si="10">D8/D7</f>
        <v>0.37835645783231114</v>
      </c>
      <c r="E35" s="160">
        <f t="shared" si="10"/>
        <v>0.37072525266351841</v>
      </c>
      <c r="F35" s="160">
        <f t="shared" si="10"/>
        <v>0.36623983125954984</v>
      </c>
      <c r="G35" s="160">
        <f t="shared" si="10"/>
        <v>0.36228690005468894</v>
      </c>
      <c r="H35" s="160">
        <f t="shared" si="10"/>
        <v>0.3656603006120126</v>
      </c>
      <c r="I35" s="160">
        <f t="shared" si="10"/>
        <v>0.38176259621933184</v>
      </c>
      <c r="J35" s="160">
        <f t="shared" si="10"/>
        <v>0.39521367521367523</v>
      </c>
      <c r="K35" s="160">
        <f t="shared" si="10"/>
        <v>0.39884868421052627</v>
      </c>
      <c r="L35" s="56"/>
      <c r="M35" s="160"/>
      <c r="N35" s="160">
        <f>N8/N7</f>
        <v>0.36491264679627633</v>
      </c>
      <c r="O35" s="160">
        <f>O8/O7</f>
        <v>0.32711167352103765</v>
      </c>
      <c r="P35" s="160">
        <f>P8/P7</f>
        <v>0.34415807954467215</v>
      </c>
      <c r="Q35" s="160">
        <f>Q8/Q7</f>
        <v>0.35102520836529122</v>
      </c>
      <c r="R35" s="306">
        <f>R8/R7</f>
        <v>0.3781097864836892</v>
      </c>
    </row>
    <row r="36" spans="2:18" ht="21.75" customHeight="1" x14ac:dyDescent="0.15">
      <c r="B36" s="31" t="s">
        <v>4</v>
      </c>
      <c r="C36" s="107">
        <f t="shared" ref="C36:K36" si="11">C9/C7</f>
        <v>0</v>
      </c>
      <c r="D36" s="161">
        <f t="shared" si="11"/>
        <v>0.17932405017307756</v>
      </c>
      <c r="E36" s="161">
        <f t="shared" si="11"/>
        <v>0.19270090687641084</v>
      </c>
      <c r="F36" s="161">
        <f t="shared" si="11"/>
        <v>0.19001798671211567</v>
      </c>
      <c r="G36" s="161">
        <f t="shared" si="11"/>
        <v>0.20019957718202075</v>
      </c>
      <c r="H36" s="161">
        <f t="shared" si="11"/>
        <v>0.19656919106518231</v>
      </c>
      <c r="I36" s="161">
        <f t="shared" si="11"/>
        <v>0.18110594127917551</v>
      </c>
      <c r="J36" s="161">
        <f t="shared" si="11"/>
        <v>0.17076923076923076</v>
      </c>
      <c r="K36" s="161">
        <f t="shared" si="11"/>
        <v>0.15345394736842105</v>
      </c>
      <c r="L36" s="161"/>
      <c r="M36" s="161"/>
      <c r="N36" s="161">
        <f>N9/N7</f>
        <v>0.2158151613165003</v>
      </c>
      <c r="O36" s="161">
        <f>O9/O7</f>
        <v>0.23489402087946853</v>
      </c>
      <c r="P36" s="161">
        <f>P9/P7</f>
        <v>0.23507676772313127</v>
      </c>
      <c r="Q36" s="161">
        <f>Q9/Q7</f>
        <v>0.23859487651480291</v>
      </c>
      <c r="R36" s="162">
        <f>R9/R7</f>
        <v>0.2125579790700349</v>
      </c>
    </row>
    <row r="37" spans="2:18" ht="21.75" customHeight="1" x14ac:dyDescent="0.15">
      <c r="B37" s="7" t="s">
        <v>5</v>
      </c>
      <c r="C37" s="107">
        <f t="shared" ref="C37:K37" si="12">C10/C7</f>
        <v>0</v>
      </c>
      <c r="D37" s="107">
        <f t="shared" si="12"/>
        <v>0.44231949199461118</v>
      </c>
      <c r="E37" s="107">
        <f t="shared" si="12"/>
        <v>0.43657384046007069</v>
      </c>
      <c r="F37" s="107">
        <f t="shared" si="12"/>
        <v>0.44374218202833449</v>
      </c>
      <c r="G37" s="107">
        <f t="shared" si="12"/>
        <v>0.43751352276329036</v>
      </c>
      <c r="H37" s="107">
        <f t="shared" si="12"/>
        <v>0.43777050832280506</v>
      </c>
      <c r="I37" s="107">
        <f t="shared" si="12"/>
        <v>0.43713146250149265</v>
      </c>
      <c r="J37" s="107">
        <f t="shared" si="12"/>
        <v>0.43401709401709399</v>
      </c>
      <c r="K37" s="107">
        <f t="shared" si="12"/>
        <v>0.44769736842105268</v>
      </c>
      <c r="L37" s="107"/>
      <c r="M37" s="107"/>
      <c r="N37" s="107">
        <f>N10/N7</f>
        <v>0.41927219188722326</v>
      </c>
      <c r="O37" s="107">
        <f>O10/O7</f>
        <v>0.43799430559949387</v>
      </c>
      <c r="P37" s="107">
        <f>P10/P7</f>
        <v>0.42076515273219661</v>
      </c>
      <c r="Q37" s="107">
        <f>Q10/Q7</f>
        <v>0.41037991511990585</v>
      </c>
      <c r="R37" s="163">
        <f>R10/R7</f>
        <v>0.40933223444627587</v>
      </c>
    </row>
    <row r="38" spans="2:18" ht="21.75" customHeight="1" x14ac:dyDescent="0.15">
      <c r="B38" s="7" t="s">
        <v>6</v>
      </c>
      <c r="C38" s="108">
        <f t="shared" ref="C38:K38" si="13">C11/C7</f>
        <v>0</v>
      </c>
      <c r="D38" s="26">
        <f t="shared" si="13"/>
        <v>0.22496445698312292</v>
      </c>
      <c r="E38" s="26">
        <f t="shared" si="13"/>
        <v>0.22489573222720607</v>
      </c>
      <c r="F38" s="26">
        <f t="shared" si="13"/>
        <v>0.22666501828560112</v>
      </c>
      <c r="G38" s="26">
        <f t="shared" si="13"/>
        <v>0.21591694486827442</v>
      </c>
      <c r="H38" s="26">
        <f t="shared" si="13"/>
        <v>0.2120314335466956</v>
      </c>
      <c r="I38" s="26">
        <f t="shared" si="13"/>
        <v>0.22067286178354156</v>
      </c>
      <c r="J38" s="26">
        <f t="shared" si="13"/>
        <v>0.21555555555555556</v>
      </c>
      <c r="K38" s="26">
        <f t="shared" si="13"/>
        <v>0.21776315789473685</v>
      </c>
      <c r="L38" s="26"/>
      <c r="M38" s="26"/>
      <c r="N38" s="26">
        <f>N11/N7</f>
        <v>0.18583568091445532</v>
      </c>
      <c r="O38" s="26">
        <f>O11/O7</f>
        <v>0.19356094711994742</v>
      </c>
      <c r="P38" s="26">
        <f>P11/P7</f>
        <v>0.18835058407729555</v>
      </c>
      <c r="Q38" s="26">
        <f>Q11/Q7</f>
        <v>0.18702254947077773</v>
      </c>
      <c r="R38" s="164">
        <f>R11/R7</f>
        <v>0.17790470349216086</v>
      </c>
    </row>
    <row r="39" spans="2:18" ht="21.75" hidden="1" customHeight="1" x14ac:dyDescent="0.15">
      <c r="B39" s="31" t="s">
        <v>7</v>
      </c>
      <c r="C39" s="108"/>
      <c r="D39" s="108"/>
      <c r="E39" s="108"/>
      <c r="F39" s="108"/>
      <c r="G39" s="108"/>
      <c r="H39" s="108"/>
      <c r="I39" s="108"/>
      <c r="J39" s="108"/>
      <c r="K39" s="57"/>
      <c r="L39" s="57"/>
      <c r="M39" s="57"/>
      <c r="N39" s="57"/>
      <c r="O39" s="57"/>
      <c r="P39" s="57"/>
      <c r="Q39" s="57"/>
      <c r="R39" s="156"/>
    </row>
    <row r="40" spans="2:18" ht="21.75" customHeight="1" x14ac:dyDescent="0.15">
      <c r="B40" s="31" t="s">
        <v>111</v>
      </c>
      <c r="C40" s="107">
        <f t="shared" ref="C40:K40" si="14">C13/C7</f>
        <v>0</v>
      </c>
      <c r="D40" s="107">
        <f t="shared" si="14"/>
        <v>1.1190072193096515E-2</v>
      </c>
      <c r="E40" s="107">
        <f t="shared" si="14"/>
        <v>7.3215646436387881E-3</v>
      </c>
      <c r="F40" s="107">
        <f t="shared" si="14"/>
        <v>6.5852707229982895E-3</v>
      </c>
      <c r="G40" s="107">
        <f t="shared" si="14"/>
        <v>6.2365507051667891E-3</v>
      </c>
      <c r="H40" s="107">
        <f t="shared" si="14"/>
        <v>5.7750544208061772E-3</v>
      </c>
      <c r="I40" s="107">
        <f t="shared" si="14"/>
        <v>5.0913316825471015E-3</v>
      </c>
      <c r="J40" s="107">
        <f t="shared" si="14"/>
        <v>0</v>
      </c>
      <c r="K40" s="107">
        <f t="shared" si="14"/>
        <v>-7.236842105263157E-3</v>
      </c>
      <c r="L40" s="107"/>
      <c r="M40" s="107"/>
      <c r="N40" s="107">
        <f>N13/N7</f>
        <v>-1.2520432650506036E-3</v>
      </c>
      <c r="O40" s="107">
        <f>O13/O7</f>
        <v>-4.1491251551359111E-3</v>
      </c>
      <c r="P40" s="107">
        <f>P13/P7</f>
        <v>-2.3753241686365408E-3</v>
      </c>
      <c r="Q40" s="107">
        <f>Q13/Q7</f>
        <v>7.3630924988495169E-4</v>
      </c>
      <c r="R40" s="163">
        <f>R13/R7</f>
        <v>0</v>
      </c>
    </row>
    <row r="41" spans="2:18" ht="21.75" customHeight="1" x14ac:dyDescent="0.15">
      <c r="B41" s="7" t="s">
        <v>9</v>
      </c>
      <c r="C41" s="108">
        <f t="shared" ref="C41:R41" si="15">C14/C7</f>
        <v>0</v>
      </c>
      <c r="D41" s="26">
        <f t="shared" si="15"/>
        <v>0.22854510720458476</v>
      </c>
      <c r="E41" s="26">
        <f t="shared" si="15"/>
        <v>0.21899967287650343</v>
      </c>
      <c r="F41" s="26">
        <f t="shared" si="15"/>
        <v>0.22366243446573167</v>
      </c>
      <c r="G41" s="26">
        <f t="shared" si="15"/>
        <v>0.22783312860018273</v>
      </c>
      <c r="H41" s="26">
        <f t="shared" si="15"/>
        <v>0.23151412919691564</v>
      </c>
      <c r="I41" s="26">
        <f t="shared" si="15"/>
        <v>0.22154993240049822</v>
      </c>
      <c r="J41" s="26">
        <f t="shared" si="15"/>
        <v>0.21846153846153843</v>
      </c>
      <c r="K41" s="26">
        <f t="shared" si="15"/>
        <v>0.22269736842105267</v>
      </c>
      <c r="L41" s="26">
        <f t="shared" si="15"/>
        <v>0.23997423095506523</v>
      </c>
      <c r="M41" s="26">
        <v>0.24099999999999999</v>
      </c>
      <c r="N41" s="26">
        <f t="shared" si="15"/>
        <v>0.23218446770771739</v>
      </c>
      <c r="O41" s="26">
        <f t="shared" si="15"/>
        <v>0.24028423332441054</v>
      </c>
      <c r="P41" s="26">
        <f t="shared" si="15"/>
        <v>0.23003924448626448</v>
      </c>
      <c r="Q41" s="26">
        <f t="shared" si="15"/>
        <v>0.22409367489901308</v>
      </c>
      <c r="R41" s="164">
        <f t="shared" si="15"/>
        <v>0.23142753095411503</v>
      </c>
    </row>
    <row r="42" spans="2:18" x14ac:dyDescent="0.15">
      <c r="B42" s="34" t="s">
        <v>10</v>
      </c>
      <c r="C42" s="108">
        <f t="shared" ref="C42:R42" si="16">C15/C7</f>
        <v>0</v>
      </c>
      <c r="D42" s="26">
        <f t="shared" si="16"/>
        <v>7.5910180748112593E-2</v>
      </c>
      <c r="E42" s="26">
        <f t="shared" si="16"/>
        <v>8.0570642882052429E-2</v>
      </c>
      <c r="F42" s="26">
        <f t="shared" si="16"/>
        <v>8.6563383653812498E-2</v>
      </c>
      <c r="G42" s="26">
        <f t="shared" si="16"/>
        <v>8.7343207603169215E-2</v>
      </c>
      <c r="H42" s="26">
        <f t="shared" si="16"/>
        <v>8.6346378194956885E-2</v>
      </c>
      <c r="I42" s="26">
        <f t="shared" si="16"/>
        <v>8.5068879084387011E-2</v>
      </c>
      <c r="J42" s="26">
        <f t="shared" si="16"/>
        <v>8.4957264957264966E-2</v>
      </c>
      <c r="K42" s="26">
        <f t="shared" si="16"/>
        <v>9.1776315789473692E-2</v>
      </c>
      <c r="L42" s="26">
        <f t="shared" si="16"/>
        <v>9.1641166049283296E-2</v>
      </c>
      <c r="M42" s="26">
        <v>9.2999999999999999E-2</v>
      </c>
      <c r="N42" s="26">
        <f t="shared" si="16"/>
        <v>9.1364379369109322E-2</v>
      </c>
      <c r="O42" s="26">
        <f t="shared" si="16"/>
        <v>9.4359136592607001E-2</v>
      </c>
      <c r="P42" s="26">
        <f t="shared" si="16"/>
        <v>8.8277144102999555E-2</v>
      </c>
      <c r="Q42" s="26">
        <f t="shared" si="16"/>
        <v>8.6669734621874536E-2</v>
      </c>
      <c r="R42" s="164">
        <f t="shared" si="16"/>
        <v>8.5991106681488863E-2</v>
      </c>
    </row>
    <row r="43" spans="2:18" ht="14" thickBot="1" x14ac:dyDescent="0.2">
      <c r="B43" s="13" t="s">
        <v>119</v>
      </c>
      <c r="C43" s="108"/>
      <c r="D43" s="108"/>
      <c r="E43" s="108"/>
      <c r="F43" s="108"/>
      <c r="G43" s="108"/>
      <c r="H43" s="108"/>
      <c r="I43" s="108"/>
      <c r="J43" s="108"/>
      <c r="K43" s="57"/>
      <c r="L43" s="57"/>
      <c r="M43" s="57"/>
      <c r="N43" s="57"/>
      <c r="O43" s="57"/>
      <c r="P43" s="57"/>
      <c r="Q43" s="57"/>
      <c r="R43" s="156"/>
    </row>
    <row r="44" spans="2:18" ht="21.75" customHeight="1" thickTop="1" thickBot="1" x14ac:dyDescent="0.2">
      <c r="B44" s="355" t="s">
        <v>12</v>
      </c>
      <c r="C44" s="166">
        <f t="shared" ref="C44:R44" si="17">C17/C7</f>
        <v>0.73549772858244133</v>
      </c>
      <c r="D44" s="167">
        <f t="shared" si="17"/>
        <v>0.15263492645647217</v>
      </c>
      <c r="E44" s="167">
        <f t="shared" si="17"/>
        <v>0.138429029994451</v>
      </c>
      <c r="F44" s="167">
        <f t="shared" si="17"/>
        <v>0.13709905081191914</v>
      </c>
      <c r="G44" s="167">
        <f t="shared" si="17"/>
        <v>0.14048992099701352</v>
      </c>
      <c r="H44" s="167">
        <f t="shared" si="17"/>
        <v>0.14516775100195875</v>
      </c>
      <c r="I44" s="167">
        <f t="shared" si="17"/>
        <v>0.13648105331611118</v>
      </c>
      <c r="J44" s="167">
        <f t="shared" si="17"/>
        <v>0.13350427350427349</v>
      </c>
      <c r="K44" s="167">
        <f t="shared" si="17"/>
        <v>0.13092105263157899</v>
      </c>
      <c r="L44" s="167">
        <f t="shared" si="17"/>
        <v>0.14817200837493963</v>
      </c>
      <c r="M44" s="167">
        <v>0.14899999999999999</v>
      </c>
      <c r="N44" s="167">
        <f t="shared" si="17"/>
        <v>0.14082008833860807</v>
      </c>
      <c r="O44" s="167">
        <f t="shared" si="17"/>
        <v>0.14592509673180351</v>
      </c>
      <c r="P44" s="167">
        <f t="shared" si="17"/>
        <v>0.14176210038326492</v>
      </c>
      <c r="Q44" s="167">
        <f t="shared" si="17"/>
        <v>0.13742394027713853</v>
      </c>
      <c r="R44" s="168">
        <f t="shared" si="17"/>
        <v>0.14543642427262615</v>
      </c>
    </row>
    <row r="45" spans="2:18" ht="21.75" customHeight="1" thickTop="1" x14ac:dyDescent="0.15">
      <c r="B45" s="352" t="s">
        <v>13</v>
      </c>
      <c r="C45" s="109">
        <f t="shared" ref="C45:R45" si="18">C18/C7</f>
        <v>0</v>
      </c>
      <c r="D45" s="109">
        <f t="shared" si="18"/>
        <v>2.1059967329704117E-2</v>
      </c>
      <c r="E45" s="109">
        <f t="shared" si="18"/>
        <v>1.3907629642711122E-2</v>
      </c>
      <c r="F45" s="109">
        <f t="shared" si="18"/>
        <v>1.3005909677921619E-2</v>
      </c>
      <c r="G45" s="109">
        <f t="shared" si="18"/>
        <v>1.1224450095921301E-2</v>
      </c>
      <c r="H45" s="109">
        <f t="shared" si="18"/>
        <v>1.2015839036838659E-2</v>
      </c>
      <c r="I45" s="109">
        <f t="shared" si="18"/>
        <v>1.2422849305414929E-2</v>
      </c>
      <c r="J45" s="109">
        <f t="shared" si="18"/>
        <v>1.0769230769230771E-2</v>
      </c>
      <c r="K45" s="109">
        <f t="shared" si="18"/>
        <v>1.200657894736842E-2</v>
      </c>
      <c r="L45" s="109">
        <f t="shared" si="18"/>
        <v>1.1273957158962797E-2</v>
      </c>
      <c r="M45" s="109">
        <v>3.9E-2</v>
      </c>
      <c r="N45" s="109">
        <f t="shared" si="18"/>
        <v>1.7864802513360922E-2</v>
      </c>
      <c r="O45" s="109">
        <f t="shared" si="18"/>
        <v>1.5477088555228384E-2</v>
      </c>
      <c r="P45" s="109">
        <f t="shared" si="18"/>
        <v>1.2163495742776488E-2</v>
      </c>
      <c r="Q45" s="109">
        <f t="shared" si="18"/>
        <v>1.4664825893541955E-2</v>
      </c>
      <c r="R45" s="169">
        <f t="shared" si="18"/>
        <v>2.0335799440334267E-2</v>
      </c>
    </row>
    <row r="46" spans="2:18" ht="21.75" customHeight="1" x14ac:dyDescent="0.15">
      <c r="B46" s="31" t="s">
        <v>14</v>
      </c>
      <c r="C46" s="109">
        <f t="shared" ref="C46:R46" si="19">C19/C7</f>
        <v>0.73549772858244133</v>
      </c>
      <c r="D46" s="109">
        <f t="shared" si="19"/>
        <v>0.13157495912676806</v>
      </c>
      <c r="E46" s="109">
        <f t="shared" si="19"/>
        <v>0.12452140035173988</v>
      </c>
      <c r="F46" s="109">
        <f t="shared" si="19"/>
        <v>0.12409314113399753</v>
      </c>
      <c r="G46" s="109">
        <f t="shared" si="19"/>
        <v>0.12926547090109222</v>
      </c>
      <c r="H46" s="109">
        <f t="shared" si="19"/>
        <v>0.13315191196512011</v>
      </c>
      <c r="I46" s="109">
        <f t="shared" si="19"/>
        <v>0.12405820401069627</v>
      </c>
      <c r="J46" s="109">
        <f t="shared" si="19"/>
        <v>0.1227350427350427</v>
      </c>
      <c r="K46" s="109">
        <f t="shared" si="19"/>
        <v>0.11891447368421057</v>
      </c>
      <c r="L46" s="109">
        <f t="shared" si="19"/>
        <v>0.13689805121597684</v>
      </c>
      <c r="M46" s="109">
        <v>0.11</v>
      </c>
      <c r="N46" s="109">
        <f t="shared" si="19"/>
        <v>0.12295528582524715</v>
      </c>
      <c r="O46" s="109">
        <f t="shared" si="19"/>
        <v>0.13044800817657515</v>
      </c>
      <c r="P46" s="109">
        <f t="shared" si="19"/>
        <v>0.12959860464048845</v>
      </c>
      <c r="Q46" s="109">
        <f t="shared" si="19"/>
        <v>0.12275911438359657</v>
      </c>
      <c r="R46" s="169">
        <f t="shared" si="19"/>
        <v>0.1251006248322919</v>
      </c>
    </row>
    <row r="47" spans="2:18" ht="21.75" customHeight="1" x14ac:dyDescent="0.15">
      <c r="B47" s="20" t="s">
        <v>15</v>
      </c>
      <c r="C47" s="108">
        <f t="shared" ref="C47:R47" si="20">C20/C7</f>
        <v>0</v>
      </c>
      <c r="D47" s="108">
        <f t="shared" si="20"/>
        <v>2.3574590294444908E-3</v>
      </c>
      <c r="E47" s="108">
        <f t="shared" si="20"/>
        <v>8.324518704411225E-3</v>
      </c>
      <c r="F47" s="108">
        <f t="shared" si="20"/>
        <v>3.8194570193390079E-3</v>
      </c>
      <c r="G47" s="108">
        <f t="shared" si="20"/>
        <v>1.9843570425530691E-3</v>
      </c>
      <c r="H47" s="108">
        <f t="shared" si="20"/>
        <v>1.3971905856789138E-3</v>
      </c>
      <c r="I47" s="108">
        <f t="shared" si="20"/>
        <v>1.9783460252183029E-3</v>
      </c>
      <c r="J47" s="108">
        <f t="shared" si="20"/>
        <v>-6.8376068376068387E-4</v>
      </c>
      <c r="K47" s="108">
        <f t="shared" si="20"/>
        <v>9.3749999999999997E-3</v>
      </c>
      <c r="L47" s="108">
        <f t="shared" si="20"/>
        <v>0</v>
      </c>
      <c r="M47" s="108">
        <v>0</v>
      </c>
      <c r="N47" s="108">
        <f t="shared" si="20"/>
        <v>-1.3911591833895592E-4</v>
      </c>
      <c r="O47" s="108">
        <f t="shared" si="20"/>
        <v>-6.0350911347431431E-3</v>
      </c>
      <c r="P47" s="108">
        <f t="shared" si="20"/>
        <v>-5.7833979758107083E-3</v>
      </c>
      <c r="Q47" s="108">
        <f t="shared" si="20"/>
        <v>-3.6201871452676794E-3</v>
      </c>
      <c r="R47" s="170">
        <f t="shared" si="20"/>
        <v>4.0633265611223985E-3</v>
      </c>
    </row>
    <row r="48" spans="2:18" ht="21.75" customHeight="1" thickBot="1" x14ac:dyDescent="0.2">
      <c r="B48" s="20" t="s">
        <v>130</v>
      </c>
      <c r="C48" s="108">
        <f t="shared" ref="C48:R48" si="21">C21/C7</f>
        <v>4.7917497918031481E-2</v>
      </c>
      <c r="D48" s="108">
        <f t="shared" si="21"/>
        <v>4.2088501872348971E-2</v>
      </c>
      <c r="E48" s="108">
        <f t="shared" si="21"/>
        <v>3.5237119335138282E-2</v>
      </c>
      <c r="F48" s="108">
        <f t="shared" si="21"/>
        <v>3.6482399805410529E-2</v>
      </c>
      <c r="G48" s="108">
        <f t="shared" si="21"/>
        <v>3.8490227079362699E-2</v>
      </c>
      <c r="H48" s="108">
        <f t="shared" si="21"/>
        <v>4.3219762117001063E-2</v>
      </c>
      <c r="I48" s="108">
        <f t="shared" si="21"/>
        <v>4.0847026755977893E-2</v>
      </c>
      <c r="J48" s="108">
        <f t="shared" si="21"/>
        <v>4.4040827201918556E-2</v>
      </c>
      <c r="K48" s="108">
        <f t="shared" si="21"/>
        <v>4.4656529555892742E-2</v>
      </c>
      <c r="L48" s="108">
        <f t="shared" si="21"/>
        <v>4.5901111290062808E-2</v>
      </c>
      <c r="M48" s="108">
        <v>3.3000000000000002E-2</v>
      </c>
      <c r="N48" s="108">
        <f t="shared" si="21"/>
        <v>3.642518461841663E-2</v>
      </c>
      <c r="O48" s="108">
        <f t="shared" si="21"/>
        <v>3.5310150147227021E-2</v>
      </c>
      <c r="P48" s="108">
        <f t="shared" si="21"/>
        <v>3.5262662658068065E-2</v>
      </c>
      <c r="Q48" s="108">
        <f t="shared" si="21"/>
        <v>2.9943242828654706E-2</v>
      </c>
      <c r="R48" s="170">
        <f t="shared" si="21"/>
        <v>3.5525357457737571E-2</v>
      </c>
    </row>
    <row r="49" spans="2:18" ht="21.75" customHeight="1" thickTop="1" thickBot="1" x14ac:dyDescent="0.2">
      <c r="B49" s="356" t="s">
        <v>203</v>
      </c>
      <c r="C49" s="172">
        <f t="shared" ref="C49:R49" si="22">C22/C7</f>
        <v>0.41592761400121264</v>
      </c>
      <c r="D49" s="173">
        <f t="shared" si="22"/>
        <v>9.1843916283863569E-2</v>
      </c>
      <c r="E49" s="173">
        <f t="shared" si="22"/>
        <v>9.7608799721012815E-2</v>
      </c>
      <c r="F49" s="173">
        <f t="shared" si="22"/>
        <v>9.1430198347926012E-2</v>
      </c>
      <c r="G49" s="173">
        <f t="shared" si="22"/>
        <v>9.2759600864282574E-2</v>
      </c>
      <c r="H49" s="173">
        <f t="shared" si="22"/>
        <v>9.1329340433797951E-2</v>
      </c>
      <c r="I49" s="173">
        <f t="shared" si="22"/>
        <v>8.5189523279936674E-2</v>
      </c>
      <c r="J49" s="173">
        <f t="shared" si="22"/>
        <v>7.8010454849363461E-2</v>
      </c>
      <c r="K49" s="173">
        <f t="shared" si="22"/>
        <v>8.3632944128317815E-2</v>
      </c>
      <c r="L49" s="173">
        <f t="shared" si="22"/>
        <v>9.0996939925914025E-2</v>
      </c>
      <c r="M49" s="173">
        <v>7.6999999999999999E-2</v>
      </c>
      <c r="N49" s="173">
        <f t="shared" si="22"/>
        <v>8.639098528849154E-2</v>
      </c>
      <c r="O49" s="173">
        <f t="shared" si="22"/>
        <v>8.9102766894604959E-2</v>
      </c>
      <c r="P49" s="173">
        <f t="shared" si="22"/>
        <v>8.8552544006609654E-2</v>
      </c>
      <c r="Q49" s="173">
        <f t="shared" si="22"/>
        <v>8.9195684409674181E-2</v>
      </c>
      <c r="R49" s="174">
        <f t="shared" si="22"/>
        <v>9.3638593935676723E-2</v>
      </c>
    </row>
    <row r="50" spans="2:18" ht="21.75" customHeight="1" thickTop="1" x14ac:dyDescent="0.15">
      <c r="B50" s="20" t="s">
        <v>204</v>
      </c>
      <c r="C50" s="108">
        <f t="shared" ref="C50:R50" si="23">C23/C7</f>
        <v>0</v>
      </c>
      <c r="D50" s="108">
        <f t="shared" si="23"/>
        <v>1.4427649260200284E-2</v>
      </c>
      <c r="E50" s="108">
        <f t="shared" si="23"/>
        <v>1.2102312333320738E-2</v>
      </c>
      <c r="F50" s="108">
        <f t="shared" si="23"/>
        <v>9.3181580730425772E-3</v>
      </c>
      <c r="G50" s="108">
        <f t="shared" si="23"/>
        <v>8.9453555569058985E-3</v>
      </c>
      <c r="H50" s="108">
        <f t="shared" si="23"/>
        <v>6.4891740534865107E-3</v>
      </c>
      <c r="I50" s="108">
        <f t="shared" si="23"/>
        <v>6.8078377926629827E-3</v>
      </c>
      <c r="J50" s="108">
        <f t="shared" si="23"/>
        <v>6.6712732329533442E-3</v>
      </c>
      <c r="K50" s="108">
        <f t="shared" si="23"/>
        <v>6.5789473684210523E-3</v>
      </c>
      <c r="L50" s="108">
        <f t="shared" si="23"/>
        <v>6.6033177645353526E-3</v>
      </c>
      <c r="M50" s="108">
        <f t="shared" si="23"/>
        <v>7.7177508269018749E-3</v>
      </c>
      <c r="N50" s="108">
        <f t="shared" si="23"/>
        <v>5.9240195226005401E-3</v>
      </c>
      <c r="O50" s="108">
        <f t="shared" si="23"/>
        <v>5.7674056408634072E-3</v>
      </c>
      <c r="P50" s="108">
        <f t="shared" si="23"/>
        <v>6.4489477428682895E-3</v>
      </c>
      <c r="Q50" s="108">
        <f t="shared" si="23"/>
        <v>6.5756506621669989E-3</v>
      </c>
      <c r="R50" s="170">
        <f t="shared" si="23"/>
        <v>7.0533215777973711E-3</v>
      </c>
    </row>
    <row r="51" spans="2:18" s="10" customFormat="1" ht="21.75" customHeight="1" thickBot="1" x14ac:dyDescent="0.2">
      <c r="B51" s="20" t="s">
        <v>205</v>
      </c>
      <c r="C51" s="108">
        <f>C24/C7</f>
        <v>0</v>
      </c>
      <c r="D51" s="108">
        <f>D23/D7</f>
        <v>1.4427649260200284E-2</v>
      </c>
      <c r="E51" s="108">
        <f t="shared" ref="E51:R51" si="24">E24/E7</f>
        <v>5.5831109382998992E-3</v>
      </c>
      <c r="F51" s="108">
        <f t="shared" si="24"/>
        <v>7.1450187344531436E-3</v>
      </c>
      <c r="G51" s="108">
        <f t="shared" si="24"/>
        <v>8.9138578260717222E-3</v>
      </c>
      <c r="H51" s="108">
        <f t="shared" si="24"/>
        <v>9.8734801387976578E-3</v>
      </c>
      <c r="I51" s="108">
        <f t="shared" si="24"/>
        <v>9.8044501543907061E-3</v>
      </c>
      <c r="J51" s="108">
        <f t="shared" si="24"/>
        <v>8.9905830678472781E-3</v>
      </c>
      <c r="K51" s="108">
        <f t="shared" si="24"/>
        <v>6.5789473684210523E-3</v>
      </c>
      <c r="L51" s="108">
        <f t="shared" si="24"/>
        <v>6.1201481720083752E-3</v>
      </c>
      <c r="M51" s="108">
        <v>8.9999999999999993E-3</v>
      </c>
      <c r="N51" s="108">
        <f t="shared" si="24"/>
        <v>5.205253944515935E-3</v>
      </c>
      <c r="O51" s="108">
        <f t="shared" si="24"/>
        <v>6.813812571484194E-3</v>
      </c>
      <c r="P51" s="108">
        <f t="shared" si="24"/>
        <v>5.6801230119569454E-3</v>
      </c>
      <c r="Q51" s="108">
        <f t="shared" si="24"/>
        <v>3.7326788362223246E-3</v>
      </c>
      <c r="R51" s="307">
        <f t="shared" si="24"/>
        <v>3.4979108368152719E-3</v>
      </c>
    </row>
    <row r="52" spans="2:18" s="10" customFormat="1" ht="21.75" customHeight="1" thickTop="1" x14ac:dyDescent="0.15">
      <c r="B52" s="357" t="s">
        <v>207</v>
      </c>
      <c r="C52" s="176">
        <f t="shared" ref="C52:R52" si="25">C25/C7</f>
        <v>0.41592761400121264</v>
      </c>
      <c r="D52" s="177">
        <f t="shared" si="25"/>
        <v>8.0433814581352236E-2</v>
      </c>
      <c r="E52" s="177">
        <f t="shared" si="25"/>
        <v>9.1089598325991977E-2</v>
      </c>
      <c r="F52" s="177">
        <f t="shared" si="25"/>
        <v>8.9257059009336587E-2</v>
      </c>
      <c r="G52" s="177">
        <f t="shared" si="25"/>
        <v>9.2728103133448384E-2</v>
      </c>
      <c r="H52" s="177">
        <f t="shared" si="25"/>
        <v>9.4713646519109088E-2</v>
      </c>
      <c r="I52" s="177">
        <f t="shared" si="25"/>
        <v>8.8186135641664401E-2</v>
      </c>
      <c r="J52" s="177">
        <f t="shared" si="25"/>
        <v>8.0329764684257385E-2</v>
      </c>
      <c r="K52" s="177">
        <f t="shared" si="25"/>
        <v>8.3632944128317815E-2</v>
      </c>
      <c r="L52" s="177">
        <f t="shared" si="25"/>
        <v>9.0513770333387047E-2</v>
      </c>
      <c r="M52" s="177">
        <v>7.8E-2</v>
      </c>
      <c r="N52" s="177">
        <f t="shared" si="25"/>
        <v>8.5672219710406936E-2</v>
      </c>
      <c r="O52" s="177">
        <f t="shared" si="25"/>
        <v>9.0149173825225762E-2</v>
      </c>
      <c r="P52" s="177">
        <f t="shared" si="25"/>
        <v>8.7783719275698308E-2</v>
      </c>
      <c r="Q52" s="177">
        <f t="shared" si="25"/>
        <v>8.6352712583729507E-2</v>
      </c>
      <c r="R52" s="178">
        <f t="shared" si="25"/>
        <v>9.0083183194694619E-2</v>
      </c>
    </row>
    <row r="53" spans="2:18" s="16" customFormat="1" ht="21.75" customHeight="1" x14ac:dyDescent="0.1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</sheetData>
  <mergeCells count="2">
    <mergeCell ref="B2:M2"/>
    <mergeCell ref="B29:M29"/>
  </mergeCells>
  <phoneticPr fontId="0" type="noConversion"/>
  <printOptions verticalCentered="1"/>
  <pageMargins left="0.78740157480314965" right="0.78740157480314965" top="0.98425196850393704" bottom="0.98425196850393704" header="0.51181102362204722" footer="0.51181102362204722"/>
  <pageSetup paperSize="9" scale="88" orientation="landscape"/>
  <rowBreaks count="1" manualBreakCount="1">
    <brk id="27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F26"/>
  <sheetViews>
    <sheetView zoomScale="60" workbookViewId="0">
      <pane xSplit="3" topLeftCell="D1" activePane="topRight" state="frozen"/>
      <selection activeCell="I27" sqref="I27:R27"/>
      <selection pane="topRight" activeCell="G49" sqref="G49"/>
    </sheetView>
  </sheetViews>
  <sheetFormatPr baseColWidth="10" defaultColWidth="11.5" defaultRowHeight="13" x14ac:dyDescent="0.15"/>
  <cols>
    <col min="1" max="1" width="2.83203125" customWidth="1"/>
    <col min="2" max="2" width="43.6640625" customWidth="1"/>
    <col min="3" max="3" width="10.6640625" hidden="1" customWidth="1"/>
    <col min="4" max="13" width="7.1640625" customWidth="1"/>
    <col min="14" max="18" width="0" hidden="1" customWidth="1"/>
  </cols>
  <sheetData>
    <row r="1" spans="2:20" ht="34.5" customHeight="1" x14ac:dyDescent="0.15">
      <c r="R1" s="23" t="s">
        <v>221</v>
      </c>
    </row>
    <row r="2" spans="2:20" s="23" customFormat="1" ht="20" customHeight="1" x14ac:dyDescent="0.15">
      <c r="B2" s="358" t="s">
        <v>208</v>
      </c>
      <c r="C2" s="181">
        <v>32874</v>
      </c>
      <c r="D2" s="181">
        <f t="shared" ref="D2:R2" si="0">C2+366</f>
        <v>33240</v>
      </c>
      <c r="E2" s="181">
        <f t="shared" si="0"/>
        <v>33606</v>
      </c>
      <c r="F2" s="181">
        <f t="shared" si="0"/>
        <v>33972</v>
      </c>
      <c r="G2" s="181">
        <f t="shared" si="0"/>
        <v>34338</v>
      </c>
      <c r="H2" s="181">
        <f t="shared" si="0"/>
        <v>34704</v>
      </c>
      <c r="I2" s="181">
        <f t="shared" si="0"/>
        <v>35070</v>
      </c>
      <c r="J2" s="181">
        <f t="shared" si="0"/>
        <v>35436</v>
      </c>
      <c r="K2" s="181">
        <f t="shared" si="0"/>
        <v>35802</v>
      </c>
      <c r="L2" s="181">
        <f t="shared" si="0"/>
        <v>36168</v>
      </c>
      <c r="M2" s="181">
        <f t="shared" si="0"/>
        <v>36534</v>
      </c>
      <c r="N2" s="181">
        <f t="shared" si="0"/>
        <v>36900</v>
      </c>
      <c r="O2" s="181">
        <f t="shared" si="0"/>
        <v>37266</v>
      </c>
      <c r="P2" s="181">
        <f t="shared" si="0"/>
        <v>37632</v>
      </c>
      <c r="Q2" s="181">
        <f t="shared" si="0"/>
        <v>37998</v>
      </c>
      <c r="R2" s="182">
        <f t="shared" si="0"/>
        <v>38364</v>
      </c>
    </row>
    <row r="3" spans="2:20" ht="20" customHeight="1" x14ac:dyDescent="0.15">
      <c r="B3" s="65" t="s">
        <v>19</v>
      </c>
      <c r="C3" s="184">
        <v>2.6</v>
      </c>
      <c r="D3" s="184">
        <v>2.85</v>
      </c>
      <c r="E3" s="184">
        <v>3.12</v>
      </c>
      <c r="F3" s="184">
        <v>3.48</v>
      </c>
      <c r="G3" s="184">
        <v>3.4</v>
      </c>
      <c r="H3" s="184">
        <v>3.63</v>
      </c>
      <c r="I3" s="184">
        <v>4.01</v>
      </c>
      <c r="J3" s="184">
        <v>4.46</v>
      </c>
      <c r="K3" s="185">
        <v>4.6399999999999997</v>
      </c>
      <c r="L3" s="185">
        <v>4.8600000000000003</v>
      </c>
      <c r="M3" s="185">
        <v>6.04</v>
      </c>
      <c r="N3" s="185">
        <v>6.7996999999999996</v>
      </c>
      <c r="O3" s="185">
        <v>6.4504999999999999</v>
      </c>
      <c r="P3" s="185">
        <v>6.4596999999999998</v>
      </c>
      <c r="Q3" s="185">
        <v>7.0080999999999998</v>
      </c>
      <c r="R3" s="186">
        <v>6.9462000000000002</v>
      </c>
      <c r="T3" s="308"/>
    </row>
    <row r="4" spans="2:20" s="57" customFormat="1" ht="20" customHeight="1" x14ac:dyDescent="0.15">
      <c r="B4" s="14" t="s">
        <v>20</v>
      </c>
      <c r="C4" s="188">
        <v>0.74</v>
      </c>
      <c r="D4" s="188">
        <v>0.68</v>
      </c>
      <c r="E4" s="188">
        <v>0.56999999999999995</v>
      </c>
      <c r="F4" s="188">
        <v>0.51</v>
      </c>
      <c r="G4" s="188">
        <v>0.625</v>
      </c>
      <c r="H4" s="188">
        <v>0.54500000000000004</v>
      </c>
      <c r="I4" s="188">
        <v>0.79</v>
      </c>
      <c r="J4" s="188">
        <v>1.32</v>
      </c>
      <c r="K4" s="189">
        <v>1.63</v>
      </c>
      <c r="L4" s="190"/>
      <c r="M4" s="188"/>
      <c r="N4" s="188">
        <v>3.3041</v>
      </c>
      <c r="O4" s="188">
        <v>2.8220999999999998</v>
      </c>
      <c r="P4" s="188">
        <v>2.6004</v>
      </c>
      <c r="Q4" s="188">
        <v>5.2906000000000004</v>
      </c>
      <c r="R4" s="204">
        <v>5.9499000000000004</v>
      </c>
      <c r="S4" s="302"/>
    </row>
    <row r="5" spans="2:20" s="78" customFormat="1" ht="20" customHeight="1" x14ac:dyDescent="0.15">
      <c r="B5" s="20" t="s">
        <v>132</v>
      </c>
      <c r="C5" s="188">
        <v>0.17</v>
      </c>
      <c r="D5" s="188">
        <v>0.25</v>
      </c>
      <c r="E5" s="188">
        <v>0.191</v>
      </c>
      <c r="F5" s="188">
        <v>0.23599999999999999</v>
      </c>
      <c r="G5" s="188">
        <v>0.24399999999999999</v>
      </c>
      <c r="H5" s="188">
        <v>0.2</v>
      </c>
      <c r="I5" s="188">
        <v>0.27700000000000002</v>
      </c>
      <c r="J5" s="188">
        <v>0.22</v>
      </c>
      <c r="K5" s="189">
        <v>0.26</v>
      </c>
      <c r="L5" s="190"/>
      <c r="M5" s="188"/>
      <c r="N5" s="188">
        <v>0.43</v>
      </c>
      <c r="O5" s="188">
        <v>8.6699999999999999E-2</v>
      </c>
      <c r="P5" s="188">
        <v>0.18310000000000001</v>
      </c>
      <c r="Q5" s="188">
        <v>0.27450000000000002</v>
      </c>
      <c r="R5" s="204">
        <v>0.41770000000000002</v>
      </c>
    </row>
    <row r="6" spans="2:20" s="57" customFormat="1" ht="20" customHeight="1" x14ac:dyDescent="0.15">
      <c r="B6" s="21" t="s">
        <v>22</v>
      </c>
      <c r="C6" s="188">
        <v>0.1</v>
      </c>
      <c r="D6" s="188">
        <v>0.09</v>
      </c>
      <c r="E6" s="188">
        <v>7.0000000000000007E-2</v>
      </c>
      <c r="F6" s="188">
        <v>0.111</v>
      </c>
      <c r="G6" s="188">
        <v>3.2000000000000001E-2</v>
      </c>
      <c r="H6" s="188">
        <v>5.6000000000000001E-2</v>
      </c>
      <c r="I6" s="188">
        <v>6.2E-2</v>
      </c>
      <c r="J6" s="188">
        <v>6.9000000000000006E-2</v>
      </c>
      <c r="K6" s="189">
        <v>0.05</v>
      </c>
      <c r="L6" s="190"/>
      <c r="M6" s="188"/>
      <c r="N6" s="188">
        <v>0.24260000000000001</v>
      </c>
      <c r="O6" s="188">
        <v>4.1399999999999999E-2</v>
      </c>
      <c r="P6" s="188">
        <v>7.9500000000000001E-2</v>
      </c>
      <c r="Q6" s="188">
        <v>0.39689999999999998</v>
      </c>
      <c r="R6" s="204">
        <v>0.161</v>
      </c>
    </row>
    <row r="7" spans="2:20" s="57" customFormat="1" ht="20" customHeight="1" x14ac:dyDescent="0.15">
      <c r="B7" s="21" t="s">
        <v>133</v>
      </c>
      <c r="C7" s="188">
        <v>0.161</v>
      </c>
      <c r="D7" s="188">
        <v>0.16</v>
      </c>
      <c r="E7" s="188">
        <v>0.12</v>
      </c>
      <c r="F7" s="188">
        <v>0.17</v>
      </c>
      <c r="G7" s="188">
        <v>0.17499999999999999</v>
      </c>
      <c r="H7" s="188">
        <v>0.14000000000000001</v>
      </c>
      <c r="I7" s="188">
        <v>0.14699999999999999</v>
      </c>
      <c r="J7" s="188">
        <v>0.17399999999999999</v>
      </c>
      <c r="K7" s="189">
        <v>0.128</v>
      </c>
      <c r="L7" s="190"/>
      <c r="M7" s="188"/>
      <c r="N7" s="188">
        <v>0.35730000000000001</v>
      </c>
      <c r="O7" s="188">
        <v>0.31219999999999998</v>
      </c>
      <c r="P7" s="188">
        <v>0.35870000000000002</v>
      </c>
      <c r="Q7" s="188">
        <v>0.3881</v>
      </c>
      <c r="R7" s="204">
        <v>0.4244</v>
      </c>
    </row>
    <row r="8" spans="2:20" ht="20" customHeight="1" thickBot="1" x14ac:dyDescent="0.2">
      <c r="B8" s="8" t="s">
        <v>24</v>
      </c>
      <c r="C8" s="193">
        <f t="shared" ref="C8:K8" si="1">C4+C5-C6-C7</f>
        <v>0.64900000000000002</v>
      </c>
      <c r="D8" s="193">
        <f t="shared" si="1"/>
        <v>0.68</v>
      </c>
      <c r="E8" s="193">
        <f t="shared" si="1"/>
        <v>0.57099999999999984</v>
      </c>
      <c r="F8" s="193">
        <f t="shared" si="1"/>
        <v>0.46499999999999997</v>
      </c>
      <c r="G8" s="193">
        <f t="shared" si="1"/>
        <v>0.66199999999999992</v>
      </c>
      <c r="H8" s="193">
        <f t="shared" si="1"/>
        <v>0.54900000000000004</v>
      </c>
      <c r="I8" s="193">
        <f t="shared" si="1"/>
        <v>0.8580000000000001</v>
      </c>
      <c r="J8" s="193">
        <f t="shared" si="1"/>
        <v>1.2970000000000002</v>
      </c>
      <c r="K8" s="193">
        <f t="shared" si="1"/>
        <v>1.7119999999999997</v>
      </c>
      <c r="L8" s="193">
        <v>2.0499999999999998</v>
      </c>
      <c r="M8" s="193">
        <v>7.4</v>
      </c>
      <c r="N8" s="193">
        <f>N4+N5-N6-N7</f>
        <v>3.1342000000000003</v>
      </c>
      <c r="O8" s="193">
        <f>O4+O5-O6-O7</f>
        <v>2.5552000000000001</v>
      </c>
      <c r="P8" s="193">
        <f>P4+P5-P6-P7</f>
        <v>2.3452999999999999</v>
      </c>
      <c r="Q8" s="193">
        <f>Q4+Q5-Q6-Q7</f>
        <v>4.7801000000000009</v>
      </c>
      <c r="R8" s="194">
        <f>R4+R5-R6-R7</f>
        <v>5.7822000000000005</v>
      </c>
    </row>
    <row r="9" spans="2:20" s="16" customFormat="1" ht="20" customHeight="1" thickTop="1" thickBot="1" x14ac:dyDescent="0.2">
      <c r="B9" s="359" t="s">
        <v>25</v>
      </c>
      <c r="C9" s="196">
        <f t="shared" ref="C9:R9" si="2">C3+C8</f>
        <v>3.2490000000000001</v>
      </c>
      <c r="D9" s="197">
        <f t="shared" si="2"/>
        <v>3.5300000000000002</v>
      </c>
      <c r="E9" s="197">
        <f t="shared" si="2"/>
        <v>3.6909999999999998</v>
      </c>
      <c r="F9" s="197">
        <f t="shared" si="2"/>
        <v>3.9449999999999998</v>
      </c>
      <c r="G9" s="197">
        <f t="shared" si="2"/>
        <v>4.0619999999999994</v>
      </c>
      <c r="H9" s="197">
        <f t="shared" si="2"/>
        <v>4.1790000000000003</v>
      </c>
      <c r="I9" s="197">
        <f t="shared" si="2"/>
        <v>4.8680000000000003</v>
      </c>
      <c r="J9" s="197">
        <f t="shared" si="2"/>
        <v>5.7569999999999997</v>
      </c>
      <c r="K9" s="197">
        <f t="shared" si="2"/>
        <v>6.3519999999999994</v>
      </c>
      <c r="L9" s="197">
        <f t="shared" si="2"/>
        <v>6.91</v>
      </c>
      <c r="M9" s="197">
        <f t="shared" si="2"/>
        <v>13.440000000000001</v>
      </c>
      <c r="N9" s="197">
        <f t="shared" si="2"/>
        <v>9.9338999999999995</v>
      </c>
      <c r="O9" s="197">
        <f t="shared" si="2"/>
        <v>9.0057000000000009</v>
      </c>
      <c r="P9" s="197">
        <f t="shared" si="2"/>
        <v>8.8049999999999997</v>
      </c>
      <c r="Q9" s="197">
        <f t="shared" si="2"/>
        <v>11.7882</v>
      </c>
      <c r="R9" s="198">
        <f t="shared" si="2"/>
        <v>12.728400000000001</v>
      </c>
    </row>
    <row r="10" spans="2:20" s="16" customFormat="1" ht="20" customHeight="1" thickTop="1" x14ac:dyDescent="0.15">
      <c r="B10" s="44"/>
      <c r="C10" s="200"/>
      <c r="D10" s="200"/>
      <c r="E10" s="200"/>
      <c r="F10" s="200"/>
      <c r="G10" s="200"/>
      <c r="H10" s="200"/>
      <c r="I10" s="200"/>
      <c r="J10" s="200"/>
      <c r="K10" s="201"/>
      <c r="L10" s="201"/>
      <c r="M10" s="201"/>
      <c r="N10" s="201"/>
      <c r="O10" s="201"/>
      <c r="P10" s="201"/>
      <c r="Q10" s="201"/>
      <c r="R10" s="202"/>
    </row>
    <row r="11" spans="2:20" ht="20" customHeight="1" x14ac:dyDescent="0.15">
      <c r="B11" s="1" t="s">
        <v>26</v>
      </c>
      <c r="C11" s="193">
        <v>2.79</v>
      </c>
      <c r="D11" s="193">
        <v>3.15</v>
      </c>
      <c r="E11" s="193">
        <v>3.34</v>
      </c>
      <c r="F11" s="193">
        <v>3.56</v>
      </c>
      <c r="G11" s="193">
        <v>3.38</v>
      </c>
      <c r="H11" s="193">
        <v>3.4</v>
      </c>
      <c r="I11" s="193">
        <v>4.0199999999999996</v>
      </c>
      <c r="J11" s="193">
        <v>4.9139999999999997</v>
      </c>
      <c r="K11" s="193">
        <v>5.4749999999999996</v>
      </c>
      <c r="L11" s="193">
        <v>6.14</v>
      </c>
      <c r="M11" s="193">
        <v>9.02</v>
      </c>
      <c r="N11" s="193">
        <v>6.8791000000000002</v>
      </c>
      <c r="O11" s="193">
        <v>6.1539999999999999</v>
      </c>
      <c r="P11" s="193">
        <v>5.9275000000000002</v>
      </c>
      <c r="Q11" s="193">
        <v>6.9164000000000003</v>
      </c>
      <c r="R11" s="194">
        <v>8.1684999999999999</v>
      </c>
    </row>
    <row r="12" spans="2:20" s="57" customFormat="1" ht="20" customHeight="1" x14ac:dyDescent="0.15">
      <c r="B12" s="21" t="s">
        <v>28</v>
      </c>
      <c r="C12" s="188">
        <f t="shared" ref="C12:K12" si="3">C14-C11</f>
        <v>0.7370000000000001</v>
      </c>
      <c r="D12" s="188">
        <f t="shared" si="3"/>
        <v>0.6160000000000001</v>
      </c>
      <c r="E12" s="188">
        <f t="shared" si="3"/>
        <v>0.71</v>
      </c>
      <c r="F12" s="188">
        <f t="shared" si="3"/>
        <v>0.76500000000000012</v>
      </c>
      <c r="G12" s="188">
        <f t="shared" si="3"/>
        <v>0.95399999999999974</v>
      </c>
      <c r="H12" s="188">
        <f t="shared" si="3"/>
        <v>0.98</v>
      </c>
      <c r="I12" s="188">
        <f t="shared" si="3"/>
        <v>1.08</v>
      </c>
      <c r="J12" s="188">
        <f t="shared" si="3"/>
        <v>1.1640000000000006</v>
      </c>
      <c r="K12" s="188">
        <f t="shared" si="3"/>
        <v>1.165</v>
      </c>
      <c r="L12" s="188">
        <v>1.21</v>
      </c>
      <c r="M12" s="188">
        <v>5.23</v>
      </c>
      <c r="N12" s="188">
        <v>1.3769</v>
      </c>
      <c r="O12" s="188">
        <v>1.4661</v>
      </c>
      <c r="P12" s="188">
        <v>1.4830000000000001</v>
      </c>
      <c r="Q12" s="188">
        <v>3.2713000000000001</v>
      </c>
      <c r="R12" s="204">
        <v>3.0320999999999998</v>
      </c>
    </row>
    <row r="13" spans="2:20" s="57" customFormat="1" ht="20" customHeight="1" x14ac:dyDescent="0.15">
      <c r="B13" s="21" t="s">
        <v>27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>
        <v>0.65479999999999994</v>
      </c>
      <c r="O13" s="188">
        <v>0.57429999999999992</v>
      </c>
      <c r="P13" s="188">
        <v>0.52460000000000007</v>
      </c>
      <c r="Q13" s="188">
        <v>0.53610000000000002</v>
      </c>
      <c r="R13" s="204">
        <v>0.4602</v>
      </c>
    </row>
    <row r="14" spans="2:20" s="57" customFormat="1" ht="20" customHeight="1" x14ac:dyDescent="0.15">
      <c r="B14" s="21" t="s">
        <v>29</v>
      </c>
      <c r="C14" s="188">
        <v>3.5270000000000001</v>
      </c>
      <c r="D14" s="188">
        <v>3.766</v>
      </c>
      <c r="E14" s="188">
        <v>4.05</v>
      </c>
      <c r="F14" s="188">
        <v>4.3250000000000002</v>
      </c>
      <c r="G14" s="188">
        <v>4.3339999999999996</v>
      </c>
      <c r="H14" s="188">
        <v>4.38</v>
      </c>
      <c r="I14" s="188">
        <v>5.0999999999999996</v>
      </c>
      <c r="J14" s="188">
        <v>6.0780000000000003</v>
      </c>
      <c r="K14" s="205">
        <v>6.64</v>
      </c>
      <c r="L14" s="205">
        <f>L11+L12</f>
        <v>7.35</v>
      </c>
      <c r="M14" s="205">
        <v>14.26</v>
      </c>
      <c r="N14" s="205">
        <f>N11+N12+N13</f>
        <v>8.9108000000000001</v>
      </c>
      <c r="O14" s="205">
        <f>O11+O12+O13</f>
        <v>8.1943999999999999</v>
      </c>
      <c r="P14" s="205">
        <f>P11+P12+P13</f>
        <v>7.9351000000000012</v>
      </c>
      <c r="Q14" s="205">
        <f>Q11+Q12+Q13</f>
        <v>10.723799999999999</v>
      </c>
      <c r="R14" s="206">
        <f>R11+R12+R13</f>
        <v>11.6608</v>
      </c>
    </row>
    <row r="15" spans="2:20" ht="20" customHeight="1" x14ac:dyDescent="0.15">
      <c r="B15" s="1" t="s">
        <v>30</v>
      </c>
      <c r="C15" s="193">
        <v>0.378</v>
      </c>
      <c r="D15" s="193">
        <v>0.41699999999999998</v>
      </c>
      <c r="E15" s="193">
        <v>0.374</v>
      </c>
      <c r="F15" s="193">
        <v>0.34799999999999998</v>
      </c>
      <c r="G15" s="193">
        <v>0.35299999999999998</v>
      </c>
      <c r="H15" s="193">
        <v>0.39600000000000002</v>
      </c>
      <c r="I15" s="193">
        <v>0.45700000000000002</v>
      </c>
      <c r="J15" s="193">
        <v>0.53300000000000003</v>
      </c>
      <c r="K15" s="189">
        <v>0.55200000000000005</v>
      </c>
      <c r="L15" s="189">
        <v>0.53300000000000003</v>
      </c>
      <c r="M15" s="189">
        <v>0.72</v>
      </c>
      <c r="N15" s="189">
        <v>0.63360000000000005</v>
      </c>
      <c r="O15" s="189">
        <v>0.56299999999999994</v>
      </c>
      <c r="P15" s="189">
        <v>0.65549999999999997</v>
      </c>
      <c r="Q15" s="189">
        <v>0.75860000000000005</v>
      </c>
      <c r="R15" s="207">
        <v>0.65380000000000005</v>
      </c>
    </row>
    <row r="16" spans="2:20" s="57" customFormat="1" ht="20" customHeight="1" x14ac:dyDescent="0.15">
      <c r="B16" s="21" t="s">
        <v>31</v>
      </c>
      <c r="C16" s="188">
        <v>1.1020000000000001</v>
      </c>
      <c r="D16" s="57">
        <v>1.51</v>
      </c>
      <c r="E16" s="57">
        <v>1.369</v>
      </c>
      <c r="F16" s="57">
        <v>1.339</v>
      </c>
      <c r="G16" s="57">
        <v>1.419</v>
      </c>
      <c r="H16" s="57">
        <v>1.4790000000000001</v>
      </c>
      <c r="I16" s="57">
        <v>1.6040000000000001</v>
      </c>
      <c r="J16" s="57">
        <v>1.6479999999999999</v>
      </c>
      <c r="K16" s="57">
        <v>1.7409999999999999</v>
      </c>
      <c r="L16" s="57">
        <v>1.7529999999999999</v>
      </c>
      <c r="M16" s="188">
        <v>2.35</v>
      </c>
      <c r="N16" s="188">
        <v>2.2681</v>
      </c>
      <c r="O16" s="188">
        <v>2.2084000000000001</v>
      </c>
      <c r="P16" s="188">
        <v>2.4076</v>
      </c>
      <c r="Q16" s="188">
        <v>2.6467000000000001</v>
      </c>
      <c r="R16" s="204">
        <v>2.8976000000000002</v>
      </c>
    </row>
    <row r="17" spans="1:110" s="57" customFormat="1" ht="20" customHeight="1" x14ac:dyDescent="0.15">
      <c r="B17" s="21" t="s">
        <v>32</v>
      </c>
      <c r="C17" s="188">
        <v>0.58499999999999996</v>
      </c>
      <c r="D17" s="57">
        <v>2.16</v>
      </c>
      <c r="E17" s="57">
        <v>2.1059999999999999</v>
      </c>
      <c r="F17" s="57">
        <v>2.0649999999999999</v>
      </c>
      <c r="G17" s="57">
        <v>2.0419999999999998</v>
      </c>
      <c r="H17" s="57">
        <v>2.077</v>
      </c>
      <c r="I17" s="57">
        <v>2.2890000000000001</v>
      </c>
      <c r="J17" s="57">
        <v>2.5</v>
      </c>
      <c r="K17" s="57">
        <v>2.5859999999999999</v>
      </c>
      <c r="L17" s="57">
        <v>2.73</v>
      </c>
      <c r="M17" s="188">
        <v>3.88</v>
      </c>
      <c r="N17" s="188">
        <v>1.8786</v>
      </c>
      <c r="O17" s="188">
        <v>1.9601</v>
      </c>
      <c r="P17" s="188">
        <v>2.1932</v>
      </c>
      <c r="Q17" s="188">
        <v>2.3409</v>
      </c>
      <c r="R17" s="204">
        <v>2.4838</v>
      </c>
    </row>
    <row r="18" spans="1:110" s="57" customFormat="1" ht="20" hidden="1" customHeight="1" thickBot="1" x14ac:dyDescent="0.2">
      <c r="B18" s="360" t="s">
        <v>33</v>
      </c>
      <c r="C18" s="209">
        <f>C15+C16-C17</f>
        <v>0.89500000000000002</v>
      </c>
      <c r="D18" s="209">
        <f>D15+D16-D17</f>
        <v>-0.2330000000000001</v>
      </c>
      <c r="E18" s="209" t="e">
        <f>E15+#REF!-#REF!</f>
        <v>#REF!</v>
      </c>
      <c r="F18" s="209" t="e">
        <f>F15+#REF!-#REF!</f>
        <v>#REF!</v>
      </c>
      <c r="G18" s="209" t="e">
        <f>G15+#REF!-#REF!</f>
        <v>#REF!</v>
      </c>
      <c r="H18" s="209" t="e">
        <f>H15+#REF!-#REF!</f>
        <v>#REF!</v>
      </c>
      <c r="I18" s="209" t="e">
        <f>I15+#REF!-#REF!</f>
        <v>#REF!</v>
      </c>
      <c r="J18" s="209" t="e">
        <f>J15+#REF!-#REF!</f>
        <v>#REF!</v>
      </c>
      <c r="K18" s="209" t="e">
        <f>K15+#REF!-#REF!</f>
        <v>#REF!</v>
      </c>
      <c r="L18" s="209" t="e">
        <f>L15+#REF!-#REF!</f>
        <v>#REF!</v>
      </c>
      <c r="M18" s="209"/>
      <c r="N18" s="209"/>
      <c r="O18" s="209"/>
      <c r="P18" s="209"/>
      <c r="Q18" s="209"/>
      <c r="R18" s="210"/>
    </row>
    <row r="19" spans="1:110" ht="20" hidden="1" customHeight="1" x14ac:dyDescent="0.15">
      <c r="B19" s="14" t="s">
        <v>135</v>
      </c>
      <c r="C19" s="188">
        <v>0.18099999999999999</v>
      </c>
      <c r="D19" s="188">
        <v>0.31</v>
      </c>
      <c r="E19" s="188">
        <v>0.26400000000000001</v>
      </c>
      <c r="F19" s="188">
        <v>0.193</v>
      </c>
      <c r="G19" s="188">
        <v>0.184</v>
      </c>
      <c r="H19" s="188">
        <v>0.21299999999999999</v>
      </c>
      <c r="I19" s="188">
        <v>0.27100000000000002</v>
      </c>
      <c r="J19" s="188">
        <v>0.20399999999999999</v>
      </c>
      <c r="K19" s="189">
        <v>0.224</v>
      </c>
      <c r="L19" s="211">
        <v>0.25</v>
      </c>
      <c r="M19" s="211"/>
      <c r="N19" s="211"/>
      <c r="O19" s="211"/>
      <c r="P19" s="211"/>
      <c r="Q19" s="211"/>
      <c r="R19" s="212"/>
    </row>
    <row r="20" spans="1:110" s="57" customFormat="1" ht="20" hidden="1" customHeight="1" thickBot="1" x14ac:dyDescent="0.2">
      <c r="B20" s="21" t="s">
        <v>136</v>
      </c>
      <c r="C20" s="188">
        <f>0.837+0.59</f>
        <v>1.427</v>
      </c>
      <c r="D20" s="188">
        <f>0.94+0.67</f>
        <v>1.6099999999999999</v>
      </c>
      <c r="E20" s="188">
        <f>0.8+0.73</f>
        <v>1.53</v>
      </c>
      <c r="F20" s="188">
        <f>0.704+0.78</f>
        <v>1.484</v>
      </c>
      <c r="G20" s="188">
        <f>0.687+0.76</f>
        <v>1.4470000000000001</v>
      </c>
      <c r="H20" s="188">
        <f>0.698+0.75</f>
        <v>1.448</v>
      </c>
      <c r="I20" s="188">
        <f>0.803+0.83</f>
        <v>1.633</v>
      </c>
      <c r="J20" s="188">
        <f>0.864+0.89</f>
        <v>1.754</v>
      </c>
      <c r="K20" s="189">
        <f>0.898+0.99</f>
        <v>1.8879999999999999</v>
      </c>
      <c r="L20" s="211">
        <v>2.0299999999999998</v>
      </c>
      <c r="M20" s="211"/>
      <c r="N20" s="211"/>
      <c r="O20" s="211"/>
      <c r="P20" s="211"/>
      <c r="Q20" s="211"/>
      <c r="R20" s="212"/>
    </row>
    <row r="21" spans="1:110" ht="20" hidden="1" customHeight="1" thickBot="1" x14ac:dyDescent="0.2">
      <c r="B21" s="361" t="s">
        <v>137</v>
      </c>
      <c r="C21" s="214">
        <f t="shared" ref="C21:K21" si="4">C19-C20</f>
        <v>-1.246</v>
      </c>
      <c r="D21" s="214">
        <f t="shared" si="4"/>
        <v>-1.2999999999999998</v>
      </c>
      <c r="E21" s="214">
        <f t="shared" si="4"/>
        <v>-1.266</v>
      </c>
      <c r="F21" s="214">
        <f t="shared" si="4"/>
        <v>-1.2909999999999999</v>
      </c>
      <c r="G21" s="214">
        <f t="shared" si="4"/>
        <v>-1.2630000000000001</v>
      </c>
      <c r="H21" s="214">
        <f t="shared" si="4"/>
        <v>-1.2349999999999999</v>
      </c>
      <c r="I21" s="214">
        <f t="shared" si="4"/>
        <v>-1.3620000000000001</v>
      </c>
      <c r="J21" s="214">
        <f t="shared" si="4"/>
        <v>-1.55</v>
      </c>
      <c r="K21" s="214">
        <f t="shared" si="4"/>
        <v>-1.6639999999999999</v>
      </c>
      <c r="L21" s="215">
        <v>0</v>
      </c>
      <c r="M21" s="215"/>
      <c r="N21" s="215"/>
      <c r="O21" s="215"/>
      <c r="P21" s="215"/>
      <c r="Q21" s="215"/>
      <c r="R21" s="216"/>
    </row>
    <row r="22" spans="1:110" s="32" customFormat="1" ht="20" customHeight="1" thickBot="1" x14ac:dyDescent="0.2">
      <c r="A22" s="57"/>
      <c r="B22" s="14" t="s">
        <v>209</v>
      </c>
      <c r="C22" s="188">
        <f>C18+C21</f>
        <v>-0.35099999999999998</v>
      </c>
      <c r="D22" s="188">
        <f t="shared" ref="D22:R22" si="5">D15+D16-D17</f>
        <v>-0.2330000000000001</v>
      </c>
      <c r="E22" s="188">
        <f t="shared" si="5"/>
        <v>-0.36299999999999999</v>
      </c>
      <c r="F22" s="188">
        <f t="shared" si="5"/>
        <v>-0.37800000000000011</v>
      </c>
      <c r="G22" s="188">
        <f t="shared" si="5"/>
        <v>-0.2699999999999998</v>
      </c>
      <c r="H22" s="188">
        <f t="shared" si="5"/>
        <v>-0.20199999999999996</v>
      </c>
      <c r="I22" s="188">
        <f t="shared" si="5"/>
        <v>-0.2280000000000002</v>
      </c>
      <c r="J22" s="188">
        <f t="shared" si="5"/>
        <v>-0.31899999999999995</v>
      </c>
      <c r="K22" s="188">
        <f t="shared" si="5"/>
        <v>-0.29299999999999971</v>
      </c>
      <c r="L22" s="188">
        <f t="shared" si="5"/>
        <v>-0.44399999999999995</v>
      </c>
      <c r="M22" s="188">
        <f t="shared" si="5"/>
        <v>-0.80999999999999961</v>
      </c>
      <c r="N22" s="188">
        <f t="shared" si="5"/>
        <v>1.0230999999999999</v>
      </c>
      <c r="O22" s="188">
        <f t="shared" si="5"/>
        <v>0.81129999999999991</v>
      </c>
      <c r="P22" s="188">
        <f t="shared" si="5"/>
        <v>0.8698999999999999</v>
      </c>
      <c r="Q22" s="188">
        <f t="shared" si="5"/>
        <v>1.0644</v>
      </c>
      <c r="R22" s="204">
        <f t="shared" si="5"/>
        <v>1.0676000000000001</v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</row>
    <row r="23" spans="1:110" s="81" customFormat="1" ht="20" customHeight="1" thickTop="1" thickBot="1" x14ac:dyDescent="0.2">
      <c r="A23" s="66"/>
      <c r="B23" s="362" t="s">
        <v>25</v>
      </c>
      <c r="C23" s="218">
        <f t="shared" ref="C23:R23" si="6">C22+C14</f>
        <v>3.1760000000000002</v>
      </c>
      <c r="D23" s="219">
        <f t="shared" si="6"/>
        <v>3.5329999999999999</v>
      </c>
      <c r="E23" s="219">
        <f t="shared" si="6"/>
        <v>3.6869999999999998</v>
      </c>
      <c r="F23" s="219">
        <f t="shared" si="6"/>
        <v>3.9470000000000001</v>
      </c>
      <c r="G23" s="219">
        <f t="shared" si="6"/>
        <v>4.0640000000000001</v>
      </c>
      <c r="H23" s="219">
        <f t="shared" si="6"/>
        <v>4.1779999999999999</v>
      </c>
      <c r="I23" s="219">
        <f t="shared" si="6"/>
        <v>4.8719999999999999</v>
      </c>
      <c r="J23" s="219">
        <f t="shared" si="6"/>
        <v>5.7590000000000003</v>
      </c>
      <c r="K23" s="219">
        <f t="shared" si="6"/>
        <v>6.3469999999999995</v>
      </c>
      <c r="L23" s="219">
        <f t="shared" si="6"/>
        <v>6.9059999999999997</v>
      </c>
      <c r="M23" s="219">
        <v>13.44</v>
      </c>
      <c r="N23" s="219">
        <f t="shared" si="6"/>
        <v>9.9338999999999995</v>
      </c>
      <c r="O23" s="219">
        <f t="shared" si="6"/>
        <v>9.0056999999999992</v>
      </c>
      <c r="P23" s="219">
        <f t="shared" si="6"/>
        <v>8.8050000000000015</v>
      </c>
      <c r="Q23" s="219">
        <f t="shared" si="6"/>
        <v>11.7882</v>
      </c>
      <c r="R23" s="220">
        <f t="shared" si="6"/>
        <v>12.728400000000001</v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</row>
    <row r="24" spans="1:110" x14ac:dyDescent="0.15"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</row>
    <row r="25" spans="1:110" x14ac:dyDescent="0.15">
      <c r="D25" s="221"/>
      <c r="E25" s="221"/>
      <c r="F25" s="221"/>
      <c r="G25" s="221"/>
      <c r="H25" s="221"/>
      <c r="I25" s="221"/>
      <c r="J25" s="221"/>
      <c r="K25" s="221"/>
      <c r="L25" s="221"/>
      <c r="M25" s="221"/>
    </row>
    <row r="26" spans="1:110" x14ac:dyDescent="0.15">
      <c r="D26" s="221"/>
      <c r="E26" s="221"/>
      <c r="F26" s="221"/>
      <c r="G26" s="221"/>
      <c r="H26" s="221"/>
      <c r="I26" s="221"/>
      <c r="J26" s="221"/>
      <c r="K26" s="221"/>
      <c r="L26" s="221"/>
      <c r="M26" s="221"/>
    </row>
  </sheetData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landscape"/>
  <headerFooter>
    <oddHeader>&amp;C&amp;"Arial,Gras"&amp;18C 90 : bilan au 31 décembre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B1:R10"/>
  <sheetViews>
    <sheetView tabSelected="1" workbookViewId="0">
      <pane xSplit="2" topLeftCell="F1" activePane="topRight" state="frozen"/>
      <selection activeCell="I27" sqref="I27:R27"/>
      <selection pane="topRight" activeCell="M5" sqref="M5"/>
    </sheetView>
  </sheetViews>
  <sheetFormatPr baseColWidth="10" defaultColWidth="11.5" defaultRowHeight="13" x14ac:dyDescent="0.15"/>
  <cols>
    <col min="1" max="1" width="3" customWidth="1"/>
    <col min="2" max="2" width="40.6640625" customWidth="1"/>
    <col min="3" max="3" width="10.6640625" hidden="1" customWidth="1"/>
    <col min="4" max="10" width="10.6640625" customWidth="1"/>
    <col min="14" max="18" width="0" hidden="1" customWidth="1"/>
  </cols>
  <sheetData>
    <row r="1" spans="2:18" ht="45.75" customHeight="1" thickBot="1" x14ac:dyDescent="0.2">
      <c r="D1" s="179"/>
    </row>
    <row r="2" spans="2:18" s="23" customFormat="1" ht="39.75" customHeight="1" thickTop="1" thickBot="1" x14ac:dyDescent="0.2">
      <c r="B2" s="363" t="s">
        <v>208</v>
      </c>
      <c r="C2" s="222">
        <v>32874</v>
      </c>
      <c r="D2" s="222">
        <f t="shared" ref="D2:R2" si="0">C2+366</f>
        <v>33240</v>
      </c>
      <c r="E2" s="222">
        <f t="shared" si="0"/>
        <v>33606</v>
      </c>
      <c r="F2" s="222">
        <f t="shared" si="0"/>
        <v>33972</v>
      </c>
      <c r="G2" s="222">
        <f t="shared" si="0"/>
        <v>34338</v>
      </c>
      <c r="H2" s="222">
        <f t="shared" si="0"/>
        <v>34704</v>
      </c>
      <c r="I2" s="222">
        <f t="shared" si="0"/>
        <v>35070</v>
      </c>
      <c r="J2" s="222">
        <f t="shared" si="0"/>
        <v>35436</v>
      </c>
      <c r="K2" s="222">
        <f t="shared" si="0"/>
        <v>35802</v>
      </c>
      <c r="L2" s="222">
        <f t="shared" si="0"/>
        <v>36168</v>
      </c>
      <c r="M2" s="222">
        <f t="shared" si="0"/>
        <v>36534</v>
      </c>
      <c r="N2" s="222">
        <f t="shared" si="0"/>
        <v>36900</v>
      </c>
      <c r="O2" s="222">
        <f t="shared" si="0"/>
        <v>37266</v>
      </c>
      <c r="P2" s="222">
        <f t="shared" si="0"/>
        <v>37632</v>
      </c>
      <c r="Q2" s="222">
        <f t="shared" si="0"/>
        <v>37998</v>
      </c>
      <c r="R2" s="223">
        <f t="shared" si="0"/>
        <v>38364</v>
      </c>
    </row>
    <row r="3" spans="2:18" ht="39.75" customHeight="1" thickTop="1" x14ac:dyDescent="0.15">
      <c r="B3" s="364" t="s">
        <v>36</v>
      </c>
      <c r="C3" s="225">
        <f>'c90 résultat'!C7</f>
        <v>4.4000000000000004</v>
      </c>
      <c r="D3" s="225">
        <f>'c90 résultat'!D7</f>
        <v>4.8499999999999996</v>
      </c>
      <c r="E3" s="225">
        <f>'c90 résultat'!E7</f>
        <v>4.5599999999999996</v>
      </c>
      <c r="F3" s="225">
        <f>'c90 résultat'!F7</f>
        <v>4.63</v>
      </c>
      <c r="G3" s="225">
        <f>'c90 résultat'!G7</f>
        <v>4.84</v>
      </c>
      <c r="H3" s="225">
        <f>'c90 résultat'!H7</f>
        <v>4.91</v>
      </c>
      <c r="I3" s="225">
        <f>'c90 résultat'!I7</f>
        <v>5.24</v>
      </c>
      <c r="J3" s="225">
        <f>'c90 résultat'!J7</f>
        <v>5.85</v>
      </c>
      <c r="K3" s="225">
        <f>'c90 résultat'!K7</f>
        <v>6.08</v>
      </c>
      <c r="L3" s="225">
        <f>'c90 résultat'!L7</f>
        <v>6.2089999999999996</v>
      </c>
      <c r="M3" s="225">
        <v>9.07</v>
      </c>
      <c r="N3" s="225">
        <f>'c90 résultat'!N7</f>
        <v>8.6258999999999997</v>
      </c>
      <c r="O3" s="225">
        <f>'c90 résultat'!O7</f>
        <v>8.2186000000000003</v>
      </c>
      <c r="P3" s="225">
        <f>'c90 résultat'!P7</f>
        <v>8.7146000000000008</v>
      </c>
      <c r="Q3" s="225">
        <f>'c90 résultat'!Q7</f>
        <v>9.7784999999999993</v>
      </c>
      <c r="R3" s="226">
        <f>'c90 résultat'!R7</f>
        <v>10.434799999999999</v>
      </c>
    </row>
    <row r="4" spans="2:18" ht="39.75" customHeight="1" x14ac:dyDescent="0.15">
      <c r="B4" s="1" t="s">
        <v>209</v>
      </c>
      <c r="C4" s="57"/>
      <c r="D4" s="188">
        <f>'c90 bilan'!D22</f>
        <v>-0.2330000000000001</v>
      </c>
      <c r="E4" s="188">
        <f>'c90 bilan'!E22</f>
        <v>-0.36299999999999999</v>
      </c>
      <c r="F4" s="188">
        <f>'c90 bilan'!F22</f>
        <v>-0.37800000000000011</v>
      </c>
      <c r="G4" s="188">
        <f>'c90 bilan'!G22</f>
        <v>-0.2699999999999998</v>
      </c>
      <c r="H4" s="188">
        <f>'c90 bilan'!H22</f>
        <v>-0.20199999999999996</v>
      </c>
      <c r="I4" s="188">
        <f>'c90 bilan'!I22</f>
        <v>-0.2280000000000002</v>
      </c>
      <c r="J4" s="188">
        <f>'c90 bilan'!J22</f>
        <v>-0.31899999999999995</v>
      </c>
      <c r="K4" s="188">
        <f>'c90 bilan'!K22</f>
        <v>-0.29299999999999971</v>
      </c>
      <c r="L4" s="188">
        <f>'c90 bilan'!L22</f>
        <v>-0.44399999999999995</v>
      </c>
      <c r="M4" s="188">
        <f>'c90 bilan'!M22</f>
        <v>-0.80999999999999961</v>
      </c>
      <c r="N4" s="188">
        <f>'c90 bilan'!N22</f>
        <v>1.0230999999999999</v>
      </c>
      <c r="O4" s="188">
        <f>'c90 bilan'!O22</f>
        <v>0.81129999999999991</v>
      </c>
      <c r="P4" s="188">
        <f>'c90 bilan'!P22</f>
        <v>0.8698999999999999</v>
      </c>
      <c r="Q4" s="188">
        <f>'c90 bilan'!Q22</f>
        <v>1.0644</v>
      </c>
      <c r="R4" s="228">
        <f>'c90 bilan'!R22</f>
        <v>1.0676000000000001</v>
      </c>
    </row>
    <row r="5" spans="2:18" ht="39.75" customHeight="1" x14ac:dyDescent="0.15">
      <c r="B5" s="1" t="s">
        <v>210</v>
      </c>
      <c r="C5" s="365"/>
      <c r="D5" s="230">
        <f t="shared" ref="D5:R5" si="1">D4/D3*365</f>
        <v>-17.535051546391763</v>
      </c>
      <c r="E5" s="230">
        <f t="shared" si="1"/>
        <v>-29.055921052631579</v>
      </c>
      <c r="F5" s="230">
        <f t="shared" si="1"/>
        <v>-29.799136069114478</v>
      </c>
      <c r="G5" s="230">
        <f t="shared" si="1"/>
        <v>-20.361570247933869</v>
      </c>
      <c r="H5" s="230">
        <f t="shared" si="1"/>
        <v>-15.016293279022399</v>
      </c>
      <c r="I5" s="230">
        <f t="shared" si="1"/>
        <v>-15.881679389312989</v>
      </c>
      <c r="J5" s="230">
        <f t="shared" si="1"/>
        <v>-19.903418803418802</v>
      </c>
      <c r="K5" s="230">
        <f t="shared" si="1"/>
        <v>-17.589638157894719</v>
      </c>
      <c r="L5" s="230">
        <f t="shared" si="1"/>
        <v>-26.100821388307295</v>
      </c>
      <c r="M5" s="348" t="s">
        <v>356</v>
      </c>
      <c r="N5" s="230">
        <f t="shared" si="1"/>
        <v>43.291888382661519</v>
      </c>
      <c r="O5" s="230">
        <f t="shared" si="1"/>
        <v>36.031015014722698</v>
      </c>
      <c r="P5" s="230">
        <f t="shared" si="1"/>
        <v>36.434661372868511</v>
      </c>
      <c r="Q5" s="230">
        <f t="shared" si="1"/>
        <v>39.730633532750424</v>
      </c>
      <c r="R5" s="330">
        <f t="shared" si="1"/>
        <v>37.343696093839853</v>
      </c>
    </row>
    <row r="6" spans="2:18" ht="39.75" customHeight="1" x14ac:dyDescent="0.15">
      <c r="B6" s="1" t="s">
        <v>49</v>
      </c>
      <c r="C6" s="230">
        <f>'c90 bilan'!C15/'c90 fdr'!C3*365</f>
        <v>31.356818181818181</v>
      </c>
      <c r="D6" s="230">
        <f>'c90 bilan'!D15/'c90 fdr'!D3*365</f>
        <v>31.382474226804124</v>
      </c>
      <c r="E6" s="230">
        <f>'c90 bilan'!E15/'c90 fdr'!E3*365</f>
        <v>29.936403508771932</v>
      </c>
      <c r="F6" s="230">
        <f>'c90 bilan'!F15/'c90 fdr'!F3*365</f>
        <v>27.434125269978402</v>
      </c>
      <c r="G6" s="230">
        <f>'c90 bilan'!G15/'c90 fdr'!G3*365</f>
        <v>26.620867768595044</v>
      </c>
      <c r="H6" s="230">
        <f>'c90 bilan'!H15/'c90 fdr'!H3*365</f>
        <v>29.43788187372709</v>
      </c>
      <c r="I6" s="230">
        <f>'c90 bilan'!I15/'c90 fdr'!I3*365</f>
        <v>31.833015267175572</v>
      </c>
      <c r="J6" s="230">
        <f>'c90 bilan'!J15/'c90 fdr'!J3*365</f>
        <v>33.25555555555556</v>
      </c>
      <c r="K6" s="230">
        <f>'c90 bilan'!K15/'c90 fdr'!K3*365</f>
        <v>33.138157894736842</v>
      </c>
      <c r="L6" s="230">
        <f>'c90 bilan'!L15/'c90 fdr'!L3*365</f>
        <v>31.332742792720246</v>
      </c>
      <c r="M6" s="230" t="s">
        <v>262</v>
      </c>
      <c r="N6" s="230">
        <f>'c90 bilan'!N15/'c90 fdr'!N3*365</f>
        <v>26.810419782283592</v>
      </c>
      <c r="O6" s="230">
        <f>'c90 bilan'!O15/'c90 fdr'!O3*365</f>
        <v>25.003650256734719</v>
      </c>
      <c r="P6" s="230">
        <f>'c90 bilan'!P15/'c90 fdr'!P3*365</f>
        <v>27.454788515824017</v>
      </c>
      <c r="Q6" s="230">
        <f>'c90 bilan'!Q15/'c90 fdr'!Q3*365</f>
        <v>28.316101651582557</v>
      </c>
      <c r="R6" s="231">
        <f>'c90 bilan'!R15/'c90 fdr'!R3*365</f>
        <v>22.869341051098253</v>
      </c>
    </row>
    <row r="7" spans="2:18" ht="39.75" customHeight="1" x14ac:dyDescent="0.15">
      <c r="B7" s="1" t="s">
        <v>59</v>
      </c>
      <c r="C7" s="230">
        <f>'c90 bilan'!C16/'c90 fdr'!C3*365</f>
        <v>91.415909090909082</v>
      </c>
      <c r="D7" s="230">
        <f>'c90 bilan'!D16/'c90 fdr'!D3*365</f>
        <v>113.63917525773196</v>
      </c>
      <c r="E7" s="230">
        <f>'c90 bilan'!E16/'c90 fdr'!E3*365</f>
        <v>109.58004385964912</v>
      </c>
      <c r="F7" s="230">
        <f>'c90 bilan'!F16/'c90 fdr'!F3*365</f>
        <v>105.55831533477321</v>
      </c>
      <c r="G7" s="230">
        <f>'c90 bilan'!G16/'c90 fdr'!G3*365</f>
        <v>107.01136363636364</v>
      </c>
      <c r="H7" s="230">
        <f>'c90 bilan'!H16/'c90 fdr'!H3*365</f>
        <v>109.94602851323829</v>
      </c>
      <c r="I7" s="230">
        <f>'c90 bilan'!I16/'c90 fdr'!I3*365</f>
        <v>111.72900763358778</v>
      </c>
      <c r="J7" s="230">
        <f>'c90 bilan'!J16/'c90 fdr'!J3*365</f>
        <v>102.82393162393163</v>
      </c>
      <c r="K7" s="230">
        <f>'c90 bilan'!K16/'c90 fdr'!K3*365</f>
        <v>104.5172697368421</v>
      </c>
      <c r="L7" s="230">
        <f>'c90 bilan'!L16/'c90 fdr'!L3*365</f>
        <v>103.05121597680785</v>
      </c>
      <c r="M7" s="230" t="s">
        <v>263</v>
      </c>
      <c r="N7" s="230">
        <f>'c90 bilan'!N16/'c90 fdr'!N3*365</f>
        <v>95.973347708644894</v>
      </c>
      <c r="O7" s="230">
        <f>'c90 bilan'!O16/'c90 fdr'!O3*365</f>
        <v>98.078261504392472</v>
      </c>
      <c r="P7" s="230">
        <f>'c90 bilan'!P16/'c90 fdr'!P3*365</f>
        <v>100.83928120625157</v>
      </c>
      <c r="Q7" s="230">
        <f>'c90 bilan'!Q16/'c90 fdr'!Q3*365</f>
        <v>98.792810758296255</v>
      </c>
      <c r="R7" s="231">
        <f>'c90 bilan'!R16/'c90 fdr'!R3*365</f>
        <v>101.35546440755932</v>
      </c>
    </row>
    <row r="8" spans="2:18" ht="39.75" customHeight="1" thickBot="1" x14ac:dyDescent="0.2">
      <c r="B8" s="366" t="s">
        <v>70</v>
      </c>
      <c r="C8" s="233">
        <f>'c90 bilan'!C17/'c90 fdr'!C3*365</f>
        <v>48.528409090909086</v>
      </c>
      <c r="D8" s="233">
        <f>'c90 bilan'!D17/'c90 fdr'!D3*365</f>
        <v>162.55670103092785</v>
      </c>
      <c r="E8" s="233">
        <f>'c90 bilan'!E17/'c90 fdr'!E3*365</f>
        <v>168.57236842105263</v>
      </c>
      <c r="F8" s="233">
        <f>'c90 bilan'!F17/'c90 fdr'!F3*365</f>
        <v>162.7915766738661</v>
      </c>
      <c r="G8" s="233">
        <f>'c90 bilan'!G17/'c90 fdr'!G3*365</f>
        <v>153.99380165289256</v>
      </c>
      <c r="H8" s="233">
        <f>'c90 bilan'!H17/'c90 fdr'!H3*365</f>
        <v>154.40020366598779</v>
      </c>
      <c r="I8" s="233">
        <f>'c90 bilan'!I17/'c90 fdr'!I3*365</f>
        <v>159.44370229007635</v>
      </c>
      <c r="J8" s="233">
        <f>'c90 bilan'!J17/'c90 fdr'!J3*365</f>
        <v>155.982905982906</v>
      </c>
      <c r="K8" s="233">
        <f>'c90 bilan'!K17/'c90 fdr'!K3*365</f>
        <v>155.24506578947367</v>
      </c>
      <c r="L8" s="233">
        <f>'c90 bilan'!L17/'c90 fdr'!L3*365</f>
        <v>160.48478015783542</v>
      </c>
      <c r="M8" s="233" t="s">
        <v>264</v>
      </c>
      <c r="N8" s="233">
        <f>'c90 bilan'!N17/'c90 fdr'!N3*365</f>
        <v>79.491879108266971</v>
      </c>
      <c r="O8" s="233">
        <f>'c90 bilan'!O17/'c90 fdr'!O3*365</f>
        <v>87.05089674640449</v>
      </c>
      <c r="P8" s="233">
        <f>'c90 bilan'!P17/'c90 fdr'!P3*365</f>
        <v>91.859408349207072</v>
      </c>
      <c r="Q8" s="233">
        <f>'c90 bilan'!Q17/'c90 fdr'!Q3*365</f>
        <v>87.378278877128395</v>
      </c>
      <c r="R8" s="234">
        <f>'c90 bilan'!R17/'c90 fdr'!R3*365</f>
        <v>86.881109364817732</v>
      </c>
    </row>
    <row r="9" spans="2:18" ht="14" thickTop="1" x14ac:dyDescent="0.15"/>
    <row r="10" spans="2:18" x14ac:dyDescent="0.15">
      <c r="I10" s="229"/>
      <c r="K10" s="229"/>
      <c r="L10" s="229"/>
      <c r="M10" s="229"/>
      <c r="N10" s="229"/>
      <c r="O10" s="229"/>
      <c r="P10" s="229"/>
      <c r="Q10" s="229"/>
      <c r="R10" s="22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/>
  <headerFooter>
    <oddHeader>&amp;C&amp;"Arial,Gras"&amp;18C 90 : tableau du besoin en fonds de roulement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R16"/>
  <sheetViews>
    <sheetView topLeftCell="A8" zoomScaleSheetLayoutView="50" workbookViewId="0">
      <pane xSplit="2" topLeftCell="I1" activePane="topRight" state="frozen"/>
      <selection activeCell="I27" sqref="I27:R27"/>
      <selection pane="topRight" activeCell="B11" sqref="B11"/>
    </sheetView>
  </sheetViews>
  <sheetFormatPr baseColWidth="10" defaultColWidth="11.5" defaultRowHeight="13" x14ac:dyDescent="0.15"/>
  <cols>
    <col min="1" max="1" width="3.1640625" customWidth="1"/>
    <col min="2" max="2" width="40.6640625" customWidth="1"/>
    <col min="3" max="3" width="15.6640625" hidden="1" customWidth="1"/>
    <col min="4" max="10" width="15.6640625" customWidth="1"/>
    <col min="14" max="18" width="0" hidden="1" customWidth="1"/>
  </cols>
  <sheetData>
    <row r="1" spans="1:18" ht="33.75" customHeight="1" thickBot="1" x14ac:dyDescent="0.2">
      <c r="D1" s="179"/>
    </row>
    <row r="2" spans="1:18" s="23" customFormat="1" ht="22.5" customHeight="1" thickBot="1" x14ac:dyDescent="0.2">
      <c r="B2" s="367" t="s">
        <v>208</v>
      </c>
      <c r="C2" s="236">
        <v>32874</v>
      </c>
      <c r="D2" s="236">
        <f t="shared" ref="D2:R2" si="0">C2+366</f>
        <v>33240</v>
      </c>
      <c r="E2" s="236">
        <f t="shared" si="0"/>
        <v>33606</v>
      </c>
      <c r="F2" s="236">
        <f t="shared" si="0"/>
        <v>33972</v>
      </c>
      <c r="G2" s="236">
        <f t="shared" si="0"/>
        <v>34338</v>
      </c>
      <c r="H2" s="236">
        <f t="shared" si="0"/>
        <v>34704</v>
      </c>
      <c r="I2" s="236">
        <f t="shared" si="0"/>
        <v>35070</v>
      </c>
      <c r="J2" s="236">
        <f t="shared" si="0"/>
        <v>35436</v>
      </c>
      <c r="K2" s="236">
        <f t="shared" si="0"/>
        <v>35802</v>
      </c>
      <c r="L2" s="236">
        <f t="shared" si="0"/>
        <v>36168</v>
      </c>
      <c r="M2" s="236">
        <f t="shared" si="0"/>
        <v>36534</v>
      </c>
      <c r="N2" s="236">
        <f t="shared" si="0"/>
        <v>36900</v>
      </c>
      <c r="O2" s="236">
        <f t="shared" si="0"/>
        <v>37266</v>
      </c>
      <c r="P2" s="236">
        <f t="shared" si="0"/>
        <v>37632</v>
      </c>
      <c r="Q2" s="236">
        <f t="shared" si="0"/>
        <v>37998</v>
      </c>
      <c r="R2" s="237">
        <f t="shared" si="0"/>
        <v>38364</v>
      </c>
    </row>
    <row r="3" spans="1:18" ht="39.75" customHeight="1" x14ac:dyDescent="0.15">
      <c r="B3" s="1" t="s">
        <v>79</v>
      </c>
      <c r="C3" s="239" t="e">
        <f>'[1]c90 résultat'!C22</f>
        <v>#REF!</v>
      </c>
      <c r="D3" s="239" t="e">
        <f>'[1]c90 résultat'!D22</f>
        <v>#REF!</v>
      </c>
      <c r="E3" s="239" t="e">
        <f>'[1]c90 résultat'!E22</f>
        <v>#REF!</v>
      </c>
      <c r="F3" s="239" t="e">
        <f>'[1]c90 résultat'!F22</f>
        <v>#REF!</v>
      </c>
      <c r="G3" s="239" t="e">
        <f>'[1]c90 résultat'!G22</f>
        <v>#REF!</v>
      </c>
      <c r="H3" s="239" t="e">
        <f>'[1]c90 résultat'!H22</f>
        <v>#REF!</v>
      </c>
      <c r="I3" s="239" t="e">
        <f>'[1]c90 résultat'!I22</f>
        <v>#REF!</v>
      </c>
      <c r="J3" s="239" t="e">
        <f>'[1]c90 résultat'!J22</f>
        <v>#REF!</v>
      </c>
      <c r="K3" s="239" t="e">
        <f>'[1]c90 résultat'!K22</f>
        <v>#REF!</v>
      </c>
      <c r="L3" s="239" t="e">
        <f>'[1]c90 résultat'!L22</f>
        <v>#REF!</v>
      </c>
      <c r="M3" s="239">
        <f>'c90 résultat'!M22</f>
        <v>0.69730000000000003</v>
      </c>
      <c r="N3" s="239">
        <f>'c90 résultat'!N22</f>
        <v>0.7451999999999992</v>
      </c>
      <c r="O3" s="239">
        <f>'c90 résultat'!O22</f>
        <v>0.7323000000000004</v>
      </c>
      <c r="P3" s="239">
        <f>'c90 résultat'!P22</f>
        <v>0.77170000000000061</v>
      </c>
      <c r="Q3" s="239">
        <f>'c90 résultat'!Q22</f>
        <v>0.87219999999999898</v>
      </c>
      <c r="R3" s="318">
        <f>'c90 résultat'!R22</f>
        <v>0.97709999999999941</v>
      </c>
    </row>
    <row r="4" spans="1:18" s="57" customFormat="1" ht="39.75" customHeight="1" x14ac:dyDescent="0.15">
      <c r="B4" s="21" t="s">
        <v>211</v>
      </c>
      <c r="C4" s="189" t="e">
        <f>'[1]c90 résultat'!C15</f>
        <v>#REF!</v>
      </c>
      <c r="D4" s="189" t="e">
        <f>'[1]c90 résultat'!D15</f>
        <v>#REF!</v>
      </c>
      <c r="E4" s="189" t="e">
        <f>'[1]c90 résultat'!E15</f>
        <v>#REF!</v>
      </c>
      <c r="F4" s="189" t="e">
        <f>'[1]c90 résultat'!F15</f>
        <v>#REF!</v>
      </c>
      <c r="G4" s="189" t="e">
        <f>'[1]c90 résultat'!G15</f>
        <v>#REF!</v>
      </c>
      <c r="H4" s="189" t="e">
        <f>'[1]c90 résultat'!H15</f>
        <v>#REF!</v>
      </c>
      <c r="I4" s="189" t="e">
        <f>'[1]c90 résultat'!I15</f>
        <v>#REF!</v>
      </c>
      <c r="J4" s="189" t="e">
        <f>'[1]c90 résultat'!J15</f>
        <v>#REF!</v>
      </c>
      <c r="K4" s="189" t="e">
        <f>'[1]c90 résultat'!K15</f>
        <v>#REF!</v>
      </c>
      <c r="L4" s="189" t="e">
        <f>'[1]c90 résultat'!L15</f>
        <v>#REF!</v>
      </c>
      <c r="M4" s="189">
        <v>0.84</v>
      </c>
      <c r="N4" s="189">
        <f>'c90 résultat'!N15</f>
        <v>0.78810000000000002</v>
      </c>
      <c r="O4" s="189">
        <f>'c90 résultat'!O15</f>
        <v>0.77549999999999997</v>
      </c>
      <c r="P4" s="189">
        <f>'c90 résultat'!P15</f>
        <v>0.76929999999999998</v>
      </c>
      <c r="Q4" s="189">
        <f>'c90 résultat'!Q15</f>
        <v>0.84750000000000003</v>
      </c>
      <c r="R4" s="241">
        <f>'c90 résultat'!R15</f>
        <v>0.89729999999999999</v>
      </c>
    </row>
    <row r="5" spans="1:18" s="57" customFormat="1" ht="39.75" customHeight="1" x14ac:dyDescent="0.15">
      <c r="B5" s="14" t="s">
        <v>81</v>
      </c>
      <c r="C5" s="188" t="e">
        <f t="shared" ref="C5:R5" si="1">C3+C4</f>
        <v>#REF!</v>
      </c>
      <c r="D5" s="188" t="e">
        <f t="shared" si="1"/>
        <v>#REF!</v>
      </c>
      <c r="E5" s="188" t="e">
        <f t="shared" si="1"/>
        <v>#REF!</v>
      </c>
      <c r="F5" s="188" t="e">
        <f t="shared" si="1"/>
        <v>#REF!</v>
      </c>
      <c r="G5" s="188" t="e">
        <f t="shared" si="1"/>
        <v>#REF!</v>
      </c>
      <c r="H5" s="188" t="e">
        <f t="shared" si="1"/>
        <v>#REF!</v>
      </c>
      <c r="I5" s="188" t="e">
        <f t="shared" si="1"/>
        <v>#REF!</v>
      </c>
      <c r="J5" s="188" t="e">
        <f t="shared" si="1"/>
        <v>#REF!</v>
      </c>
      <c r="K5" s="188" t="e">
        <f t="shared" si="1"/>
        <v>#REF!</v>
      </c>
      <c r="L5" s="188" t="e">
        <f t="shared" si="1"/>
        <v>#REF!</v>
      </c>
      <c r="M5" s="188">
        <f t="shared" si="1"/>
        <v>1.5373000000000001</v>
      </c>
      <c r="N5" s="188">
        <f t="shared" si="1"/>
        <v>1.5332999999999992</v>
      </c>
      <c r="O5" s="188">
        <f t="shared" si="1"/>
        <v>1.5078000000000005</v>
      </c>
      <c r="P5" s="188">
        <f t="shared" si="1"/>
        <v>1.5410000000000006</v>
      </c>
      <c r="Q5" s="188">
        <f t="shared" si="1"/>
        <v>1.7196999999999991</v>
      </c>
      <c r="R5" s="243">
        <f t="shared" si="1"/>
        <v>1.8743999999999994</v>
      </c>
    </row>
    <row r="6" spans="1:18" s="32" customFormat="1" ht="39.75" customHeight="1" x14ac:dyDescent="0.15">
      <c r="A6" s="57"/>
      <c r="B6" s="64" t="s">
        <v>212</v>
      </c>
      <c r="C6" s="185">
        <f>0.443/6.55957</f>
        <v>6.7534914636172796E-2</v>
      </c>
      <c r="D6" s="185" t="e">
        <f>('[1]c90 bilan'!D21-'[1]c90 bilan'!C21)</f>
        <v>#REF!</v>
      </c>
      <c r="E6" s="245" t="e">
        <f>('[1]c90 bilan'!E21-'[1]c90 bilan'!D21)</f>
        <v>#REF!</v>
      </c>
      <c r="F6" s="185" t="e">
        <f>('[1]c90 bilan'!F21-'[1]c90 bilan'!E21)</f>
        <v>#REF!</v>
      </c>
      <c r="G6" s="185" t="e">
        <f>('[1]c90 bilan'!G21-'[1]c90 bilan'!F21)</f>
        <v>#REF!</v>
      </c>
      <c r="H6" s="185" t="e">
        <f>('[1]c90 bilan'!H21-'[1]c90 bilan'!G21)</f>
        <v>#REF!</v>
      </c>
      <c r="I6" s="185" t="e">
        <f>('[1]c90 bilan'!I21-'[1]c90 bilan'!H21)</f>
        <v>#REF!</v>
      </c>
      <c r="J6" s="185" t="e">
        <f>('[1]c90 bilan'!J21-'[1]c90 bilan'!I21)</f>
        <v>#REF!</v>
      </c>
      <c r="K6" s="185" t="e">
        <f>('[1]c90 bilan'!K21-'[1]c90 bilan'!J21)</f>
        <v>#REF!</v>
      </c>
      <c r="L6" s="185" t="e">
        <f>('[1]c90 bilan'!L21-'[1]c90 bilan'!K21)</f>
        <v>#REF!</v>
      </c>
      <c r="M6" s="185">
        <f>'c90 bilan'!M22-'c90 bilan'!L22</f>
        <v>-0.36599999999999966</v>
      </c>
      <c r="N6" s="185">
        <f>'c90 bilan'!N22-'c90 bilan'!M22</f>
        <v>1.8330999999999995</v>
      </c>
      <c r="O6" s="185">
        <f>'c90 bilan'!O22-'c90 bilan'!N22</f>
        <v>-0.21179999999999999</v>
      </c>
      <c r="P6" s="185">
        <f>'c90 bilan'!P22-'c90 bilan'!O22</f>
        <v>5.8599999999999985E-2</v>
      </c>
      <c r="Q6" s="185">
        <f>'c90 bilan'!Q22-'c90 bilan'!P22</f>
        <v>0.19450000000000012</v>
      </c>
      <c r="R6" s="246">
        <f>'c90 bilan'!R22-'c90 bilan'!Q22</f>
        <v>3.2000000000000917E-3</v>
      </c>
    </row>
    <row r="7" spans="1:18" s="42" customFormat="1" ht="39.75" customHeight="1" x14ac:dyDescent="0.15">
      <c r="A7" s="66"/>
      <c r="B7" s="85" t="s">
        <v>83</v>
      </c>
      <c r="C7" s="249" t="e">
        <f>C5+C6</f>
        <v>#REF!</v>
      </c>
      <c r="D7" s="249" t="e">
        <f t="shared" ref="D7:R7" si="2">D5-D6</f>
        <v>#REF!</v>
      </c>
      <c r="E7" s="249" t="e">
        <f t="shared" si="2"/>
        <v>#REF!</v>
      </c>
      <c r="F7" s="249" t="e">
        <f t="shared" si="2"/>
        <v>#REF!</v>
      </c>
      <c r="G7" s="249" t="e">
        <f t="shared" si="2"/>
        <v>#REF!</v>
      </c>
      <c r="H7" s="249" t="e">
        <f t="shared" si="2"/>
        <v>#REF!</v>
      </c>
      <c r="I7" s="249" t="e">
        <f t="shared" si="2"/>
        <v>#REF!</v>
      </c>
      <c r="J7" s="249" t="e">
        <f t="shared" si="2"/>
        <v>#REF!</v>
      </c>
      <c r="K7" s="249" t="e">
        <f t="shared" si="2"/>
        <v>#REF!</v>
      </c>
      <c r="L7" s="249" t="e">
        <f t="shared" si="2"/>
        <v>#REF!</v>
      </c>
      <c r="M7" s="249">
        <f t="shared" si="2"/>
        <v>1.9032999999999998</v>
      </c>
      <c r="N7" s="249">
        <f t="shared" si="2"/>
        <v>-0.29980000000000029</v>
      </c>
      <c r="O7" s="249">
        <f t="shared" si="2"/>
        <v>1.7196000000000005</v>
      </c>
      <c r="P7" s="249">
        <f t="shared" si="2"/>
        <v>1.4824000000000006</v>
      </c>
      <c r="Q7" s="249">
        <f t="shared" si="2"/>
        <v>1.525199999999999</v>
      </c>
      <c r="R7" s="257">
        <f t="shared" si="2"/>
        <v>1.8711999999999993</v>
      </c>
    </row>
    <row r="8" spans="1:18" ht="39.75" customHeight="1" x14ac:dyDescent="0.15">
      <c r="B8" s="1" t="s">
        <v>84</v>
      </c>
      <c r="C8" s="250">
        <f>0.093/6.55957</f>
        <v>1.4177758603079165E-2</v>
      </c>
      <c r="D8" s="250" t="s">
        <v>213</v>
      </c>
      <c r="E8" s="250" t="s">
        <v>213</v>
      </c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1"/>
    </row>
    <row r="9" spans="1:18" s="57" customFormat="1" ht="39.75" customHeight="1" x14ac:dyDescent="0.15">
      <c r="B9" s="21" t="s">
        <v>167</v>
      </c>
      <c r="C9" s="252">
        <f>4.56/6.55957</f>
        <v>0.69516751860259129</v>
      </c>
      <c r="D9" s="252" t="e">
        <f>('[1]c90 bilan'!D13-'[1]c90 bilan'!C13)+'[1]c90 résultat'!D15</f>
        <v>#REF!</v>
      </c>
      <c r="E9" s="252" t="e">
        <f>('[1]c90 bilan'!E13-'[1]c90 bilan'!D13)+'[1]c90 résultat'!E15</f>
        <v>#REF!</v>
      </c>
      <c r="F9" s="252" t="e">
        <f>('[1]c90 bilan'!F13-'[1]c90 bilan'!E13)+'[1]c90 résultat'!F15</f>
        <v>#REF!</v>
      </c>
      <c r="G9" s="252" t="e">
        <f>('[1]c90 bilan'!G13-'[1]c90 bilan'!F13)+'[1]c90 résultat'!G15</f>
        <v>#REF!</v>
      </c>
      <c r="H9" s="252" t="e">
        <f>('[1]c90 bilan'!H13-'[1]c90 bilan'!G13)+'[1]c90 résultat'!H15</f>
        <v>#REF!</v>
      </c>
      <c r="I9" s="252" t="e">
        <f>('[1]c90 bilan'!I13-'[1]c90 bilan'!H13)+'[1]c90 résultat'!I15</f>
        <v>#REF!</v>
      </c>
      <c r="J9" s="252" t="e">
        <f>('[1]c90 bilan'!J13-'[1]c90 bilan'!I13)+'[1]c90 résultat'!J15</f>
        <v>#REF!</v>
      </c>
      <c r="K9" s="252" t="e">
        <f>('[1]c90 bilan'!K13-'[1]c90 bilan'!J13)+'[1]c90 résultat'!K15</f>
        <v>#REF!</v>
      </c>
      <c r="L9" s="252" t="e">
        <f>('[1]c90 bilan'!L13-'[1]c90 bilan'!K13)+'[1]c90 résultat'!L15</f>
        <v>#REF!</v>
      </c>
      <c r="M9" s="252">
        <v>7.75</v>
      </c>
      <c r="N9" s="252">
        <f>'c90 bilan'!N14-'c90 bilan'!M14+'c90 résultat'!N15</f>
        <v>-4.5610999999999997</v>
      </c>
      <c r="O9" s="252">
        <f>'c90 bilan'!O14-'c90 bilan'!N14+'c90 résultat'!O15</f>
        <v>5.9099999999999819E-2</v>
      </c>
      <c r="P9" s="252">
        <f>'c90 bilan'!P14-'c90 bilan'!O14+'c90 résultat'!P15</f>
        <v>0.51000000000000123</v>
      </c>
      <c r="Q9" s="252">
        <f>'c90 bilan'!Q14-'c90 bilan'!P14+'c90 résultat'!Q15</f>
        <v>3.6361999999999979</v>
      </c>
      <c r="R9" s="253">
        <f>'c90 bilan'!R14-'c90 bilan'!Q14+'c90 résultat'!R15</f>
        <v>1.8343000000000012</v>
      </c>
    </row>
    <row r="10" spans="1:18" s="16" customFormat="1" ht="39.75" customHeight="1" x14ac:dyDescent="0.15">
      <c r="B10" s="86" t="s">
        <v>175</v>
      </c>
      <c r="C10" s="255">
        <f>C8-C9</f>
        <v>-0.68098975999951217</v>
      </c>
      <c r="D10" s="256" t="e">
        <f t="shared" ref="D10:R10" si="3">-D9</f>
        <v>#REF!</v>
      </c>
      <c r="E10" s="256" t="e">
        <f t="shared" si="3"/>
        <v>#REF!</v>
      </c>
      <c r="F10" s="256" t="e">
        <f t="shared" si="3"/>
        <v>#REF!</v>
      </c>
      <c r="G10" s="256" t="e">
        <f t="shared" si="3"/>
        <v>#REF!</v>
      </c>
      <c r="H10" s="256" t="e">
        <f t="shared" si="3"/>
        <v>#REF!</v>
      </c>
      <c r="I10" s="256" t="e">
        <f t="shared" si="3"/>
        <v>#REF!</v>
      </c>
      <c r="J10" s="256" t="e">
        <f t="shared" si="3"/>
        <v>#REF!</v>
      </c>
      <c r="K10" s="256" t="e">
        <f t="shared" si="3"/>
        <v>#REF!</v>
      </c>
      <c r="L10" s="256" t="e">
        <f t="shared" si="3"/>
        <v>#REF!</v>
      </c>
      <c r="M10" s="256">
        <f t="shared" si="3"/>
        <v>-7.75</v>
      </c>
      <c r="N10" s="256">
        <f t="shared" si="3"/>
        <v>4.5610999999999997</v>
      </c>
      <c r="O10" s="256">
        <f t="shared" si="3"/>
        <v>-5.9099999999999819E-2</v>
      </c>
      <c r="P10" s="256">
        <f t="shared" si="3"/>
        <v>-0.51000000000000123</v>
      </c>
      <c r="Q10" s="256">
        <f t="shared" si="3"/>
        <v>-3.6361999999999979</v>
      </c>
      <c r="R10" s="257">
        <f t="shared" si="3"/>
        <v>-1.8343000000000012</v>
      </c>
    </row>
    <row r="11" spans="1:18" s="16" customFormat="1" ht="39.75" customHeight="1" x14ac:dyDescent="0.15">
      <c r="B11" s="44" t="s">
        <v>266</v>
      </c>
      <c r="C11" s="255" t="e">
        <f t="shared" ref="C11:R11" si="4">C7+C10</f>
        <v>#REF!</v>
      </c>
      <c r="D11" s="256" t="e">
        <f t="shared" si="4"/>
        <v>#REF!</v>
      </c>
      <c r="E11" s="256" t="e">
        <f t="shared" si="4"/>
        <v>#REF!</v>
      </c>
      <c r="F11" s="256" t="e">
        <f t="shared" si="4"/>
        <v>#REF!</v>
      </c>
      <c r="G11" s="256" t="e">
        <f t="shared" si="4"/>
        <v>#REF!</v>
      </c>
      <c r="H11" s="256" t="e">
        <f t="shared" si="4"/>
        <v>#REF!</v>
      </c>
      <c r="I11" s="256" t="e">
        <f t="shared" si="4"/>
        <v>#REF!</v>
      </c>
      <c r="J11" s="256" t="e">
        <f t="shared" si="4"/>
        <v>#REF!</v>
      </c>
      <c r="K11" s="256" t="e">
        <f t="shared" si="4"/>
        <v>#REF!</v>
      </c>
      <c r="L11" s="256" t="e">
        <f t="shared" si="4"/>
        <v>#REF!</v>
      </c>
      <c r="M11" s="256">
        <f t="shared" si="4"/>
        <v>-5.8467000000000002</v>
      </c>
      <c r="N11" s="256">
        <f t="shared" si="4"/>
        <v>4.2612999999999994</v>
      </c>
      <c r="O11" s="256">
        <f t="shared" si="4"/>
        <v>1.6605000000000008</v>
      </c>
      <c r="P11" s="256">
        <f t="shared" si="4"/>
        <v>0.97239999999999938</v>
      </c>
      <c r="Q11" s="256">
        <f t="shared" si="4"/>
        <v>-2.1109999999999989</v>
      </c>
      <c r="R11" s="257">
        <f t="shared" si="4"/>
        <v>3.6899999999998156E-2</v>
      </c>
    </row>
    <row r="12" spans="1:18" ht="39.75" customHeight="1" x14ac:dyDescent="0.15">
      <c r="B12" s="8" t="s">
        <v>214</v>
      </c>
      <c r="C12" s="193">
        <f>0.478/6.55957</f>
        <v>7.2870630239482162E-2</v>
      </c>
      <c r="D12" s="193" t="e">
        <f t="shared" ref="D12:R12" si="5">-(D11-D13+D14)</f>
        <v>#REF!</v>
      </c>
      <c r="E12" s="193" t="e">
        <f t="shared" si="5"/>
        <v>#REF!</v>
      </c>
      <c r="F12" s="193" t="e">
        <f t="shared" si="5"/>
        <v>#REF!</v>
      </c>
      <c r="G12" s="193" t="e">
        <f t="shared" si="5"/>
        <v>#REF!</v>
      </c>
      <c r="H12" s="193" t="e">
        <f t="shared" si="5"/>
        <v>#REF!</v>
      </c>
      <c r="I12" s="193" t="e">
        <f t="shared" si="5"/>
        <v>#REF!</v>
      </c>
      <c r="J12" s="193" t="e">
        <f t="shared" si="5"/>
        <v>#REF!</v>
      </c>
      <c r="K12" s="193" t="e">
        <f t="shared" si="5"/>
        <v>#REF!</v>
      </c>
      <c r="L12" s="193" t="e">
        <f t="shared" si="5"/>
        <v>#REF!</v>
      </c>
      <c r="M12" s="193">
        <v>0.76</v>
      </c>
      <c r="N12" s="193">
        <f t="shared" si="5"/>
        <v>0.35980000000000123</v>
      </c>
      <c r="O12" s="193">
        <f t="shared" si="5"/>
        <v>-0.68580000000000063</v>
      </c>
      <c r="P12" s="193">
        <f t="shared" si="5"/>
        <v>-0.3035999999999992</v>
      </c>
      <c r="Q12" s="193">
        <f t="shared" si="5"/>
        <v>0.16569999999999796</v>
      </c>
      <c r="R12" s="260">
        <f t="shared" si="5"/>
        <v>-0.56309999999999771</v>
      </c>
    </row>
    <row r="13" spans="1:18" s="57" customFormat="1" ht="39.75" customHeight="1" x14ac:dyDescent="0.15">
      <c r="B13" s="21" t="s">
        <v>215</v>
      </c>
      <c r="C13" s="188" t="e">
        <f>0.3774*'[1]c90 trésorerie'!C3</f>
        <v>#REF!</v>
      </c>
      <c r="D13" s="188">
        <v>0.107</v>
      </c>
      <c r="E13" s="188">
        <v>0.125</v>
      </c>
      <c r="F13" s="188">
        <v>0.128</v>
      </c>
      <c r="G13" s="188">
        <v>0.128</v>
      </c>
      <c r="H13" s="188">
        <v>0.14699999999999999</v>
      </c>
      <c r="I13" s="252">
        <v>0.152</v>
      </c>
      <c r="J13" s="252">
        <v>0.17399999999999999</v>
      </c>
      <c r="K13" s="189">
        <v>0.193</v>
      </c>
      <c r="L13" s="189">
        <v>0.224</v>
      </c>
      <c r="M13" s="189">
        <v>0.28599999999999998</v>
      </c>
      <c r="N13" s="189">
        <v>0.3553</v>
      </c>
      <c r="O13" s="189">
        <v>0.3957</v>
      </c>
      <c r="P13" s="189">
        <v>0.45889999999999997</v>
      </c>
      <c r="Q13" s="189">
        <v>0.48949999999999999</v>
      </c>
      <c r="R13" s="241">
        <f>0.3911+0.0848</f>
        <v>0.47589999999999999</v>
      </c>
    </row>
    <row r="14" spans="1:18" s="66" customFormat="1" ht="39.75" customHeight="1" thickBot="1" x14ac:dyDescent="0.2">
      <c r="B14" s="25" t="s">
        <v>216</v>
      </c>
      <c r="C14" s="45" t="e">
        <f>C11+C12+C13</f>
        <v>#REF!</v>
      </c>
      <c r="D14" s="262" t="e">
        <f>'[1]c90 bilan'!D8-'[1]c90 bilan'!C8</f>
        <v>#REF!</v>
      </c>
      <c r="E14" s="262" t="e">
        <f>'[1]c90 bilan'!E8-'[1]c90 bilan'!D8</f>
        <v>#REF!</v>
      </c>
      <c r="F14" s="262" t="e">
        <f>'[1]c90 bilan'!F8-'[1]c90 bilan'!E8</f>
        <v>#REF!</v>
      </c>
      <c r="G14" s="262" t="e">
        <f>'[1]c90 bilan'!G8-'[1]c90 bilan'!F8</f>
        <v>#REF!</v>
      </c>
      <c r="H14" s="262" t="e">
        <f>'[1]c90 bilan'!H8-'[1]c90 bilan'!G8</f>
        <v>#REF!</v>
      </c>
      <c r="I14" s="262" t="e">
        <f>'[1]c90 bilan'!I8-'[1]c90 bilan'!H8</f>
        <v>#REF!</v>
      </c>
      <c r="J14" s="262" t="e">
        <f>'[1]c90 bilan'!J8-'[1]c90 bilan'!I8</f>
        <v>#REF!</v>
      </c>
      <c r="K14" s="262" t="e">
        <f>'[1]c90 bilan'!K8-'[1]c90 bilan'!J8</f>
        <v>#REF!</v>
      </c>
      <c r="L14" s="262" t="e">
        <f>'[1]c90 bilan'!L8-'[1]c90 bilan'!K8</f>
        <v>#REF!</v>
      </c>
      <c r="M14" s="262">
        <f>'c90 bilan'!M8-'c90 bilan'!L8</f>
        <v>5.3500000000000005</v>
      </c>
      <c r="N14" s="262">
        <f>'c90 bilan'!N8-'c90 bilan'!M8</f>
        <v>-4.2658000000000005</v>
      </c>
      <c r="O14" s="262">
        <f>'c90 bilan'!O8-'c90 bilan'!N8</f>
        <v>-0.57900000000000018</v>
      </c>
      <c r="P14" s="262">
        <f>'c90 bilan'!P8-'c90 bilan'!O8</f>
        <v>-0.2099000000000002</v>
      </c>
      <c r="Q14" s="262">
        <f>'c90 bilan'!Q8-'c90 bilan'!P8</f>
        <v>2.434800000000001</v>
      </c>
      <c r="R14" s="263">
        <f>'c90 bilan'!R8-'c90 bilan'!Q8</f>
        <v>1.0020999999999995</v>
      </c>
    </row>
    <row r="16" spans="1:18" x14ac:dyDescent="0.15">
      <c r="B16" s="46"/>
      <c r="N16" s="221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/>
  <headerFooter>
    <oddHeader>&amp;C&amp;"Arial,Gras"&amp;18C 90 : tableau de flux de trésorerie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R21"/>
  <sheetViews>
    <sheetView workbookViewId="0">
      <pane xSplit="2" topLeftCell="D1" activePane="topRight" state="frozen"/>
      <selection activeCell="I27" sqref="I27:R27"/>
      <selection pane="topRight" activeCell="B9" sqref="B9"/>
    </sheetView>
  </sheetViews>
  <sheetFormatPr baseColWidth="10" defaultColWidth="11.5" defaultRowHeight="13" x14ac:dyDescent="0.15"/>
  <cols>
    <col min="1" max="1" width="3.6640625" customWidth="1"/>
    <col min="2" max="2" width="50.6640625" customWidth="1"/>
    <col min="3" max="3" width="10.6640625" hidden="1" customWidth="1"/>
    <col min="4" max="4" width="11" customWidth="1"/>
    <col min="5" max="10" width="10.6640625" customWidth="1"/>
    <col min="14" max="18" width="0" hidden="1" customWidth="1"/>
  </cols>
  <sheetData>
    <row r="1" spans="1:18" ht="40.5" customHeight="1" thickBot="1" x14ac:dyDescent="0.2">
      <c r="D1" s="179"/>
      <c r="M1" s="310"/>
      <c r="N1" s="310"/>
      <c r="O1" s="310"/>
      <c r="P1" s="310"/>
      <c r="Q1" s="310"/>
      <c r="R1" s="310"/>
    </row>
    <row r="2" spans="1:18" s="23" customFormat="1" ht="39.75" customHeight="1" thickTop="1" thickBot="1" x14ac:dyDescent="0.2">
      <c r="B2" s="368" t="s">
        <v>208</v>
      </c>
      <c r="C2" s="265">
        <v>32874</v>
      </c>
      <c r="D2" s="265">
        <f t="shared" ref="D2:R2" si="0">C2+366</f>
        <v>33240</v>
      </c>
      <c r="E2" s="265">
        <f t="shared" si="0"/>
        <v>33606</v>
      </c>
      <c r="F2" s="265">
        <f t="shared" si="0"/>
        <v>33972</v>
      </c>
      <c r="G2" s="265">
        <f t="shared" si="0"/>
        <v>34338</v>
      </c>
      <c r="H2" s="265">
        <f t="shared" si="0"/>
        <v>34704</v>
      </c>
      <c r="I2" s="265">
        <f t="shared" si="0"/>
        <v>35070</v>
      </c>
      <c r="J2" s="265">
        <f t="shared" si="0"/>
        <v>35436</v>
      </c>
      <c r="K2" s="265">
        <f t="shared" si="0"/>
        <v>35802</v>
      </c>
      <c r="L2" s="265">
        <f t="shared" si="0"/>
        <v>36168</v>
      </c>
      <c r="M2" s="265">
        <f t="shared" si="0"/>
        <v>36534</v>
      </c>
      <c r="N2" s="265">
        <f t="shared" si="0"/>
        <v>36900</v>
      </c>
      <c r="O2" s="265">
        <f t="shared" si="0"/>
        <v>37266</v>
      </c>
      <c r="P2" s="265">
        <f t="shared" si="0"/>
        <v>37632</v>
      </c>
      <c r="Q2" s="265">
        <f t="shared" si="0"/>
        <v>37998</v>
      </c>
      <c r="R2" s="266">
        <f t="shared" si="0"/>
        <v>38364</v>
      </c>
    </row>
    <row r="3" spans="1:18" ht="39.75" customHeight="1" x14ac:dyDescent="0.15">
      <c r="B3" s="1" t="s">
        <v>102</v>
      </c>
      <c r="C3" s="107">
        <v>0.13600000000000001</v>
      </c>
      <c r="D3" s="107" t="e">
        <f>'[1]c90 résultat'!D43</f>
        <v>#REF!</v>
      </c>
      <c r="E3" s="107" t="e">
        <f>'[1]c90 résultat'!E43</f>
        <v>#REF!</v>
      </c>
      <c r="F3" s="107" t="e">
        <f>'[1]c90 résultat'!F43</f>
        <v>#REF!</v>
      </c>
      <c r="G3" s="107" t="e">
        <f>'[1]c90 résultat'!G43</f>
        <v>#REF!</v>
      </c>
      <c r="H3" s="107" t="e">
        <f>'[1]c90 résultat'!H43</f>
        <v>#REF!</v>
      </c>
      <c r="I3" s="107" t="e">
        <f>'[1]c90 résultat'!I43</f>
        <v>#REF!</v>
      </c>
      <c r="J3" s="107" t="e">
        <f>'[1]c90 résultat'!J43</f>
        <v>#REF!</v>
      </c>
      <c r="K3" s="107" t="e">
        <f>'[1]c90 résultat'!K43</f>
        <v>#REF!</v>
      </c>
      <c r="L3" s="107" t="e">
        <f>'[1]c90 résultat'!L43</f>
        <v>#REF!</v>
      </c>
      <c r="M3" s="107">
        <f>'c90 résultat'!M44</f>
        <v>0.14899999999999999</v>
      </c>
      <c r="N3" s="107">
        <f>'c90 résultat'!N44</f>
        <v>0.14082008833860807</v>
      </c>
      <c r="O3" s="107">
        <f>'c90 résultat'!O44</f>
        <v>0.14592509673180351</v>
      </c>
      <c r="P3" s="107">
        <f>'c90 résultat'!P44</f>
        <v>0.14176210038326492</v>
      </c>
      <c r="Q3" s="107">
        <f>'c90 résultat'!Q44</f>
        <v>0.13742394027713853</v>
      </c>
      <c r="R3" s="289">
        <f>'c90 résultat'!R44</f>
        <v>0.14543642427262615</v>
      </c>
    </row>
    <row r="4" spans="1:18" s="57" customFormat="1" ht="39.75" customHeight="1" x14ac:dyDescent="0.15">
      <c r="B4" s="14" t="s">
        <v>103</v>
      </c>
      <c r="C4" s="268">
        <v>0.68</v>
      </c>
      <c r="D4" s="268">
        <v>0.65</v>
      </c>
      <c r="E4" s="91">
        <f>(100-28.9)%</f>
        <v>0.71099999999999997</v>
      </c>
      <c r="F4" s="91">
        <v>0.69440000000000002</v>
      </c>
      <c r="G4" s="91">
        <v>0.69899999999999995</v>
      </c>
      <c r="H4" s="91">
        <v>0.67400000000000004</v>
      </c>
      <c r="I4" s="91">
        <v>0.68200000000000005</v>
      </c>
      <c r="J4" s="91">
        <v>0.67</v>
      </c>
      <c r="K4" s="268">
        <v>0.67300000000000004</v>
      </c>
      <c r="L4" s="268">
        <v>0.69</v>
      </c>
      <c r="M4" s="268">
        <v>0.69</v>
      </c>
      <c r="N4" s="319">
        <v>0.71547586706510891</v>
      </c>
      <c r="O4" s="319">
        <v>0.73092257765414936</v>
      </c>
      <c r="P4" s="319">
        <v>0.72769162605228188</v>
      </c>
      <c r="Q4" s="319">
        <v>0.75630461922596726</v>
      </c>
      <c r="R4" s="320">
        <v>0.7322112258903416</v>
      </c>
    </row>
    <row r="5" spans="1:18" s="57" customFormat="1" ht="39.75" customHeight="1" thickBot="1" x14ac:dyDescent="0.2">
      <c r="B5" s="14" t="s">
        <v>104</v>
      </c>
      <c r="C5" s="136" t="e">
        <f>'[1]c90 fdr'!C3/'[1]c90 bilan'!C9</f>
        <v>#REF!</v>
      </c>
      <c r="D5" s="136" t="e">
        <f>'[1]c90 fdr'!D3/'[1]c90 bilan'!D9</f>
        <v>#REF!</v>
      </c>
      <c r="E5" s="136" t="e">
        <f>'[1]c90 fdr'!E3/'[1]c90 bilan'!E9</f>
        <v>#REF!</v>
      </c>
      <c r="F5" s="136" t="e">
        <f>'[1]c90 fdr'!F3/'[1]c90 bilan'!F9</f>
        <v>#REF!</v>
      </c>
      <c r="G5" s="136" t="e">
        <f>'[1]c90 fdr'!G3/'[1]c90 bilan'!G9</f>
        <v>#REF!</v>
      </c>
      <c r="H5" s="136" t="e">
        <f>'[1]c90 fdr'!H3/'[1]c90 bilan'!H9</f>
        <v>#REF!</v>
      </c>
      <c r="I5" s="136" t="e">
        <f>'[1]c90 fdr'!I3/'[1]c90 bilan'!I9</f>
        <v>#REF!</v>
      </c>
      <c r="J5" s="136" t="e">
        <f>'[1]c90 fdr'!J3/'[1]c90 bilan'!J9</f>
        <v>#REF!</v>
      </c>
      <c r="K5" s="136" t="e">
        <f>'[1]c90 fdr'!K3/'[1]c90 bilan'!K9</f>
        <v>#REF!</v>
      </c>
      <c r="L5" s="136" t="e">
        <f>'[1]c90 fdr'!L3/'[1]c90 bilan'!L9</f>
        <v>#REF!</v>
      </c>
      <c r="M5" s="136">
        <v>0.68</v>
      </c>
      <c r="N5" s="136">
        <f>'c90 fdr'!N3/'c90 bilan'!N9</f>
        <v>0.868329659046296</v>
      </c>
      <c r="O5" s="136">
        <f>'c90 fdr'!O3/'c90 bilan'!O9</f>
        <v>0.91259979790577073</v>
      </c>
      <c r="P5" s="136">
        <f>'c90 fdr'!P3/'c90 bilan'!P9</f>
        <v>0.98973310618966504</v>
      </c>
      <c r="Q5" s="136">
        <f>'c90 fdr'!Q3/'c90 bilan'!Q9</f>
        <v>0.82951595663460065</v>
      </c>
      <c r="R5" s="269">
        <f>'c90 fdr'!R3/'c90 bilan'!R9</f>
        <v>0.81980453159862976</v>
      </c>
    </row>
    <row r="6" spans="1:18" s="16" customFormat="1" ht="39.75" customHeight="1" thickBot="1" x14ac:dyDescent="0.2">
      <c r="B6" s="369" t="s">
        <v>189</v>
      </c>
      <c r="C6" s="271" t="e">
        <f t="shared" ref="C6:R6" si="1">C3*C4*C5</f>
        <v>#REF!</v>
      </c>
      <c r="D6" s="271" t="e">
        <f t="shared" si="1"/>
        <v>#REF!</v>
      </c>
      <c r="E6" s="271" t="e">
        <f t="shared" si="1"/>
        <v>#REF!</v>
      </c>
      <c r="F6" s="271" t="e">
        <f t="shared" si="1"/>
        <v>#REF!</v>
      </c>
      <c r="G6" s="271" t="e">
        <f t="shared" si="1"/>
        <v>#REF!</v>
      </c>
      <c r="H6" s="271" t="e">
        <f t="shared" si="1"/>
        <v>#REF!</v>
      </c>
      <c r="I6" s="271" t="e">
        <f t="shared" si="1"/>
        <v>#REF!</v>
      </c>
      <c r="J6" s="271" t="e">
        <f t="shared" si="1"/>
        <v>#REF!</v>
      </c>
      <c r="K6" s="271" t="e">
        <f t="shared" si="1"/>
        <v>#REF!</v>
      </c>
      <c r="L6" s="271" t="e">
        <f t="shared" si="1"/>
        <v>#REF!</v>
      </c>
      <c r="M6" s="271">
        <v>6.9000000000000006E-2</v>
      </c>
      <c r="N6" s="271">
        <f t="shared" si="1"/>
        <v>8.7487143591538807E-2</v>
      </c>
      <c r="O6" s="271">
        <f t="shared" si="1"/>
        <v>9.7337846850397133E-2</v>
      </c>
      <c r="P6" s="271">
        <f t="shared" si="1"/>
        <v>0.10209996988358767</v>
      </c>
      <c r="Q6" s="271">
        <f t="shared" si="1"/>
        <v>8.6215210745987855E-2</v>
      </c>
      <c r="R6" s="315">
        <f t="shared" si="1"/>
        <v>8.7301134188993268E-2</v>
      </c>
    </row>
    <row r="7" spans="1:18" ht="39.75" customHeight="1" thickBot="1" x14ac:dyDescent="0.2">
      <c r="B7" s="21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321"/>
    </row>
    <row r="8" spans="1:18" ht="39.75" customHeight="1" thickTop="1" x14ac:dyDescent="0.15">
      <c r="B8" s="364" t="s">
        <v>106</v>
      </c>
      <c r="C8" s="273" t="e">
        <f>C6-11.74%</f>
        <v>#REF!</v>
      </c>
      <c r="D8" s="274" t="e">
        <f>'[1]c90 rentabilité'!D6-('[1]c90 résultat'!D18/'[1]c90 bilan'!D8*'[1]c90 rentabilité'!D4)</f>
        <v>#REF!</v>
      </c>
      <c r="E8" s="274" t="e">
        <f>'[1]c90 rentabilité'!E6-('[1]c90 résultat'!E18/'[1]c90 bilan'!E8*'[1]c90 rentabilité'!E4)</f>
        <v>#REF!</v>
      </c>
      <c r="F8" s="274" t="e">
        <f>'[1]c90 rentabilité'!F6-('[1]c90 résultat'!F18/'[1]c90 bilan'!F8*'[1]c90 rentabilité'!F4)</f>
        <v>#REF!</v>
      </c>
      <c r="G8" s="274" t="e">
        <f>'[1]c90 rentabilité'!G6-('[1]c90 résultat'!G18/'[1]c90 bilan'!G8*'[1]c90 rentabilité'!G4)</f>
        <v>#REF!</v>
      </c>
      <c r="H8" s="274" t="e">
        <f>'[1]c90 rentabilité'!H6-('[1]c90 résultat'!H18/'[1]c90 bilan'!H8*'[1]c90 rentabilité'!H4)</f>
        <v>#REF!</v>
      </c>
      <c r="I8" s="274" t="e">
        <f>'[1]c90 rentabilité'!I6-('[1]c90 résultat'!I18/'[1]c90 bilan'!I8*'[1]c90 rentabilité'!I4)</f>
        <v>#REF!</v>
      </c>
      <c r="J8" s="274" t="e">
        <f>'[1]c90 rentabilité'!J6-('[1]c90 résultat'!J18/'[1]c90 bilan'!J8*'[1]c90 rentabilité'!J4)</f>
        <v>#REF!</v>
      </c>
      <c r="K8" s="274" t="e">
        <f>'[1]c90 rentabilité'!K6-('[1]c90 résultat'!K18/'[1]c90 bilan'!K8*'[1]c90 rentabilité'!K4)</f>
        <v>#REF!</v>
      </c>
      <c r="L8" s="274" t="e">
        <f>'[1]c90 rentabilité'!L6-('[1]c90 résultat'!L18/'[1]c90 bilan'!L8*'[1]c90 rentabilité'!L4)</f>
        <v>#REF!</v>
      </c>
      <c r="M8" s="274">
        <v>3.6700000000000003E-2</v>
      </c>
      <c r="N8" s="274">
        <f>N6-'c90 résultat'!N18/'c90 bilan'!N8*'c90 rentabilité'!N4</f>
        <v>5.2309161613766725E-2</v>
      </c>
      <c r="O8" s="274">
        <f>O6-'c90 résultat'!O18/'c90 bilan'!O8*'c90 rentabilité'!O4</f>
        <v>6.0951907637181807E-2</v>
      </c>
      <c r="P8" s="274">
        <f>P6-'c90 résultat'!P18/'c90 bilan'!P8*'c90 rentabilité'!P4</f>
        <v>6.9210654076849995E-2</v>
      </c>
      <c r="Q8" s="274">
        <f>Q6-'c90 résultat'!Q18/'c90 bilan'!Q8*'c90 rentabilité'!Q4</f>
        <v>6.352654682744982E-2</v>
      </c>
      <c r="R8" s="275">
        <f>R6-'c90 résultat'!R18/'c90 bilan'!R8*'c90 rentabilité'!R4</f>
        <v>6.0429835698119473E-2</v>
      </c>
    </row>
    <row r="9" spans="1:18" ht="39.75" customHeight="1" thickBot="1" x14ac:dyDescent="0.2">
      <c r="B9" s="14" t="s">
        <v>107</v>
      </c>
      <c r="C9" s="136" t="e">
        <f>'[1]c90 bilan'!C8/'[1]c90 bilan'!C3</f>
        <v>#REF!</v>
      </c>
      <c r="D9" s="136" t="e">
        <f>'[1]c90 bilan'!D8/'[1]c90 bilan'!D3</f>
        <v>#REF!</v>
      </c>
      <c r="E9" s="136" t="e">
        <f>'[1]c90 bilan'!E8/'[1]c90 bilan'!E3</f>
        <v>#REF!</v>
      </c>
      <c r="F9" s="136" t="e">
        <f>'[1]c90 bilan'!F8/'[1]c90 bilan'!F3</f>
        <v>#REF!</v>
      </c>
      <c r="G9" s="136" t="e">
        <f>'[1]c90 bilan'!G8/'[1]c90 bilan'!G3</f>
        <v>#REF!</v>
      </c>
      <c r="H9" s="136" t="e">
        <f>'[1]c90 bilan'!H8/'[1]c90 bilan'!H3</f>
        <v>#REF!</v>
      </c>
      <c r="I9" s="136" t="e">
        <f>'[1]c90 bilan'!I8/'[1]c90 bilan'!I3</f>
        <v>#REF!</v>
      </c>
      <c r="J9" s="136" t="e">
        <f>'[1]c90 bilan'!J8/'[1]c90 bilan'!J3</f>
        <v>#REF!</v>
      </c>
      <c r="K9" s="136" t="e">
        <f>'[1]c90 bilan'!K8/'[1]c90 bilan'!K3</f>
        <v>#REF!</v>
      </c>
      <c r="L9" s="136" t="e">
        <f>'[1]c90 bilan'!L8/'[1]c90 bilan'!L3</f>
        <v>#REF!</v>
      </c>
      <c r="M9" s="313">
        <v>1.22</v>
      </c>
      <c r="N9" s="136">
        <f>'c90 bilan'!N9/'c90 bilan'!N3</f>
        <v>1.4609320999455859</v>
      </c>
      <c r="O9" s="136">
        <f>'c90 bilan'!O9/'c90 bilan'!O3</f>
        <v>1.3961243314471747</v>
      </c>
      <c r="P9" s="136">
        <f>'c90 bilan'!P9/'c90 bilan'!P3</f>
        <v>1.3630663962722727</v>
      </c>
      <c r="Q9" s="136">
        <f>'c90 bilan'!Q9/'c90 bilan'!Q3</f>
        <v>1.6820821620696051</v>
      </c>
      <c r="R9" s="276">
        <f>'c90 bilan'!R9/'c90 bilan'!R3</f>
        <v>1.8324263626155308</v>
      </c>
    </row>
    <row r="10" spans="1:18" s="16" customFormat="1" ht="39.75" customHeight="1" thickTop="1" thickBot="1" x14ac:dyDescent="0.2">
      <c r="B10" s="370" t="s">
        <v>108</v>
      </c>
      <c r="C10" s="278" t="e">
        <f t="shared" ref="C10:R10" si="2">C8*C9</f>
        <v>#REF!</v>
      </c>
      <c r="D10" s="173" t="e">
        <f t="shared" si="2"/>
        <v>#REF!</v>
      </c>
      <c r="E10" s="173" t="e">
        <f t="shared" si="2"/>
        <v>#REF!</v>
      </c>
      <c r="F10" s="173" t="e">
        <f t="shared" si="2"/>
        <v>#REF!</v>
      </c>
      <c r="G10" s="173" t="e">
        <f t="shared" si="2"/>
        <v>#REF!</v>
      </c>
      <c r="H10" s="173" t="e">
        <f t="shared" si="2"/>
        <v>#REF!</v>
      </c>
      <c r="I10" s="173" t="e">
        <f t="shared" si="2"/>
        <v>#REF!</v>
      </c>
      <c r="J10" s="173" t="e">
        <f t="shared" si="2"/>
        <v>#REF!</v>
      </c>
      <c r="K10" s="173" t="e">
        <f t="shared" si="2"/>
        <v>#REF!</v>
      </c>
      <c r="L10" s="173" t="e">
        <f t="shared" si="2"/>
        <v>#REF!</v>
      </c>
      <c r="M10" s="314">
        <f t="shared" si="2"/>
        <v>4.4774000000000001E-2</v>
      </c>
      <c r="N10" s="173">
        <f t="shared" si="2"/>
        <v>7.6420133322793252E-2</v>
      </c>
      <c r="O10" s="173">
        <f t="shared" si="2"/>
        <v>8.5096441300390388E-2</v>
      </c>
      <c r="P10" s="173">
        <f t="shared" si="2"/>
        <v>9.4338716836178796E-2</v>
      </c>
      <c r="Q10" s="173">
        <f t="shared" si="2"/>
        <v>0.10685687123633281</v>
      </c>
      <c r="R10" s="284">
        <f t="shared" si="2"/>
        <v>0.11073322402175922</v>
      </c>
    </row>
    <row r="11" spans="1:18" ht="39.75" customHeight="1" thickTop="1" thickBot="1" x14ac:dyDescent="0.2">
      <c r="B11" s="21"/>
      <c r="C11" s="279"/>
      <c r="D11" s="279"/>
      <c r="E11" s="279"/>
      <c r="F11" s="279"/>
      <c r="G11" s="279"/>
      <c r="H11" s="279"/>
      <c r="I11" s="279"/>
      <c r="J11" s="279"/>
      <c r="K11" s="57"/>
      <c r="L11" s="57"/>
      <c r="M11" s="57"/>
      <c r="N11" s="57"/>
      <c r="O11" s="57"/>
      <c r="P11" s="57"/>
      <c r="Q11" s="57"/>
      <c r="R11" s="322"/>
    </row>
    <row r="12" spans="1:18" s="16" customFormat="1" ht="39.75" customHeight="1" thickTop="1" thickBot="1" x14ac:dyDescent="0.2">
      <c r="B12" s="359" t="s">
        <v>109</v>
      </c>
      <c r="C12" s="278" t="e">
        <f>C10*C6</f>
        <v>#REF!</v>
      </c>
      <c r="D12" s="173" t="e">
        <f t="shared" ref="D12:R12" si="3">D10+D6</f>
        <v>#REF!</v>
      </c>
      <c r="E12" s="173" t="e">
        <f t="shared" si="3"/>
        <v>#REF!</v>
      </c>
      <c r="F12" s="173" t="e">
        <f t="shared" si="3"/>
        <v>#REF!</v>
      </c>
      <c r="G12" s="173" t="e">
        <f t="shared" si="3"/>
        <v>#REF!</v>
      </c>
      <c r="H12" s="173" t="e">
        <f t="shared" si="3"/>
        <v>#REF!</v>
      </c>
      <c r="I12" s="173" t="e">
        <f t="shared" si="3"/>
        <v>#REF!</v>
      </c>
      <c r="J12" s="173" t="e">
        <f t="shared" si="3"/>
        <v>#REF!</v>
      </c>
      <c r="K12" s="173" t="e">
        <f t="shared" si="3"/>
        <v>#REF!</v>
      </c>
      <c r="L12" s="173" t="e">
        <f t="shared" si="3"/>
        <v>#REF!</v>
      </c>
      <c r="M12" s="173">
        <f t="shared" si="3"/>
        <v>0.11377400000000001</v>
      </c>
      <c r="N12" s="173">
        <f t="shared" si="3"/>
        <v>0.16390727691433205</v>
      </c>
      <c r="O12" s="173">
        <f t="shared" si="3"/>
        <v>0.18243428815078752</v>
      </c>
      <c r="P12" s="173">
        <f t="shared" si="3"/>
        <v>0.19643868671976647</v>
      </c>
      <c r="Q12" s="173">
        <f t="shared" si="3"/>
        <v>0.19307208198232068</v>
      </c>
      <c r="R12" s="285">
        <f t="shared" si="3"/>
        <v>0.19803435821075249</v>
      </c>
    </row>
    <row r="13" spans="1:18" ht="39.75" customHeight="1" thickTop="1" x14ac:dyDescent="0.15">
      <c r="B13" s="14"/>
      <c r="C13" s="92"/>
      <c r="D13" s="309" t="s">
        <v>213</v>
      </c>
      <c r="E13" s="309" t="s">
        <v>213</v>
      </c>
      <c r="F13" s="309" t="s">
        <v>213</v>
      </c>
      <c r="G13" s="309" t="s">
        <v>213</v>
      </c>
      <c r="H13" s="309" t="s">
        <v>213</v>
      </c>
      <c r="I13" s="309" t="s">
        <v>213</v>
      </c>
      <c r="J13" s="309" t="s">
        <v>213</v>
      </c>
      <c r="K13" s="309" t="s">
        <v>213</v>
      </c>
      <c r="L13" s="309" t="s">
        <v>213</v>
      </c>
      <c r="M13" s="309" t="s">
        <v>213</v>
      </c>
      <c r="N13" s="309"/>
      <c r="O13" s="309"/>
      <c r="P13" s="309"/>
      <c r="Q13" s="309"/>
      <c r="R13" s="322"/>
    </row>
    <row r="14" spans="1:18" s="56" customFormat="1" ht="39.75" customHeight="1" thickBot="1" x14ac:dyDescent="0.2">
      <c r="A14" s="57"/>
      <c r="B14" s="366" t="s">
        <v>110</v>
      </c>
      <c r="C14" s="282">
        <v>3.32E-2</v>
      </c>
      <c r="D14" s="282">
        <v>2.9000000000000001E-2</v>
      </c>
      <c r="E14" s="282">
        <v>2.1000000000000001E-2</v>
      </c>
      <c r="F14" s="282">
        <v>1.9E-2</v>
      </c>
      <c r="G14" s="282">
        <v>1.6500000000000001E-2</v>
      </c>
      <c r="H14" s="282">
        <v>2.1499999999999998E-2</v>
      </c>
      <c r="I14" s="282">
        <v>1.72E-2</v>
      </c>
      <c r="J14" s="282">
        <v>1.2800000000000001E-2</v>
      </c>
      <c r="K14" s="282">
        <v>6.0000000000000001E-3</v>
      </c>
      <c r="L14" s="282">
        <v>8.0000000000000002E-3</v>
      </c>
      <c r="M14" s="282">
        <v>0.01</v>
      </c>
      <c r="N14" s="282">
        <v>1.6299999999999999E-2</v>
      </c>
      <c r="O14" s="282">
        <v>1.9199999999999998E-2</v>
      </c>
      <c r="P14" s="282">
        <v>2.1099999999999997E-2</v>
      </c>
      <c r="Q14" s="282">
        <v>2.1299999999999999E-2</v>
      </c>
      <c r="R14" s="283">
        <v>1.7399999999999999E-2</v>
      </c>
    </row>
    <row r="15" spans="1:18" thickTop="1" x14ac:dyDescent="0.2"/>
    <row r="19" spans="10:14" x14ac:dyDescent="0.2">
      <c r="J19" s="310"/>
    </row>
    <row r="20" spans="10:14" x14ac:dyDescent="0.2">
      <c r="J20" s="310"/>
    </row>
    <row r="21" spans="10:14" x14ac:dyDescent="0.2">
      <c r="J21" s="310"/>
      <c r="K21" s="310"/>
      <c r="L21" s="310"/>
      <c r="M21" s="310"/>
      <c r="N21" s="310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/>
  <headerFooter>
    <oddHeader>&amp;C&amp;"Arial,Gras"&amp;18C 90 : formation de la rentabilité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B2:S71"/>
  <sheetViews>
    <sheetView zoomScale="85" zoomScaleSheetLayoutView="50" workbookViewId="0">
      <pane xSplit="2" topLeftCell="C1" activePane="topRight" state="frozen"/>
      <selection activeCell="K13" sqref="K13"/>
      <selection pane="topRight" activeCell="B28" sqref="B28"/>
    </sheetView>
  </sheetViews>
  <sheetFormatPr baseColWidth="10" defaultColWidth="11.5" defaultRowHeight="13" outlineLevelRow="1" outlineLevelCol="1" x14ac:dyDescent="0.15"/>
  <cols>
    <col min="1" max="1" width="2.5" customWidth="1"/>
    <col min="2" max="2" width="50.6640625" style="6" customWidth="1"/>
    <col min="3" max="3" width="11.5" customWidth="1" outlineLevel="1"/>
    <col min="4" max="9" width="11.5" customWidth="1"/>
    <col min="10" max="17" width="11.5" hidden="1" customWidth="1" outlineLevel="1"/>
    <col min="18" max="18" width="11.5" customWidth="1" collapsed="1"/>
  </cols>
  <sheetData>
    <row r="2" spans="2:19" ht="23" x14ac:dyDescent="0.25">
      <c r="B2" s="294" t="s">
        <v>248</v>
      </c>
      <c r="M2" s="136"/>
    </row>
    <row r="3" spans="2:19" ht="22.5" customHeight="1" thickBot="1" x14ac:dyDescent="0.2">
      <c r="F3" t="s">
        <v>221</v>
      </c>
      <c r="K3" t="s">
        <v>238</v>
      </c>
      <c r="L3">
        <v>677</v>
      </c>
      <c r="M3">
        <v>775</v>
      </c>
      <c r="N3">
        <v>766</v>
      </c>
      <c r="O3">
        <v>734.6</v>
      </c>
      <c r="P3">
        <v>760.9</v>
      </c>
      <c r="Q3">
        <v>835.6</v>
      </c>
      <c r="R3" s="57"/>
      <c r="S3" s="349"/>
    </row>
    <row r="4" spans="2:19" s="23" customFormat="1" ht="21.75" customHeight="1" thickBot="1" x14ac:dyDescent="0.2">
      <c r="B4" s="125" t="s">
        <v>202</v>
      </c>
      <c r="C4" s="126">
        <v>36861</v>
      </c>
      <c r="D4" s="126">
        <f>C4+365</f>
        <v>37226</v>
      </c>
      <c r="E4" s="126">
        <f>D4+370</f>
        <v>37596</v>
      </c>
      <c r="F4" s="126">
        <f>E4+370</f>
        <v>37966</v>
      </c>
      <c r="G4" s="126">
        <f>F4+370</f>
        <v>38336</v>
      </c>
      <c r="H4" s="126">
        <f>G4+370</f>
        <v>38706</v>
      </c>
      <c r="I4" s="126">
        <f>H4+370</f>
        <v>39076</v>
      </c>
      <c r="K4" s="23" t="s">
        <v>239</v>
      </c>
      <c r="L4">
        <v>152</v>
      </c>
      <c r="M4">
        <v>175</v>
      </c>
      <c r="N4">
        <v>192</v>
      </c>
      <c r="O4">
        <v>155.80000000000001</v>
      </c>
      <c r="P4">
        <v>141.80000000000001</v>
      </c>
      <c r="Q4">
        <v>144</v>
      </c>
      <c r="R4" s="407"/>
      <c r="S4" s="128"/>
    </row>
    <row r="5" spans="2:19" ht="21.75" hidden="1" customHeight="1" outlineLevel="1" x14ac:dyDescent="0.15">
      <c r="B5" s="128" t="s">
        <v>0</v>
      </c>
      <c r="C5" s="135"/>
      <c r="D5" s="135"/>
      <c r="E5" s="1"/>
      <c r="F5" s="1"/>
      <c r="G5" s="1"/>
      <c r="H5" s="135"/>
      <c r="I5" s="135"/>
      <c r="L5" s="57">
        <f t="shared" ref="L5:Q5" si="0">L3-L4</f>
        <v>525</v>
      </c>
      <c r="M5" s="57">
        <f t="shared" si="0"/>
        <v>600</v>
      </c>
      <c r="N5" s="57">
        <f t="shared" si="0"/>
        <v>574</v>
      </c>
      <c r="O5" s="57">
        <f t="shared" si="0"/>
        <v>578.79999999999995</v>
      </c>
      <c r="P5" s="57">
        <f t="shared" si="0"/>
        <v>619.09999999999991</v>
      </c>
      <c r="Q5" s="57">
        <f t="shared" si="0"/>
        <v>691.6</v>
      </c>
      <c r="R5" s="128"/>
      <c r="S5" s="128"/>
    </row>
    <row r="6" spans="2:19" s="57" customFormat="1" ht="21.75" hidden="1" customHeight="1" outlineLevel="1" thickBot="1" x14ac:dyDescent="0.2">
      <c r="B6" s="128" t="s">
        <v>1</v>
      </c>
      <c r="C6" s="1"/>
      <c r="D6" s="1"/>
      <c r="E6" s="1"/>
      <c r="F6" s="1"/>
      <c r="G6" s="1"/>
      <c r="H6" s="1"/>
      <c r="I6" s="1"/>
      <c r="R6" s="128"/>
      <c r="S6" s="130"/>
    </row>
    <row r="7" spans="2:19" s="66" customFormat="1" ht="21.75" customHeight="1" collapsed="1" thickBot="1" x14ac:dyDescent="0.2">
      <c r="B7" s="130" t="s">
        <v>249</v>
      </c>
      <c r="C7" s="132">
        <v>2.7989999999999999</v>
      </c>
      <c r="D7" s="132">
        <v>3.0960000000000001</v>
      </c>
      <c r="E7" s="132">
        <v>2.97</v>
      </c>
      <c r="F7" s="132">
        <v>2.7618</v>
      </c>
      <c r="G7" s="132">
        <v>2.9262999999999999</v>
      </c>
      <c r="H7" s="132">
        <v>3.2479</v>
      </c>
      <c r="I7" s="132">
        <v>3.74</v>
      </c>
      <c r="R7" s="130"/>
      <c r="S7" s="134"/>
    </row>
    <row r="8" spans="2:19" s="57" customFormat="1" ht="21.75" customHeight="1" x14ac:dyDescent="0.15">
      <c r="B8" s="134" t="s">
        <v>228</v>
      </c>
      <c r="C8" s="131">
        <v>1.5389999999999999</v>
      </c>
      <c r="D8" s="131">
        <v>1.748</v>
      </c>
      <c r="E8" s="131">
        <v>1.65</v>
      </c>
      <c r="F8" s="131">
        <f>1.5696-0.1258</f>
        <v>1.4438000000000002</v>
      </c>
      <c r="G8" s="131">
        <v>1.5057</v>
      </c>
      <c r="H8" s="131">
        <v>1.6754</v>
      </c>
      <c r="I8" s="131">
        <v>1.88</v>
      </c>
      <c r="K8" s="57" t="s">
        <v>242</v>
      </c>
      <c r="L8" s="57">
        <v>233</v>
      </c>
      <c r="M8" s="57">
        <v>175</v>
      </c>
      <c r="N8" s="57">
        <v>184</v>
      </c>
      <c r="O8" s="57">
        <v>-161.5</v>
      </c>
      <c r="P8" s="57">
        <v>25.400000000000169</v>
      </c>
      <c r="Q8" s="57">
        <v>102.5</v>
      </c>
      <c r="R8" s="134"/>
      <c r="S8" s="134"/>
    </row>
    <row r="9" spans="2:19" s="57" customFormat="1" ht="21.75" customHeight="1" x14ac:dyDescent="0.15">
      <c r="B9" s="134" t="s">
        <v>229</v>
      </c>
      <c r="C9" s="136">
        <v>0.81499999999999995</v>
      </c>
      <c r="D9" s="136">
        <v>0.91</v>
      </c>
      <c r="E9" s="136">
        <v>0.84799999999999998</v>
      </c>
      <c r="F9" s="136">
        <v>0.76200000000000001</v>
      </c>
      <c r="G9" s="136">
        <v>0.80700000000000005</v>
      </c>
      <c r="H9" s="136">
        <v>0.94669999999999999</v>
      </c>
      <c r="I9" s="136">
        <v>1.1200000000000001</v>
      </c>
      <c r="L9" s="57">
        <v>-29</v>
      </c>
      <c r="M9" s="57">
        <v>-47</v>
      </c>
      <c r="N9" s="57">
        <v>-56</v>
      </c>
      <c r="O9" s="298">
        <v>-132.9</v>
      </c>
      <c r="P9" s="298">
        <v>-124.9</v>
      </c>
      <c r="Q9" s="298">
        <v>-103.3</v>
      </c>
      <c r="R9" s="134"/>
      <c r="S9" s="138"/>
    </row>
    <row r="10" spans="2:19" ht="21.75" customHeight="1" x14ac:dyDescent="0.15">
      <c r="B10" s="138" t="s">
        <v>244</v>
      </c>
      <c r="C10" s="301">
        <f t="shared" ref="C10:H10" si="1">C7-C8</f>
        <v>1.26</v>
      </c>
      <c r="D10" s="301">
        <f t="shared" si="1"/>
        <v>1.3480000000000001</v>
      </c>
      <c r="E10" s="301">
        <f t="shared" si="1"/>
        <v>1.3200000000000003</v>
      </c>
      <c r="F10" s="301">
        <f t="shared" si="1"/>
        <v>1.3179999999999998</v>
      </c>
      <c r="G10" s="301">
        <f t="shared" si="1"/>
        <v>1.4205999999999999</v>
      </c>
      <c r="H10" s="301">
        <f t="shared" si="1"/>
        <v>1.5725</v>
      </c>
      <c r="I10" s="301">
        <f>I7-I8</f>
        <v>1.8600000000000003</v>
      </c>
      <c r="O10">
        <v>-125.8</v>
      </c>
      <c r="R10" s="138"/>
      <c r="S10" s="138"/>
    </row>
    <row r="11" spans="2:19" ht="21.75" customHeight="1" x14ac:dyDescent="0.15">
      <c r="B11" s="138" t="s">
        <v>250</v>
      </c>
      <c r="C11" s="221">
        <v>0.52500000000000002</v>
      </c>
      <c r="D11" s="221">
        <v>0.6</v>
      </c>
      <c r="E11" s="221">
        <v>0.57399999999999995</v>
      </c>
      <c r="F11" s="221">
        <v>0.57879999999999998</v>
      </c>
      <c r="G11" s="221">
        <v>0.61909999999999998</v>
      </c>
      <c r="H11" s="189">
        <v>0.69159999999999999</v>
      </c>
      <c r="I11" s="189">
        <v>0.84</v>
      </c>
      <c r="L11">
        <f>L8-L9</f>
        <v>262</v>
      </c>
      <c r="M11">
        <f>M8-M9</f>
        <v>222</v>
      </c>
      <c r="N11">
        <f>N8-N9</f>
        <v>240</v>
      </c>
      <c r="O11">
        <f>O8-O9-O10</f>
        <v>97.2</v>
      </c>
      <c r="P11">
        <f>P8-P9</f>
        <v>150.30000000000018</v>
      </c>
      <c r="Q11">
        <f>Q8-Q9</f>
        <v>205.8</v>
      </c>
      <c r="R11" s="138"/>
      <c r="S11" s="134"/>
    </row>
    <row r="12" spans="2:19" s="57" customFormat="1" ht="21.75" customHeight="1" x14ac:dyDescent="0.15">
      <c r="B12" s="134" t="s">
        <v>251</v>
      </c>
      <c r="C12" s="221">
        <v>0.123</v>
      </c>
      <c r="D12" s="221">
        <v>0.13600000000000001</v>
      </c>
      <c r="E12" s="221">
        <v>0.13900000000000001</v>
      </c>
      <c r="F12" s="221">
        <v>0.12559999999999999</v>
      </c>
      <c r="G12" s="221">
        <v>0.126</v>
      </c>
      <c r="H12" s="189">
        <v>0.15640000000000001</v>
      </c>
      <c r="I12" s="189">
        <v>0.24</v>
      </c>
      <c r="R12" s="134"/>
      <c r="S12" s="134"/>
    </row>
    <row r="13" spans="2:19" s="57" customFormat="1" ht="21.75" customHeight="1" x14ac:dyDescent="0.15">
      <c r="B13" s="134" t="s">
        <v>252</v>
      </c>
      <c r="C13" s="221">
        <v>3.3000000000000002E-2</v>
      </c>
      <c r="D13" s="221">
        <v>0.04</v>
      </c>
      <c r="E13" s="221">
        <v>3.4000000000000002E-2</v>
      </c>
      <c r="F13" s="221">
        <v>9.2099999999999987E-2</v>
      </c>
      <c r="G13" s="221">
        <v>7.7499999999999999E-2</v>
      </c>
      <c r="H13" s="185">
        <v>9.2599999999999988E-2</v>
      </c>
      <c r="I13" s="185">
        <v>0.11</v>
      </c>
      <c r="R13" s="134"/>
      <c r="S13" s="138"/>
    </row>
    <row r="14" spans="2:19" ht="21.75" customHeight="1" x14ac:dyDescent="0.15">
      <c r="B14" s="138" t="s">
        <v>9</v>
      </c>
      <c r="C14" s="301">
        <f t="shared" ref="C14:H14" si="2">C10-C11-C12-C13</f>
        <v>0.57899999999999996</v>
      </c>
      <c r="D14" s="301">
        <f t="shared" si="2"/>
        <v>0.57200000000000006</v>
      </c>
      <c r="E14" s="301">
        <f t="shared" si="2"/>
        <v>0.57300000000000029</v>
      </c>
      <c r="F14" s="301">
        <f t="shared" si="2"/>
        <v>0.52149999999999996</v>
      </c>
      <c r="G14" s="301">
        <f t="shared" si="2"/>
        <v>0.59799999999999986</v>
      </c>
      <c r="H14" s="301">
        <f t="shared" si="2"/>
        <v>0.63190000000000002</v>
      </c>
      <c r="I14" s="301">
        <v>0.67</v>
      </c>
      <c r="K14" t="s">
        <v>231</v>
      </c>
      <c r="L14">
        <v>2</v>
      </c>
      <c r="M14">
        <v>0</v>
      </c>
      <c r="N14">
        <v>-4</v>
      </c>
      <c r="O14">
        <v>92.1</v>
      </c>
      <c r="P14">
        <v>77.5</v>
      </c>
      <c r="Q14">
        <v>92.6</v>
      </c>
      <c r="R14" s="138"/>
      <c r="S14" s="141"/>
    </row>
    <row r="15" spans="2:19" s="10" customFormat="1" ht="21.75" customHeight="1" thickBot="1" x14ac:dyDescent="0.2">
      <c r="B15" s="141" t="s">
        <v>253</v>
      </c>
      <c r="C15" s="221">
        <v>0.152</v>
      </c>
      <c r="D15" s="221">
        <v>0.17499999999999999</v>
      </c>
      <c r="E15" s="221">
        <v>0.192</v>
      </c>
      <c r="F15" s="221">
        <v>0.15580000000000002</v>
      </c>
      <c r="G15" s="221">
        <v>0.14180000000000001</v>
      </c>
      <c r="H15" s="406">
        <v>0.14399999999999999</v>
      </c>
      <c r="I15" s="406">
        <v>0.14399999999999999</v>
      </c>
      <c r="K15" s="297" t="s">
        <v>236</v>
      </c>
      <c r="L15">
        <v>31</v>
      </c>
      <c r="M15">
        <v>40</v>
      </c>
      <c r="N15">
        <v>38</v>
      </c>
      <c r="O15"/>
      <c r="P15"/>
      <c r="Q15"/>
      <c r="R15" s="141"/>
      <c r="S15" s="128"/>
    </row>
    <row r="16" spans="2:19" ht="14.25" customHeight="1" thickBot="1" x14ac:dyDescent="0.2">
      <c r="B16" s="128" t="s">
        <v>119</v>
      </c>
      <c r="C16" s="136"/>
      <c r="D16" s="136"/>
      <c r="E16" s="136"/>
      <c r="F16" s="136"/>
      <c r="G16" s="136"/>
      <c r="H16" s="14"/>
      <c r="I16" s="14"/>
      <c r="K16" s="23"/>
      <c r="L16" s="23">
        <f t="shared" ref="L16:Q16" si="3">L14+L15</f>
        <v>33</v>
      </c>
      <c r="M16" s="23">
        <f t="shared" si="3"/>
        <v>40</v>
      </c>
      <c r="N16" s="23">
        <f t="shared" si="3"/>
        <v>34</v>
      </c>
      <c r="O16" s="23">
        <f t="shared" si="3"/>
        <v>92.1</v>
      </c>
      <c r="P16" s="23">
        <f t="shared" si="3"/>
        <v>77.5</v>
      </c>
      <c r="Q16" s="23">
        <f t="shared" si="3"/>
        <v>92.6</v>
      </c>
      <c r="R16" s="128"/>
      <c r="S16" s="143"/>
    </row>
    <row r="17" spans="2:19" s="76" customFormat="1" ht="21.75" customHeight="1" thickBot="1" x14ac:dyDescent="0.2">
      <c r="B17" s="143" t="s">
        <v>254</v>
      </c>
      <c r="C17" s="132">
        <f t="shared" ref="C17:H17" si="4">C14-C15</f>
        <v>0.42699999999999994</v>
      </c>
      <c r="D17" s="132">
        <f t="shared" si="4"/>
        <v>0.39700000000000008</v>
      </c>
      <c r="E17" s="132">
        <f t="shared" si="4"/>
        <v>0.38100000000000028</v>
      </c>
      <c r="F17" s="132">
        <f t="shared" si="4"/>
        <v>0.36569999999999991</v>
      </c>
      <c r="G17" s="132">
        <f t="shared" si="4"/>
        <v>0.45619999999999983</v>
      </c>
      <c r="H17" s="132">
        <f t="shared" si="4"/>
        <v>0.4879</v>
      </c>
      <c r="I17" s="132">
        <f>I14-I15</f>
        <v>0.52600000000000002</v>
      </c>
      <c r="K17"/>
      <c r="L17"/>
      <c r="M17"/>
      <c r="N17"/>
      <c r="O17"/>
      <c r="P17"/>
      <c r="Q17"/>
      <c r="R17" s="143"/>
      <c r="S17" s="144"/>
    </row>
    <row r="18" spans="2:19" s="23" customFormat="1" ht="21.75" customHeight="1" x14ac:dyDescent="0.15">
      <c r="B18" s="144" t="s">
        <v>13</v>
      </c>
      <c r="C18" s="131">
        <v>6.4000000000000001E-2</v>
      </c>
      <c r="D18" s="131">
        <v>9.1999999999999998E-2</v>
      </c>
      <c r="E18" s="131">
        <v>5.8000000000000003E-2</v>
      </c>
      <c r="F18" s="131">
        <v>0.29389999999999999</v>
      </c>
      <c r="G18" s="131">
        <v>0.23139999999999999</v>
      </c>
      <c r="H18" s="131">
        <v>0.18109999999999998</v>
      </c>
      <c r="I18" s="131">
        <v>0.19</v>
      </c>
      <c r="K18" s="57" t="s">
        <v>237</v>
      </c>
      <c r="L18" s="57">
        <v>-29</v>
      </c>
      <c r="M18" s="57">
        <v>-47</v>
      </c>
      <c r="N18" s="57">
        <v>-56</v>
      </c>
      <c r="O18" s="57">
        <v>0</v>
      </c>
      <c r="P18" s="57">
        <v>0</v>
      </c>
      <c r="Q18" s="57">
        <v>0</v>
      </c>
      <c r="R18" s="144"/>
      <c r="S18" s="134"/>
    </row>
    <row r="19" spans="2:19" ht="21.75" customHeight="1" x14ac:dyDescent="0.15">
      <c r="B19" s="134" t="s">
        <v>14</v>
      </c>
      <c r="C19" s="136">
        <f t="shared" ref="C19:I19" si="5">C17-C18</f>
        <v>0.36299999999999993</v>
      </c>
      <c r="D19" s="136">
        <f t="shared" si="5"/>
        <v>0.30500000000000005</v>
      </c>
      <c r="E19" s="136">
        <f t="shared" si="5"/>
        <v>0.32300000000000029</v>
      </c>
      <c r="F19" s="136">
        <f t="shared" si="5"/>
        <v>7.1799999999999919E-2</v>
      </c>
      <c r="G19" s="136">
        <f t="shared" si="5"/>
        <v>0.22479999999999983</v>
      </c>
      <c r="H19" s="136">
        <f t="shared" si="5"/>
        <v>0.30680000000000002</v>
      </c>
      <c r="I19" s="136">
        <f t="shared" si="5"/>
        <v>0.33600000000000002</v>
      </c>
      <c r="K19" s="66" t="s">
        <v>240</v>
      </c>
      <c r="L19" s="66"/>
      <c r="M19" s="66"/>
      <c r="N19" s="57"/>
      <c r="O19" s="14">
        <v>258.5</v>
      </c>
      <c r="P19" s="136">
        <v>233.9</v>
      </c>
      <c r="Q19" s="137">
        <v>238.6</v>
      </c>
      <c r="R19" s="134"/>
      <c r="S19" s="145"/>
    </row>
    <row r="20" spans="2:19" s="10" customFormat="1" ht="21.75" customHeight="1" thickBot="1" x14ac:dyDescent="0.2">
      <c r="B20" s="145" t="s">
        <v>245</v>
      </c>
      <c r="C20" s="136">
        <f t="shared" ref="C20:H20" si="6">C22+C21-C19</f>
        <v>5.00000000000006E-3</v>
      </c>
      <c r="D20" s="136">
        <f t="shared" si="6"/>
        <v>-2.7000000000000024E-2</v>
      </c>
      <c r="E20" s="136">
        <f t="shared" si="6"/>
        <v>-3.2000000000000306E-2</v>
      </c>
      <c r="F20" s="136">
        <f t="shared" si="6"/>
        <v>3.5000000000000864E-3</v>
      </c>
      <c r="G20" s="136">
        <f t="shared" si="6"/>
        <v>-2.7899999999999814E-2</v>
      </c>
      <c r="H20" s="136">
        <f t="shared" si="6"/>
        <v>-1.1200000000000043E-2</v>
      </c>
      <c r="I20" s="136">
        <v>0</v>
      </c>
      <c r="J20" s="10" t="s">
        <v>235</v>
      </c>
      <c r="K20" s="190" t="s">
        <v>233</v>
      </c>
      <c r="L20" s="57">
        <v>0</v>
      </c>
      <c r="M20" s="57">
        <v>0</v>
      </c>
      <c r="N20" s="57">
        <v>0</v>
      </c>
      <c r="O20" s="295">
        <v>132.9</v>
      </c>
      <c r="P20" s="295">
        <f>124.9</f>
        <v>124.9</v>
      </c>
      <c r="Q20" s="295">
        <v>103.3</v>
      </c>
      <c r="R20" s="145"/>
      <c r="S20" s="145"/>
    </row>
    <row r="21" spans="2:19" s="10" customFormat="1" ht="21.75" customHeight="1" thickBot="1" x14ac:dyDescent="0.2">
      <c r="B21" s="145" t="s">
        <v>130</v>
      </c>
      <c r="C21" s="136">
        <v>0.106</v>
      </c>
      <c r="D21" s="136">
        <v>5.6000000000000001E-2</v>
      </c>
      <c r="E21" s="136">
        <v>5.0999999999999997E-2</v>
      </c>
      <c r="F21" s="136">
        <v>-2.1899999999999999E-2</v>
      </c>
      <c r="G21" s="136">
        <v>4.6600000000000003E-2</v>
      </c>
      <c r="H21" s="400">
        <v>8.9799999999999991E-2</v>
      </c>
      <c r="I21" s="400">
        <v>0.08</v>
      </c>
      <c r="K21" t="s">
        <v>234</v>
      </c>
      <c r="L21" s="57">
        <v>0</v>
      </c>
      <c r="M21" s="57">
        <v>0</v>
      </c>
      <c r="N21" s="57">
        <v>0</v>
      </c>
      <c r="O21"/>
      <c r="P21">
        <v>-17</v>
      </c>
      <c r="Q21">
        <f>-21.5+0.4</f>
        <v>-21.1</v>
      </c>
      <c r="R21" s="145"/>
      <c r="S21" s="130"/>
    </row>
    <row r="22" spans="2:19" s="10" customFormat="1" ht="21.75" customHeight="1" thickBot="1" x14ac:dyDescent="0.2">
      <c r="B22" s="130" t="s">
        <v>203</v>
      </c>
      <c r="C22" s="132">
        <v>0.26200000000000001</v>
      </c>
      <c r="D22" s="132">
        <v>0.222</v>
      </c>
      <c r="E22" s="132">
        <v>0.24</v>
      </c>
      <c r="F22" s="132">
        <v>9.7200000000000009E-2</v>
      </c>
      <c r="G22" s="132">
        <v>0.15030000000000002</v>
      </c>
      <c r="H22" s="132">
        <v>0.20580000000000001</v>
      </c>
      <c r="I22" s="132">
        <v>0.25</v>
      </c>
      <c r="K22"/>
      <c r="L22"/>
      <c r="M22"/>
      <c r="N22"/>
      <c r="O22" s="296">
        <f>O19-O20-O21</f>
        <v>125.6</v>
      </c>
      <c r="P22" s="296">
        <f>P19-P20-P21</f>
        <v>126</v>
      </c>
      <c r="Q22" s="296">
        <f>Q19-Q20-Q21</f>
        <v>156.4</v>
      </c>
      <c r="R22" s="130"/>
      <c r="S22" s="145"/>
    </row>
    <row r="23" spans="2:19" s="10" customFormat="1" ht="21.75" customHeight="1" thickBot="1" x14ac:dyDescent="0.2">
      <c r="B23" s="145" t="s">
        <v>204</v>
      </c>
      <c r="C23" s="131">
        <v>2E-3</v>
      </c>
      <c r="D23" s="131">
        <v>2E-3</v>
      </c>
      <c r="E23" s="131">
        <v>2E-3</v>
      </c>
      <c r="F23" s="131">
        <v>8.9999999999999998E-4</v>
      </c>
      <c r="G23" s="131">
        <v>1.1999999999999999E-3</v>
      </c>
      <c r="H23" s="131">
        <v>2.3999999999999998E-3</v>
      </c>
      <c r="I23" s="131">
        <v>2.3999999999999998E-3</v>
      </c>
      <c r="R23" s="145"/>
      <c r="S23" s="145"/>
    </row>
    <row r="24" spans="2:19" s="10" customFormat="1" ht="21.75" customHeight="1" thickTop="1" thickBot="1" x14ac:dyDescent="0.2">
      <c r="B24" s="145" t="s">
        <v>205</v>
      </c>
      <c r="C24" s="136">
        <v>4.0000000000000001E-3</v>
      </c>
      <c r="D24" s="136">
        <v>3.0000000000000001E-3</v>
      </c>
      <c r="E24" s="136">
        <v>4.0000000000000001E-3</v>
      </c>
      <c r="F24" s="136">
        <v>2.3999999999999998E-3</v>
      </c>
      <c r="G24" s="136">
        <v>2.5999999999999999E-3</v>
      </c>
      <c r="H24" s="313">
        <v>1.2999999999999999E-3</v>
      </c>
      <c r="I24" s="313">
        <v>1.2999999999999999E-3</v>
      </c>
      <c r="L24" s="10">
        <v>-3</v>
      </c>
      <c r="M24" s="10">
        <v>-3</v>
      </c>
      <c r="N24" s="10">
        <v>6</v>
      </c>
      <c r="O24" s="10">
        <v>0</v>
      </c>
      <c r="P24" s="10">
        <v>-50.7</v>
      </c>
      <c r="Q24" s="10">
        <v>0</v>
      </c>
      <c r="R24" s="145"/>
      <c r="S24" s="148"/>
    </row>
    <row r="25" spans="2:19" s="16" customFormat="1" ht="28.5" customHeight="1" thickTop="1" x14ac:dyDescent="0.15">
      <c r="B25" s="148" t="s">
        <v>207</v>
      </c>
      <c r="C25" s="150">
        <f t="shared" ref="C25:I25" si="7">C22-C23+C24</f>
        <v>0.26400000000000001</v>
      </c>
      <c r="D25" s="150">
        <f t="shared" si="7"/>
        <v>0.223</v>
      </c>
      <c r="E25" s="150">
        <f t="shared" si="7"/>
        <v>0.24199999999999999</v>
      </c>
      <c r="F25" s="150">
        <f t="shared" si="7"/>
        <v>9.870000000000001E-2</v>
      </c>
      <c r="G25" s="150">
        <f t="shared" si="7"/>
        <v>0.1517</v>
      </c>
      <c r="H25" s="150">
        <f t="shared" si="7"/>
        <v>0.20469999999999999</v>
      </c>
      <c r="I25" s="150">
        <f t="shared" si="7"/>
        <v>0.24889999999999998</v>
      </c>
      <c r="K25" s="10"/>
      <c r="L25" s="10">
        <v>-23</v>
      </c>
      <c r="M25" s="10">
        <v>-46</v>
      </c>
      <c r="N25" s="10">
        <v>-72</v>
      </c>
      <c r="O25" s="10">
        <v>3.5</v>
      </c>
      <c r="P25" s="10">
        <v>5.8</v>
      </c>
      <c r="Q25" s="10">
        <v>-32.299999999999997</v>
      </c>
      <c r="R25" s="408"/>
    </row>
    <row r="26" spans="2:19" s="16" customFormat="1" ht="21.75" customHeight="1" x14ac:dyDescent="0.15">
      <c r="B26" s="71"/>
      <c r="C26" s="300"/>
      <c r="D26" s="300"/>
      <c r="E26" s="300"/>
      <c r="F26" s="300"/>
      <c r="G26" s="300"/>
      <c r="H26" s="300"/>
      <c r="I26" s="300"/>
      <c r="K26" s="10"/>
      <c r="L26" s="10"/>
      <c r="M26" s="10">
        <v>-18</v>
      </c>
      <c r="N26" s="10">
        <v>-4</v>
      </c>
      <c r="O26" s="10"/>
      <c r="P26" s="10"/>
      <c r="Q26" s="10"/>
      <c r="R26" s="66"/>
    </row>
    <row r="27" spans="2:19" s="16" customFormat="1" ht="16.5" customHeight="1" x14ac:dyDescent="0.15">
      <c r="B27" s="71"/>
      <c r="C27" s="300"/>
      <c r="D27" s="300"/>
      <c r="E27" s="300"/>
      <c r="F27" s="300"/>
      <c r="G27" s="300"/>
      <c r="H27" s="300"/>
      <c r="I27" s="300"/>
      <c r="K27" s="16" t="s">
        <v>241</v>
      </c>
      <c r="L27">
        <v>31</v>
      </c>
      <c r="M27">
        <v>40</v>
      </c>
      <c r="N27">
        <v>38</v>
      </c>
    </row>
    <row r="28" spans="2:19" s="16" customFormat="1" ht="23" x14ac:dyDescent="0.25">
      <c r="B28" s="293" t="s">
        <v>255</v>
      </c>
      <c r="K28" s="16" t="s">
        <v>230</v>
      </c>
      <c r="O28" s="298">
        <v>-132.9</v>
      </c>
      <c r="P28" s="298">
        <v>-124.9</v>
      </c>
      <c r="Q28" s="298">
        <v>-103.3</v>
      </c>
      <c r="R28" s="66"/>
      <c r="S28"/>
    </row>
    <row r="29" spans="2:19" s="16" customFormat="1" ht="23" x14ac:dyDescent="0.25">
      <c r="B29" s="152"/>
      <c r="K29" s="16" t="s">
        <v>232</v>
      </c>
      <c r="P29">
        <v>-17</v>
      </c>
      <c r="Q29">
        <f>-21.5+0.4</f>
        <v>-21.1</v>
      </c>
      <c r="R29" s="66"/>
      <c r="S29" s="57"/>
    </row>
    <row r="30" spans="2:19" ht="21.75" customHeight="1" thickBot="1" x14ac:dyDescent="0.2">
      <c r="B30" s="154"/>
      <c r="C30" s="126">
        <v>36861</v>
      </c>
      <c r="D30" s="126">
        <f>C30+365</f>
        <v>37226</v>
      </c>
      <c r="E30" s="126">
        <f>D30+370</f>
        <v>37596</v>
      </c>
      <c r="F30" s="126">
        <f>E30+370</f>
        <v>37966</v>
      </c>
      <c r="G30" s="126">
        <f>F30+370</f>
        <v>38336</v>
      </c>
      <c r="H30" s="126">
        <f>G30+370</f>
        <v>38706</v>
      </c>
      <c r="I30" s="127">
        <f>H30+370</f>
        <v>39076</v>
      </c>
      <c r="K30" s="16"/>
      <c r="L30" s="299">
        <f t="shared" ref="L30:Q30" si="8">L24+L25+L26+L27+L28+L29</f>
        <v>5</v>
      </c>
      <c r="M30" s="299">
        <f t="shared" si="8"/>
        <v>-27</v>
      </c>
      <c r="N30" s="299">
        <f t="shared" si="8"/>
        <v>-32</v>
      </c>
      <c r="O30" s="299">
        <f t="shared" si="8"/>
        <v>-129.4</v>
      </c>
      <c r="P30" s="299">
        <f t="shared" si="8"/>
        <v>-186.8</v>
      </c>
      <c r="Q30" s="299">
        <f t="shared" si="8"/>
        <v>-156.69999999999999</v>
      </c>
      <c r="R30" s="57"/>
      <c r="S30" s="57"/>
    </row>
    <row r="31" spans="2:19" ht="21.75" customHeight="1" outlineLevel="1" x14ac:dyDescent="0.15">
      <c r="B31" s="128" t="s">
        <v>0</v>
      </c>
      <c r="C31" s="57"/>
      <c r="D31" s="57"/>
      <c r="E31" s="57"/>
      <c r="F31" s="57"/>
      <c r="G31" s="57"/>
      <c r="H31" s="317"/>
      <c r="I31" s="155"/>
      <c r="R31" s="57"/>
      <c r="S31" s="105"/>
    </row>
    <row r="32" spans="2:19" ht="21.75" customHeight="1" outlineLevel="1" x14ac:dyDescent="0.15">
      <c r="B32" s="128" t="s">
        <v>1</v>
      </c>
      <c r="C32" s="57"/>
      <c r="D32" s="57"/>
      <c r="E32" s="57"/>
      <c r="F32" s="57"/>
      <c r="G32" s="57"/>
      <c r="H32" s="57"/>
      <c r="I32" s="137"/>
      <c r="R32" s="57"/>
      <c r="S32" s="107"/>
    </row>
    <row r="33" spans="2:19" ht="21.75" customHeight="1" x14ac:dyDescent="0.15">
      <c r="B33" s="157" t="s">
        <v>243</v>
      </c>
      <c r="C33" s="158">
        <f t="shared" ref="C33:I33" si="9">C7/C7</f>
        <v>1</v>
      </c>
      <c r="D33" s="158">
        <f t="shared" si="9"/>
        <v>1</v>
      </c>
      <c r="E33" s="158">
        <f t="shared" si="9"/>
        <v>1</v>
      </c>
      <c r="F33" s="158">
        <f t="shared" si="9"/>
        <v>1</v>
      </c>
      <c r="G33" s="158">
        <f t="shared" si="9"/>
        <v>1</v>
      </c>
      <c r="H33" s="158">
        <f t="shared" si="9"/>
        <v>1</v>
      </c>
      <c r="I33" s="159">
        <f t="shared" si="9"/>
        <v>1</v>
      </c>
      <c r="R33" s="105"/>
      <c r="S33" s="107"/>
    </row>
    <row r="34" spans="2:19" ht="21.75" customHeight="1" x14ac:dyDescent="0.15">
      <c r="B34" s="134" t="s">
        <v>228</v>
      </c>
      <c r="C34" s="160">
        <f t="shared" ref="C34:H34" si="10">C8/C7</f>
        <v>0.54983922829581988</v>
      </c>
      <c r="D34" s="160">
        <f t="shared" si="10"/>
        <v>0.56459948320413433</v>
      </c>
      <c r="E34" s="160">
        <f t="shared" si="10"/>
        <v>0.55555555555555547</v>
      </c>
      <c r="F34" s="160">
        <f t="shared" si="10"/>
        <v>0.52277500181041359</v>
      </c>
      <c r="G34" s="160">
        <f t="shared" si="10"/>
        <v>0.51454054608208322</v>
      </c>
      <c r="H34" s="160">
        <f t="shared" si="10"/>
        <v>0.51584100495704921</v>
      </c>
      <c r="I34" s="306">
        <v>0.504</v>
      </c>
      <c r="R34" s="107"/>
      <c r="S34" s="107"/>
    </row>
    <row r="35" spans="2:19" ht="21.75" customHeight="1" x14ac:dyDescent="0.15">
      <c r="B35" s="134" t="s">
        <v>229</v>
      </c>
      <c r="C35" s="328">
        <f t="shared" ref="C35:H35" si="11">C9/C7</f>
        <v>0.29117541979278311</v>
      </c>
      <c r="D35" s="328">
        <f t="shared" si="11"/>
        <v>0.29392764857881137</v>
      </c>
      <c r="E35" s="328">
        <f t="shared" si="11"/>
        <v>0.28552188552188551</v>
      </c>
      <c r="F35" s="328">
        <f t="shared" si="11"/>
        <v>0.27590701716271998</v>
      </c>
      <c r="G35" s="328">
        <f t="shared" si="11"/>
        <v>0.27577486928886308</v>
      </c>
      <c r="H35" s="328">
        <f t="shared" si="11"/>
        <v>0.2914806490347609</v>
      </c>
      <c r="I35" s="156">
        <v>0.3</v>
      </c>
      <c r="R35" s="107"/>
      <c r="S35" s="108"/>
    </row>
    <row r="36" spans="2:19" ht="21.75" customHeight="1" x14ac:dyDescent="0.15">
      <c r="B36" s="138" t="s">
        <v>244</v>
      </c>
      <c r="C36" s="107">
        <f t="shared" ref="C36:H36" si="12">C10/C7</f>
        <v>0.45016077170418006</v>
      </c>
      <c r="D36" s="107">
        <f t="shared" si="12"/>
        <v>0.43540051679586567</v>
      </c>
      <c r="E36" s="107">
        <f t="shared" si="12"/>
        <v>0.44444444444444453</v>
      </c>
      <c r="F36" s="107">
        <f t="shared" si="12"/>
        <v>0.47722499818958641</v>
      </c>
      <c r="G36" s="107">
        <f t="shared" si="12"/>
        <v>0.48545945391791678</v>
      </c>
      <c r="H36" s="107">
        <f t="shared" si="12"/>
        <v>0.48415899504295085</v>
      </c>
      <c r="I36" s="159">
        <v>0.496</v>
      </c>
      <c r="R36" s="107"/>
      <c r="S36" s="108"/>
    </row>
    <row r="37" spans="2:19" ht="19.5" customHeight="1" x14ac:dyDescent="0.15">
      <c r="B37" s="138" t="s">
        <v>250</v>
      </c>
      <c r="C37" s="26">
        <f t="shared" ref="C37:H37" si="13">C11/C7</f>
        <v>0.18756698821007503</v>
      </c>
      <c r="D37" s="26">
        <f t="shared" si="13"/>
        <v>0.19379844961240308</v>
      </c>
      <c r="E37" s="26">
        <f t="shared" si="13"/>
        <v>0.19326599326599322</v>
      </c>
      <c r="F37" s="26">
        <f t="shared" si="13"/>
        <v>0.2095734665797668</v>
      </c>
      <c r="G37" s="26">
        <f t="shared" si="13"/>
        <v>0.21156409117315381</v>
      </c>
      <c r="H37" s="26">
        <f t="shared" si="13"/>
        <v>0.21293759044305552</v>
      </c>
      <c r="I37" s="306">
        <v>0.224</v>
      </c>
      <c r="R37" s="108"/>
      <c r="S37" s="107"/>
    </row>
    <row r="38" spans="2:19" ht="21.75" customHeight="1" x14ac:dyDescent="0.15">
      <c r="B38" s="134" t="s">
        <v>251</v>
      </c>
      <c r="C38" s="26">
        <f t="shared" ref="C38:H38" si="14">C12/C7</f>
        <v>4.3944265809217578E-2</v>
      </c>
      <c r="D38" s="26">
        <f t="shared" si="14"/>
        <v>4.3927648578811374E-2</v>
      </c>
      <c r="E38" s="26">
        <f t="shared" si="14"/>
        <v>4.6801346801346802E-2</v>
      </c>
      <c r="F38" s="26">
        <f t="shared" si="14"/>
        <v>4.5477587080889267E-2</v>
      </c>
      <c r="G38" s="26">
        <f t="shared" si="14"/>
        <v>4.3057786283019511E-2</v>
      </c>
      <c r="H38" s="26">
        <f t="shared" si="14"/>
        <v>4.8154191939407003E-2</v>
      </c>
      <c r="I38" s="329">
        <f>I12/I7</f>
        <v>6.4171122994652399E-2</v>
      </c>
      <c r="R38" s="108"/>
      <c r="S38" s="108"/>
    </row>
    <row r="39" spans="2:19" ht="21.75" customHeight="1" x14ac:dyDescent="0.15">
      <c r="B39" s="134" t="s">
        <v>252</v>
      </c>
      <c r="C39" s="107">
        <f t="shared" ref="C39:H39" si="15">C13/C7</f>
        <v>1.1789924973204717E-2</v>
      </c>
      <c r="D39" s="107">
        <f t="shared" si="15"/>
        <v>1.2919896640826873E-2</v>
      </c>
      <c r="E39" s="107">
        <f t="shared" si="15"/>
        <v>1.1447811447811448E-2</v>
      </c>
      <c r="F39" s="107">
        <f t="shared" si="15"/>
        <v>3.3347816641320874E-2</v>
      </c>
      <c r="G39" s="107">
        <f t="shared" si="15"/>
        <v>2.6483955848682638E-2</v>
      </c>
      <c r="H39" s="107">
        <f t="shared" si="15"/>
        <v>2.8510730010160409E-2</v>
      </c>
      <c r="I39" s="163">
        <f>I13/I7</f>
        <v>2.9411764705882353E-2</v>
      </c>
      <c r="R39" s="107"/>
      <c r="S39" s="108"/>
    </row>
    <row r="40" spans="2:19" ht="21.75" customHeight="1" x14ac:dyDescent="0.15">
      <c r="B40" s="138" t="s">
        <v>9</v>
      </c>
      <c r="C40" s="26">
        <f t="shared" ref="C40:H40" si="16">C14/C7</f>
        <v>0.20685959271168272</v>
      </c>
      <c r="D40" s="26">
        <f t="shared" si="16"/>
        <v>0.1847545219638243</v>
      </c>
      <c r="E40" s="26">
        <f t="shared" si="16"/>
        <v>0.19292929292929301</v>
      </c>
      <c r="F40" s="26">
        <f t="shared" si="16"/>
        <v>0.18882612788760952</v>
      </c>
      <c r="G40" s="26">
        <f t="shared" si="16"/>
        <v>0.20435362061306081</v>
      </c>
      <c r="H40" s="26">
        <f t="shared" si="16"/>
        <v>0.19455648265032791</v>
      </c>
      <c r="I40" s="164">
        <v>0.18</v>
      </c>
      <c r="R40" s="108"/>
      <c r="S40" s="57"/>
    </row>
    <row r="41" spans="2:19" x14ac:dyDescent="0.15">
      <c r="B41" s="141" t="s">
        <v>253</v>
      </c>
      <c r="C41" s="26">
        <f t="shared" ref="C41:H41" si="17">C15/C7</f>
        <v>5.4305108967488386E-2</v>
      </c>
      <c r="D41" s="26">
        <f t="shared" si="17"/>
        <v>5.6524547803617563E-2</v>
      </c>
      <c r="E41" s="26">
        <f t="shared" si="17"/>
        <v>6.4646464646464646E-2</v>
      </c>
      <c r="F41" s="26">
        <f t="shared" si="17"/>
        <v>5.6412484611485271E-2</v>
      </c>
      <c r="G41" s="26">
        <f t="shared" si="17"/>
        <v>4.8457095991525138E-2</v>
      </c>
      <c r="H41" s="26">
        <f t="shared" si="17"/>
        <v>4.4336340404569102E-2</v>
      </c>
      <c r="I41" s="164">
        <v>3.7999999999999999E-2</v>
      </c>
      <c r="R41" s="108"/>
      <c r="S41" s="166"/>
    </row>
    <row r="42" spans="2:19" ht="14" thickBot="1" x14ac:dyDescent="0.2">
      <c r="B42" s="128" t="s">
        <v>119</v>
      </c>
      <c r="C42" s="57"/>
      <c r="D42" s="57"/>
      <c r="E42" s="57"/>
      <c r="F42" s="57"/>
      <c r="G42" s="57"/>
      <c r="H42" s="57"/>
      <c r="I42" s="156"/>
      <c r="R42" s="57"/>
      <c r="S42" s="109"/>
    </row>
    <row r="43" spans="2:19" ht="21.75" customHeight="1" thickTop="1" thickBot="1" x14ac:dyDescent="0.2">
      <c r="B43" s="165" t="s">
        <v>256</v>
      </c>
      <c r="C43" s="167">
        <f t="shared" ref="C43:H43" si="18">C17/C7</f>
        <v>0.15255448374419434</v>
      </c>
      <c r="D43" s="167">
        <f t="shared" si="18"/>
        <v>0.12822997416020673</v>
      </c>
      <c r="E43" s="167">
        <f t="shared" si="18"/>
        <v>0.12828282828282836</v>
      </c>
      <c r="F43" s="167">
        <f t="shared" si="18"/>
        <v>0.13241364327612423</v>
      </c>
      <c r="G43" s="167">
        <f t="shared" si="18"/>
        <v>0.15589652462153566</v>
      </c>
      <c r="H43" s="167">
        <f t="shared" si="18"/>
        <v>0.1502201422457588</v>
      </c>
      <c r="I43" s="168">
        <v>0.14199999999999999</v>
      </c>
      <c r="R43" s="166"/>
      <c r="S43" s="109"/>
    </row>
    <row r="44" spans="2:19" ht="21.75" customHeight="1" thickTop="1" x14ac:dyDescent="0.15">
      <c r="B44" s="144" t="s">
        <v>13</v>
      </c>
      <c r="C44" s="109">
        <f t="shared" ref="C44:H44" si="19">C18/C7</f>
        <v>2.2865309038942482E-2</v>
      </c>
      <c r="D44" s="109">
        <f t="shared" si="19"/>
        <v>2.9715762273901807E-2</v>
      </c>
      <c r="E44" s="109">
        <f t="shared" si="19"/>
        <v>1.9528619528619527E-2</v>
      </c>
      <c r="F44" s="109">
        <f t="shared" si="19"/>
        <v>0.10641610543848215</v>
      </c>
      <c r="G44" s="109">
        <f t="shared" si="19"/>
        <v>7.9075966237227902E-2</v>
      </c>
      <c r="H44" s="109">
        <f t="shared" si="19"/>
        <v>5.5759105883801834E-2</v>
      </c>
      <c r="I44" s="169">
        <f>I18/I7</f>
        <v>5.080213903743315E-2</v>
      </c>
      <c r="R44" s="109"/>
      <c r="S44" s="108"/>
    </row>
    <row r="45" spans="2:19" ht="21.75" customHeight="1" x14ac:dyDescent="0.15">
      <c r="B45" s="134" t="s">
        <v>14</v>
      </c>
      <c r="C45" s="109">
        <f t="shared" ref="C45:H45" si="20">C19/C7</f>
        <v>0.12968917470525185</v>
      </c>
      <c r="D45" s="109">
        <f t="shared" si="20"/>
        <v>9.8514211886304923E-2</v>
      </c>
      <c r="E45" s="109">
        <f t="shared" si="20"/>
        <v>0.10875420875420884</v>
      </c>
      <c r="F45" s="109">
        <f t="shared" si="20"/>
        <v>2.5997537837642089E-2</v>
      </c>
      <c r="G45" s="109">
        <f t="shared" si="20"/>
        <v>7.6820558384307777E-2</v>
      </c>
      <c r="H45" s="109">
        <f t="shared" si="20"/>
        <v>9.4461036361956963E-2</v>
      </c>
      <c r="I45" s="409">
        <f>I19/I7</f>
        <v>8.9839572192513373E-2</v>
      </c>
      <c r="R45" s="109"/>
      <c r="S45" s="108"/>
    </row>
    <row r="46" spans="2:19" ht="21.75" customHeight="1" x14ac:dyDescent="0.15">
      <c r="B46" s="145" t="s">
        <v>245</v>
      </c>
      <c r="C46" s="108">
        <f t="shared" ref="C46:H46" si="21">C20/C7</f>
        <v>1.7863522686674027E-3</v>
      </c>
      <c r="D46" s="108">
        <f t="shared" si="21"/>
        <v>-8.7209302325581464E-3</v>
      </c>
      <c r="E46" s="108">
        <f t="shared" si="21"/>
        <v>-1.0774410774410877E-2</v>
      </c>
      <c r="F46" s="108">
        <f t="shared" si="21"/>
        <v>1.2672894489101623E-3</v>
      </c>
      <c r="G46" s="108">
        <f t="shared" si="21"/>
        <v>-9.5342241055256863E-3</v>
      </c>
      <c r="H46" s="108">
        <f t="shared" si="21"/>
        <v>-3.4483820314664994E-3</v>
      </c>
      <c r="I46" s="410">
        <f>I20/I7</f>
        <v>0</v>
      </c>
      <c r="R46" s="108"/>
      <c r="S46" s="405"/>
    </row>
    <row r="47" spans="2:19" ht="21.75" customHeight="1" thickBot="1" x14ac:dyDescent="0.2">
      <c r="B47" s="145" t="s">
        <v>130</v>
      </c>
      <c r="C47" s="108">
        <f t="shared" ref="C47:H47" si="22">C21/C7</f>
        <v>3.7870668095748482E-2</v>
      </c>
      <c r="D47" s="108">
        <f t="shared" si="22"/>
        <v>1.8087855297157621E-2</v>
      </c>
      <c r="E47" s="108">
        <f t="shared" si="22"/>
        <v>1.7171717171717168E-2</v>
      </c>
      <c r="F47" s="108">
        <f t="shared" si="22"/>
        <v>-7.9296111231805348E-3</v>
      </c>
      <c r="G47" s="108">
        <f t="shared" si="22"/>
        <v>1.592454635546595E-2</v>
      </c>
      <c r="H47" s="108">
        <f t="shared" si="22"/>
        <v>2.7648634502293788E-2</v>
      </c>
      <c r="I47" s="170">
        <v>2.1999999999999999E-2</v>
      </c>
      <c r="R47" s="108"/>
      <c r="S47" s="108"/>
    </row>
    <row r="48" spans="2:19" ht="21.75" customHeight="1" thickTop="1" thickBot="1" x14ac:dyDescent="0.2">
      <c r="B48" s="171" t="s">
        <v>203</v>
      </c>
      <c r="C48" s="173">
        <f t="shared" ref="C48:H48" si="23">C22/C7</f>
        <v>9.3604858878170785E-2</v>
      </c>
      <c r="D48" s="173">
        <f t="shared" si="23"/>
        <v>7.170542635658915E-2</v>
      </c>
      <c r="E48" s="173">
        <f t="shared" si="23"/>
        <v>8.0808080808080801E-2</v>
      </c>
      <c r="F48" s="173">
        <f t="shared" si="23"/>
        <v>3.5194438409732784E-2</v>
      </c>
      <c r="G48" s="173">
        <f t="shared" si="23"/>
        <v>5.1361787923316138E-2</v>
      </c>
      <c r="H48" s="173">
        <f t="shared" si="23"/>
        <v>6.3364019828196685E-2</v>
      </c>
      <c r="I48" s="174">
        <v>6.8000000000000005E-2</v>
      </c>
      <c r="R48" s="405"/>
      <c r="S48" s="108"/>
    </row>
    <row r="49" spans="2:19" ht="21.75" customHeight="1" thickTop="1" x14ac:dyDescent="0.15">
      <c r="B49" s="145" t="s">
        <v>204</v>
      </c>
      <c r="C49" s="108">
        <f t="shared" ref="C49:H49" si="24">C23/C7</f>
        <v>7.1454090746695255E-4</v>
      </c>
      <c r="D49" s="108">
        <f t="shared" si="24"/>
        <v>6.459948320413437E-4</v>
      </c>
      <c r="E49" s="108">
        <f t="shared" si="24"/>
        <v>6.7340067340067333E-4</v>
      </c>
      <c r="F49" s="108">
        <f t="shared" si="24"/>
        <v>3.2587442971974799E-4</v>
      </c>
      <c r="G49" s="108">
        <f t="shared" si="24"/>
        <v>4.1007415507637629E-4</v>
      </c>
      <c r="H49" s="108">
        <f t="shared" si="24"/>
        <v>7.3893900674281842E-4</v>
      </c>
      <c r="I49" s="170">
        <f>I23/I7</f>
        <v>6.4171122994652395E-4</v>
      </c>
      <c r="R49" s="108"/>
      <c r="S49" s="405"/>
    </row>
    <row r="50" spans="2:19" s="10" customFormat="1" ht="21.75" customHeight="1" thickBot="1" x14ac:dyDescent="0.2">
      <c r="B50" s="145" t="s">
        <v>205</v>
      </c>
      <c r="C50" s="108">
        <f t="shared" ref="C50:H50" si="25">C24/C7</f>
        <v>1.4290818149339051E-3</v>
      </c>
      <c r="D50" s="108">
        <f t="shared" si="25"/>
        <v>9.6899224806201549E-4</v>
      </c>
      <c r="E50" s="108">
        <f t="shared" si="25"/>
        <v>1.3468013468013467E-3</v>
      </c>
      <c r="F50" s="108">
        <f t="shared" si="25"/>
        <v>8.6899847925266127E-4</v>
      </c>
      <c r="G50" s="108">
        <f t="shared" si="25"/>
        <v>8.8849400266548197E-4</v>
      </c>
      <c r="H50" s="108">
        <f t="shared" si="25"/>
        <v>4.0025862865235995E-4</v>
      </c>
      <c r="I50" s="170">
        <f>I24/I7</f>
        <v>3.475935828877005E-4</v>
      </c>
      <c r="R50" s="108"/>
      <c r="S50" s="78"/>
    </row>
    <row r="51" spans="2:19" s="10" customFormat="1" ht="21.75" customHeight="1" thickTop="1" x14ac:dyDescent="0.15">
      <c r="B51" s="175" t="s">
        <v>207</v>
      </c>
      <c r="C51" s="177">
        <f t="shared" ref="C51:H51" si="26">C25/C7</f>
        <v>9.4319399785637734E-2</v>
      </c>
      <c r="D51" s="177">
        <f t="shared" si="26"/>
        <v>7.2028423772609818E-2</v>
      </c>
      <c r="E51" s="177">
        <f t="shared" si="26"/>
        <v>8.1481481481481474E-2</v>
      </c>
      <c r="F51" s="177">
        <f t="shared" si="26"/>
        <v>3.5737562459265702E-2</v>
      </c>
      <c r="G51" s="177">
        <f>G25/G7</f>
        <v>5.1840207770905242E-2</v>
      </c>
      <c r="H51" s="177">
        <f t="shared" si="26"/>
        <v>6.3025339450106216E-2</v>
      </c>
      <c r="I51" s="178">
        <f>I25/I7</f>
        <v>6.6550802139037427E-2</v>
      </c>
      <c r="R51" s="405"/>
      <c r="S51" s="78"/>
    </row>
    <row r="52" spans="2:19" s="16" customFormat="1" ht="21.75" customHeight="1" x14ac:dyDescent="0.15">
      <c r="R52" s="66"/>
      <c r="S52" s="66"/>
    </row>
    <row r="53" spans="2:19" x14ac:dyDescent="0.15">
      <c r="R53" s="57"/>
      <c r="S53" s="57"/>
    </row>
    <row r="54" spans="2:19" x14ac:dyDescent="0.15">
      <c r="R54" s="57"/>
      <c r="S54" s="57"/>
    </row>
    <row r="55" spans="2:19" x14ac:dyDescent="0.15">
      <c r="R55" s="57"/>
      <c r="S55" s="57"/>
    </row>
    <row r="56" spans="2:19" x14ac:dyDescent="0.15">
      <c r="R56" s="57"/>
      <c r="S56" s="57"/>
    </row>
    <row r="57" spans="2:19" x14ac:dyDescent="0.15">
      <c r="R57" s="57"/>
      <c r="S57" s="57"/>
    </row>
    <row r="58" spans="2:19" x14ac:dyDescent="0.15">
      <c r="R58" s="57"/>
      <c r="S58" s="57"/>
    </row>
    <row r="59" spans="2:19" x14ac:dyDescent="0.15">
      <c r="R59" s="57"/>
      <c r="S59" s="57"/>
    </row>
    <row r="60" spans="2:19" x14ac:dyDescent="0.15">
      <c r="R60" s="57"/>
      <c r="S60" s="57"/>
    </row>
    <row r="61" spans="2:19" x14ac:dyDescent="0.15">
      <c r="R61" s="57"/>
      <c r="S61" s="57"/>
    </row>
    <row r="62" spans="2:19" x14ac:dyDescent="0.15">
      <c r="R62" s="57"/>
      <c r="S62" s="57"/>
    </row>
    <row r="63" spans="2:19" x14ac:dyDescent="0.15">
      <c r="R63" s="57"/>
      <c r="S63" s="57"/>
    </row>
    <row r="64" spans="2:19" x14ac:dyDescent="0.15">
      <c r="R64" s="57"/>
      <c r="S64" s="57"/>
    </row>
    <row r="65" spans="18:19" x14ac:dyDescent="0.15">
      <c r="R65" s="57"/>
      <c r="S65" s="57"/>
    </row>
    <row r="66" spans="18:19" x14ac:dyDescent="0.15">
      <c r="R66" s="57"/>
      <c r="S66" s="57"/>
    </row>
    <row r="67" spans="18:19" x14ac:dyDescent="0.15">
      <c r="R67" s="57"/>
      <c r="S67" s="57"/>
    </row>
    <row r="68" spans="18:19" x14ac:dyDescent="0.15">
      <c r="S68" s="57"/>
    </row>
    <row r="69" spans="18:19" x14ac:dyDescent="0.15">
      <c r="S69" s="57"/>
    </row>
    <row r="70" spans="18:19" x14ac:dyDescent="0.15">
      <c r="S70" s="57"/>
    </row>
    <row r="71" spans="18:19" x14ac:dyDescent="0.15">
      <c r="S71" s="57"/>
    </row>
  </sheetData>
  <phoneticPr fontId="0" type="noConversion"/>
  <printOptions verticalCentered="1"/>
  <pageMargins left="0.78740157480314965" right="0.78740157480314965" top="0.98425196850393704" bottom="0.98425196850393704" header="0.51181102362204722" footer="0.51181102362204722"/>
  <pageSetup paperSize="9" scale="88" orientation="landscape"/>
  <rowBreaks count="1" manualBreakCount="1">
    <brk id="26" max="16383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P28"/>
  <sheetViews>
    <sheetView workbookViewId="0">
      <pane xSplit="2" topLeftCell="C1" activePane="topRight" state="frozen"/>
      <selection activeCell="K13" sqref="K13"/>
      <selection pane="topRight" activeCell="K23" sqref="K23"/>
    </sheetView>
  </sheetViews>
  <sheetFormatPr baseColWidth="10" defaultColWidth="11.5" defaultRowHeight="13" outlineLevelCol="1" x14ac:dyDescent="0.15"/>
  <cols>
    <col min="1" max="1" width="2.83203125" customWidth="1"/>
    <col min="2" max="2" width="43.6640625" customWidth="1"/>
    <col min="3" max="3" width="11.5" customWidth="1" outlineLevel="1"/>
  </cols>
  <sheetData>
    <row r="1" spans="2:12" ht="34.5" customHeight="1" x14ac:dyDescent="0.15"/>
    <row r="2" spans="2:12" s="23" customFormat="1" ht="20" customHeight="1" x14ac:dyDescent="0.15">
      <c r="B2" s="180" t="s">
        <v>208</v>
      </c>
      <c r="C2" s="181">
        <v>36861</v>
      </c>
      <c r="D2" s="181">
        <f t="shared" ref="D2:I2" si="0">C2+366</f>
        <v>37227</v>
      </c>
      <c r="E2" s="181">
        <f t="shared" si="0"/>
        <v>37593</v>
      </c>
      <c r="F2" s="181">
        <f t="shared" si="0"/>
        <v>37959</v>
      </c>
      <c r="G2" s="181">
        <f t="shared" si="0"/>
        <v>38325</v>
      </c>
      <c r="H2" s="181">
        <f t="shared" si="0"/>
        <v>38691</v>
      </c>
      <c r="I2" s="182">
        <f t="shared" si="0"/>
        <v>39057</v>
      </c>
    </row>
    <row r="3" spans="2:12" ht="20" customHeight="1" x14ac:dyDescent="0.15">
      <c r="B3" s="183" t="s">
        <v>19</v>
      </c>
      <c r="C3" s="185">
        <v>1.3180000000000001</v>
      </c>
      <c r="D3" s="185">
        <v>1.7070000000000001</v>
      </c>
      <c r="E3" s="185">
        <v>1.66</v>
      </c>
      <c r="F3" s="185">
        <f>F9-F8</f>
        <v>-0.98189999999999955</v>
      </c>
      <c r="G3" s="185">
        <f>G9-G8</f>
        <v>-0.90609999999999991</v>
      </c>
      <c r="H3" s="377">
        <f>H9-H8</f>
        <v>-0.6554000000000002</v>
      </c>
      <c r="I3" s="326">
        <v>1.19</v>
      </c>
    </row>
    <row r="4" spans="2:12" s="57" customFormat="1" ht="20" customHeight="1" x14ac:dyDescent="0.15">
      <c r="B4" s="187" t="s">
        <v>20</v>
      </c>
      <c r="C4" s="188">
        <v>1.7709999999999999</v>
      </c>
      <c r="D4" s="188">
        <v>1.5369999999999999</v>
      </c>
      <c r="E4" s="188">
        <v>1.1587000000000001</v>
      </c>
      <c r="F4" s="188">
        <v>3.9903000000000004</v>
      </c>
      <c r="G4" s="188">
        <v>3.4671999999999996</v>
      </c>
      <c r="H4" s="211">
        <v>3.5664000000000002</v>
      </c>
      <c r="I4" s="212">
        <v>1.07</v>
      </c>
      <c r="J4" s="325"/>
      <c r="K4" s="325"/>
      <c r="L4" s="325"/>
    </row>
    <row r="5" spans="2:12" s="78" customFormat="1" ht="20" customHeight="1" x14ac:dyDescent="0.15">
      <c r="B5" s="145" t="s">
        <v>132</v>
      </c>
      <c r="C5" s="188">
        <v>1.046</v>
      </c>
      <c r="D5" s="188">
        <v>1.3480000000000001</v>
      </c>
      <c r="E5" s="188">
        <v>0.71899999999999997</v>
      </c>
      <c r="F5" s="188">
        <v>0.1032</v>
      </c>
      <c r="G5" s="188">
        <v>0.2036</v>
      </c>
      <c r="H5" s="211">
        <v>0.31930000000000003</v>
      </c>
      <c r="I5" s="212">
        <v>0.86</v>
      </c>
    </row>
    <row r="6" spans="2:12" s="57" customFormat="1" ht="20" customHeight="1" x14ac:dyDescent="0.15">
      <c r="B6" s="191" t="s">
        <v>22</v>
      </c>
      <c r="C6" s="188">
        <v>0.56899999999999995</v>
      </c>
      <c r="D6" s="188">
        <v>0.60299999999999998</v>
      </c>
      <c r="E6" s="188">
        <v>0.122</v>
      </c>
      <c r="F6" s="188">
        <v>3.2600000000000004E-2</v>
      </c>
      <c r="G6" s="188">
        <v>1.3099999999999999E-2</v>
      </c>
      <c r="H6" s="211">
        <v>5.9999999999999995E-4</v>
      </c>
      <c r="I6" s="212">
        <v>0</v>
      </c>
    </row>
    <row r="7" spans="2:12" s="57" customFormat="1" ht="20" customHeight="1" x14ac:dyDescent="0.15">
      <c r="B7" s="191" t="s">
        <v>133</v>
      </c>
      <c r="C7" s="188">
        <v>0.38</v>
      </c>
      <c r="D7" s="188">
        <v>0.53100000000000003</v>
      </c>
      <c r="E7" s="188">
        <v>0.52900000000000003</v>
      </c>
      <c r="F7" s="188">
        <v>0.19540000000000002</v>
      </c>
      <c r="G7" s="188">
        <v>9.5299999999999996E-2</v>
      </c>
      <c r="H7" s="211">
        <v>0.13319999999999999</v>
      </c>
      <c r="I7" s="212">
        <v>0.2</v>
      </c>
    </row>
    <row r="8" spans="2:12" ht="20" customHeight="1" thickBot="1" x14ac:dyDescent="0.2">
      <c r="B8" s="192" t="s">
        <v>24</v>
      </c>
      <c r="C8" s="193">
        <f t="shared" ref="C8:H8" si="1">C4+C5-C6-C7</f>
        <v>1.8680000000000003</v>
      </c>
      <c r="D8" s="193">
        <f t="shared" si="1"/>
        <v>1.7509999999999999</v>
      </c>
      <c r="E8" s="193">
        <f t="shared" si="1"/>
        <v>1.2267000000000001</v>
      </c>
      <c r="F8" s="193">
        <f t="shared" si="1"/>
        <v>3.8654999999999999</v>
      </c>
      <c r="G8" s="193">
        <f t="shared" si="1"/>
        <v>3.5623999999999998</v>
      </c>
      <c r="H8" s="378">
        <f t="shared" si="1"/>
        <v>3.7519000000000005</v>
      </c>
      <c r="I8" s="311">
        <v>1.72</v>
      </c>
    </row>
    <row r="9" spans="2:12" s="16" customFormat="1" ht="20" customHeight="1" thickTop="1" thickBot="1" x14ac:dyDescent="0.2">
      <c r="B9" s="195" t="s">
        <v>25</v>
      </c>
      <c r="C9" s="197">
        <f>C3+C8</f>
        <v>3.1860000000000004</v>
      </c>
      <c r="D9" s="197">
        <f>D3+D8</f>
        <v>3.4580000000000002</v>
      </c>
      <c r="E9" s="197">
        <f>E3+E8</f>
        <v>2.8867000000000003</v>
      </c>
      <c r="F9" s="197">
        <f>F23</f>
        <v>2.8836000000000004</v>
      </c>
      <c r="G9" s="197">
        <f>G23</f>
        <v>2.6562999999999999</v>
      </c>
      <c r="H9" s="197">
        <f>H23</f>
        <v>3.0965000000000003</v>
      </c>
      <c r="I9" s="198">
        <v>2.91</v>
      </c>
    </row>
    <row r="10" spans="2:12" s="16" customFormat="1" ht="20" customHeight="1" thickTop="1" x14ac:dyDescent="0.15">
      <c r="B10" s="199"/>
      <c r="C10" s="201"/>
      <c r="D10" s="201"/>
      <c r="E10" s="201"/>
      <c r="F10" s="201"/>
      <c r="G10" s="201"/>
      <c r="H10" s="201"/>
      <c r="I10" s="202"/>
    </row>
    <row r="11" spans="2:12" ht="20" customHeight="1" x14ac:dyDescent="0.15">
      <c r="B11" s="203" t="s">
        <v>26</v>
      </c>
      <c r="C11" s="193">
        <v>1.08</v>
      </c>
      <c r="D11" s="193">
        <v>1.0920000000000001</v>
      </c>
      <c r="E11" s="193">
        <v>0.98599999999999999</v>
      </c>
      <c r="F11" s="193">
        <v>0.91489999999999994</v>
      </c>
      <c r="G11" s="193">
        <v>0.81599999999999995</v>
      </c>
      <c r="H11" s="193">
        <v>0.83360000000000001</v>
      </c>
      <c r="I11" s="194">
        <v>0.79</v>
      </c>
    </row>
    <row r="12" spans="2:12" s="57" customFormat="1" ht="20" customHeight="1" x14ac:dyDescent="0.15">
      <c r="B12" s="191" t="s">
        <v>28</v>
      </c>
      <c r="C12" s="188">
        <v>1.101</v>
      </c>
      <c r="D12" s="188">
        <v>1.357</v>
      </c>
      <c r="E12" s="188">
        <v>1.194</v>
      </c>
      <c r="F12" s="188">
        <v>1.3832000000000002</v>
      </c>
      <c r="G12" s="188">
        <v>1.3394000000000004</v>
      </c>
      <c r="H12" s="188">
        <v>1.7846000000000002</v>
      </c>
      <c r="I12" s="204">
        <v>1.46</v>
      </c>
    </row>
    <row r="13" spans="2:12" s="57" customFormat="1" ht="20" customHeight="1" x14ac:dyDescent="0.15">
      <c r="B13" s="191" t="s">
        <v>27</v>
      </c>
      <c r="C13" s="188">
        <v>0.30599999999999999</v>
      </c>
      <c r="D13" s="188">
        <v>0.29499999999999998</v>
      </c>
      <c r="E13" s="188">
        <v>0.153</v>
      </c>
      <c r="F13" s="188">
        <v>0.11840000000000001</v>
      </c>
      <c r="G13" s="188">
        <v>8.4599999999999995E-2</v>
      </c>
      <c r="H13" s="188">
        <v>4.7E-2</v>
      </c>
      <c r="I13" s="204">
        <v>0.04</v>
      </c>
    </row>
    <row r="14" spans="2:12" s="57" customFormat="1" ht="20" customHeight="1" x14ac:dyDescent="0.15">
      <c r="B14" s="191" t="s">
        <v>29</v>
      </c>
      <c r="C14" s="205">
        <f t="shared" ref="C14:I14" si="2">C11+C12+C13</f>
        <v>2.4870000000000001</v>
      </c>
      <c r="D14" s="205">
        <f t="shared" si="2"/>
        <v>2.7439999999999998</v>
      </c>
      <c r="E14" s="205">
        <f t="shared" si="2"/>
        <v>2.3329999999999997</v>
      </c>
      <c r="F14" s="205">
        <f t="shared" si="2"/>
        <v>2.4165000000000001</v>
      </c>
      <c r="G14" s="205">
        <f t="shared" si="2"/>
        <v>2.2400000000000002</v>
      </c>
      <c r="H14" s="205">
        <f t="shared" si="2"/>
        <v>2.6652000000000005</v>
      </c>
      <c r="I14" s="206">
        <f t="shared" si="2"/>
        <v>2.29</v>
      </c>
    </row>
    <row r="15" spans="2:12" ht="20" customHeight="1" x14ac:dyDescent="0.15">
      <c r="B15" s="203" t="s">
        <v>30</v>
      </c>
      <c r="C15" s="189">
        <v>0.46100000000000002</v>
      </c>
      <c r="D15" s="189">
        <v>0.46500000000000002</v>
      </c>
      <c r="E15" s="189">
        <v>0.40500000000000003</v>
      </c>
      <c r="F15" s="189">
        <v>0.38550000000000001</v>
      </c>
      <c r="G15" s="189">
        <v>0.42199999999999999</v>
      </c>
      <c r="H15" s="189">
        <v>0.47449999999999998</v>
      </c>
      <c r="I15" s="207">
        <v>0.56000000000000005</v>
      </c>
    </row>
    <row r="16" spans="2:12" s="57" customFormat="1" ht="20" customHeight="1" x14ac:dyDescent="0.15">
      <c r="B16" s="191" t="s">
        <v>31</v>
      </c>
      <c r="C16" s="188">
        <v>0.65500000000000003</v>
      </c>
      <c r="D16" s="188">
        <v>0.67400000000000004</v>
      </c>
      <c r="E16" s="188">
        <v>0.59799999999999998</v>
      </c>
      <c r="F16" s="188">
        <v>0.51339999999999997</v>
      </c>
      <c r="G16" s="188">
        <v>0.49760000000000004</v>
      </c>
      <c r="H16" s="189">
        <v>0.56929999999999992</v>
      </c>
      <c r="I16" s="207">
        <v>0.64</v>
      </c>
    </row>
    <row r="17" spans="1:16" s="57" customFormat="1" ht="20" customHeight="1" thickBot="1" x14ac:dyDescent="0.2">
      <c r="B17" s="191" t="s">
        <v>32</v>
      </c>
      <c r="C17" s="188">
        <v>0.253</v>
      </c>
      <c r="D17" s="188">
        <v>0.23200000000000001</v>
      </c>
      <c r="E17" s="188">
        <v>0.217</v>
      </c>
      <c r="F17" s="188">
        <v>0.25269999999999998</v>
      </c>
      <c r="G17" s="188">
        <v>0.31130000000000002</v>
      </c>
      <c r="H17" s="189">
        <v>0.377</v>
      </c>
      <c r="I17" s="207">
        <v>0.45</v>
      </c>
    </row>
    <row r="18" spans="1:16" s="57" customFormat="1" ht="20" customHeight="1" thickBot="1" x14ac:dyDescent="0.2">
      <c r="B18" s="208" t="s">
        <v>33</v>
      </c>
      <c r="C18" s="209">
        <f t="shared" ref="C18:I18" si="3">C15+C16-C17</f>
        <v>0.8630000000000001</v>
      </c>
      <c r="D18" s="209">
        <f t="shared" si="3"/>
        <v>0.90700000000000003</v>
      </c>
      <c r="E18" s="209">
        <f t="shared" si="3"/>
        <v>0.78600000000000014</v>
      </c>
      <c r="F18" s="209">
        <f t="shared" si="3"/>
        <v>0.64620000000000011</v>
      </c>
      <c r="G18" s="209">
        <f t="shared" si="3"/>
        <v>0.60829999999999995</v>
      </c>
      <c r="H18" s="209">
        <f t="shared" si="3"/>
        <v>0.66679999999999984</v>
      </c>
      <c r="I18" s="210">
        <f t="shared" si="3"/>
        <v>0.75000000000000022</v>
      </c>
    </row>
    <row r="19" spans="1:16" ht="20" customHeight="1" x14ac:dyDescent="0.15">
      <c r="B19" s="187" t="s">
        <v>135</v>
      </c>
      <c r="C19" s="211">
        <v>0.151</v>
      </c>
      <c r="D19" s="211">
        <v>0.13600000000000001</v>
      </c>
      <c r="E19" s="211">
        <v>0.123</v>
      </c>
      <c r="F19" s="211">
        <v>0.1166</v>
      </c>
      <c r="G19" s="211">
        <v>0.1303</v>
      </c>
      <c r="H19" s="211">
        <v>0.1275</v>
      </c>
      <c r="I19" s="376"/>
    </row>
    <row r="20" spans="1:16" s="57" customFormat="1" ht="20" customHeight="1" thickBot="1" x14ac:dyDescent="0.2">
      <c r="B20" s="191" t="s">
        <v>136</v>
      </c>
      <c r="C20" s="211">
        <v>0.315</v>
      </c>
      <c r="D20" s="211">
        <v>0.32900000000000001</v>
      </c>
      <c r="E20" s="211">
        <v>0.35499999999999998</v>
      </c>
      <c r="F20" s="211">
        <v>0.29569999999999996</v>
      </c>
      <c r="G20" s="211">
        <v>0.32230000000000003</v>
      </c>
      <c r="H20" s="211">
        <v>0.36299999999999999</v>
      </c>
      <c r="I20" s="212"/>
    </row>
    <row r="21" spans="1:16" ht="20" customHeight="1" thickBot="1" x14ac:dyDescent="0.2">
      <c r="B21" s="213" t="s">
        <v>137</v>
      </c>
      <c r="C21" s="215">
        <f t="shared" ref="C21:H21" si="4">C19-C20</f>
        <v>-0.16400000000000001</v>
      </c>
      <c r="D21" s="215">
        <f t="shared" si="4"/>
        <v>-0.193</v>
      </c>
      <c r="E21" s="215">
        <f t="shared" si="4"/>
        <v>-0.23199999999999998</v>
      </c>
      <c r="F21" s="215">
        <f t="shared" si="4"/>
        <v>-0.17909999999999998</v>
      </c>
      <c r="G21" s="215">
        <f t="shared" si="4"/>
        <v>-0.19200000000000003</v>
      </c>
      <c r="H21" s="215">
        <f t="shared" si="4"/>
        <v>-0.23549999999999999</v>
      </c>
      <c r="I21" s="379" t="s">
        <v>291</v>
      </c>
      <c r="J21" s="57"/>
      <c r="K21" s="57"/>
      <c r="L21" s="57"/>
      <c r="M21" s="57"/>
      <c r="N21" s="57"/>
      <c r="O21" s="57"/>
      <c r="P21" s="57"/>
    </row>
    <row r="22" spans="1:16" s="32" customFormat="1" ht="20" customHeight="1" thickBot="1" x14ac:dyDescent="0.2">
      <c r="A22" s="57"/>
      <c r="B22" s="187" t="s">
        <v>209</v>
      </c>
      <c r="C22" s="188">
        <f t="shared" ref="C22:H22" si="5">C18+C21</f>
        <v>0.69900000000000007</v>
      </c>
      <c r="D22" s="188">
        <f t="shared" si="5"/>
        <v>0.71399999999999997</v>
      </c>
      <c r="E22" s="188">
        <f t="shared" si="5"/>
        <v>0.55400000000000016</v>
      </c>
      <c r="F22" s="188">
        <f t="shared" si="5"/>
        <v>0.46710000000000013</v>
      </c>
      <c r="G22" s="188">
        <f t="shared" si="5"/>
        <v>0.41629999999999989</v>
      </c>
      <c r="H22" s="188">
        <f t="shared" si="5"/>
        <v>0.43129999999999985</v>
      </c>
      <c r="I22" s="204">
        <v>0.62</v>
      </c>
      <c r="J22" s="57"/>
      <c r="K22" s="57"/>
      <c r="L22" s="57"/>
      <c r="M22" s="57"/>
      <c r="N22" s="57"/>
      <c r="O22" s="57"/>
      <c r="P22" s="57"/>
    </row>
    <row r="23" spans="1:16" s="81" customFormat="1" ht="20" customHeight="1" thickTop="1" thickBot="1" x14ac:dyDescent="0.2">
      <c r="A23" s="66"/>
      <c r="B23" s="217" t="s">
        <v>25</v>
      </c>
      <c r="C23" s="219">
        <f t="shared" ref="C23:H23" si="6">C22+C14</f>
        <v>3.1859999999999999</v>
      </c>
      <c r="D23" s="219">
        <f t="shared" si="6"/>
        <v>3.4579999999999997</v>
      </c>
      <c r="E23" s="219">
        <f t="shared" si="6"/>
        <v>2.887</v>
      </c>
      <c r="F23" s="219">
        <f t="shared" si="6"/>
        <v>2.8836000000000004</v>
      </c>
      <c r="G23" s="219">
        <f t="shared" si="6"/>
        <v>2.6562999999999999</v>
      </c>
      <c r="H23" s="219">
        <f t="shared" si="6"/>
        <v>3.0965000000000003</v>
      </c>
      <c r="I23" s="220">
        <v>2.91</v>
      </c>
      <c r="J23" s="57"/>
      <c r="K23" s="57"/>
      <c r="L23" s="57"/>
      <c r="M23" s="57"/>
      <c r="N23" s="57"/>
      <c r="O23" s="57"/>
      <c r="P23" s="57"/>
    </row>
    <row r="24" spans="1:16" x14ac:dyDescent="0.15">
      <c r="J24" s="57"/>
      <c r="K24" s="57"/>
      <c r="L24" s="57"/>
      <c r="M24" s="57"/>
      <c r="N24" s="57"/>
      <c r="O24" s="57"/>
      <c r="P24" s="57"/>
    </row>
    <row r="25" spans="1:16" x14ac:dyDescent="0.15">
      <c r="C25" s="221"/>
      <c r="J25" s="57"/>
      <c r="K25" s="57"/>
      <c r="L25" s="57"/>
      <c r="M25" s="57"/>
      <c r="N25" s="57"/>
      <c r="O25" s="57"/>
      <c r="P25" s="57"/>
    </row>
    <row r="26" spans="1:16" x14ac:dyDescent="0.15">
      <c r="C26" s="221"/>
      <c r="D26" s="221"/>
      <c r="E26" s="221"/>
      <c r="F26" s="221"/>
      <c r="G26" s="221"/>
      <c r="H26" s="221"/>
      <c r="I26" s="221"/>
      <c r="J26" s="57"/>
      <c r="K26" s="57"/>
      <c r="L26" s="57"/>
      <c r="M26" s="57"/>
      <c r="N26" s="57"/>
      <c r="O26" s="57"/>
      <c r="P26" s="57"/>
    </row>
    <row r="27" spans="1:16" x14ac:dyDescent="0.15">
      <c r="J27" s="57"/>
      <c r="K27" s="57"/>
      <c r="L27" s="57"/>
      <c r="M27" s="57"/>
      <c r="N27" s="57"/>
      <c r="O27" s="57"/>
      <c r="P27" s="57"/>
    </row>
    <row r="28" spans="1:16" x14ac:dyDescent="0.2">
      <c r="J28" s="57"/>
      <c r="K28" s="57"/>
      <c r="L28" s="57"/>
      <c r="M28" s="57"/>
      <c r="N28" s="57"/>
      <c r="O28" s="57"/>
      <c r="P28" s="57"/>
    </row>
  </sheetData>
  <phoneticPr fontId="0" type="noConversion"/>
  <printOptions verticalCentered="1"/>
  <pageMargins left="0.78740157480314965" right="0.78740157480314965" top="0.98425196850393704" bottom="0.98425196850393704" header="0.51181102362204722" footer="0.51181102362204722"/>
  <pageSetup paperSize="9" scale="84" orientation="landscape"/>
  <headerFooter>
    <oddHeader>&amp;C&amp;"Arial,Gras"&amp;18D 0 : bilan au 31 décembre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B1:I13"/>
  <sheetViews>
    <sheetView workbookViewId="0">
      <pane xSplit="2" topLeftCell="C1" activePane="topRight" state="frozen"/>
      <selection activeCell="K13" sqref="K13"/>
      <selection pane="topRight" activeCell="J3" sqref="J3"/>
    </sheetView>
  </sheetViews>
  <sheetFormatPr baseColWidth="10" defaultColWidth="11.5" defaultRowHeight="13" x14ac:dyDescent="0.15"/>
  <cols>
    <col min="1" max="1" width="3" customWidth="1"/>
    <col min="2" max="2" width="40.83203125" customWidth="1"/>
  </cols>
  <sheetData>
    <row r="1" spans="2:9" ht="45.75" customHeight="1" x14ac:dyDescent="0.15"/>
    <row r="2" spans="2:9" s="23" customFormat="1" ht="39.75" customHeight="1" thickBot="1" x14ac:dyDescent="0.2">
      <c r="B2" s="381" t="s">
        <v>208</v>
      </c>
      <c r="C2" s="382">
        <v>36861</v>
      </c>
      <c r="D2" s="382">
        <f t="shared" ref="D2:I2" si="0">C2+366</f>
        <v>37227</v>
      </c>
      <c r="E2" s="382">
        <f t="shared" si="0"/>
        <v>37593</v>
      </c>
      <c r="F2" s="382">
        <f t="shared" si="0"/>
        <v>37959</v>
      </c>
      <c r="G2" s="382">
        <f t="shared" si="0"/>
        <v>38325</v>
      </c>
      <c r="H2" s="382">
        <f t="shared" si="0"/>
        <v>38691</v>
      </c>
      <c r="I2" s="383">
        <f t="shared" si="0"/>
        <v>39057</v>
      </c>
    </row>
    <row r="3" spans="2:9" ht="39.75" customHeight="1" thickTop="1" x14ac:dyDescent="0.15">
      <c r="B3" s="384" t="s">
        <v>36</v>
      </c>
      <c r="C3" s="225">
        <f>'d00 résultat '!C7</f>
        <v>2.7989999999999999</v>
      </c>
      <c r="D3" s="225">
        <f>'d00 résultat '!D7</f>
        <v>3.0960000000000001</v>
      </c>
      <c r="E3" s="225">
        <f>'d00 résultat '!E7</f>
        <v>2.97</v>
      </c>
      <c r="F3" s="225">
        <f>'d00 résultat '!F7</f>
        <v>2.7618</v>
      </c>
      <c r="G3" s="225">
        <f>'d00 résultat '!G7</f>
        <v>2.9262999999999999</v>
      </c>
      <c r="H3" s="225">
        <f>'d00 résultat '!H7</f>
        <v>3.2479</v>
      </c>
      <c r="I3" s="389">
        <f>'d00 résultat '!I7</f>
        <v>3.74</v>
      </c>
    </row>
    <row r="4" spans="2:9" ht="39.75" customHeight="1" x14ac:dyDescent="0.15">
      <c r="B4" s="203" t="s">
        <v>209</v>
      </c>
      <c r="C4" s="312">
        <f>'d00 bilan'!C22</f>
        <v>0.69900000000000007</v>
      </c>
      <c r="D4" s="312">
        <f>'d00 bilan'!D22</f>
        <v>0.71399999999999997</v>
      </c>
      <c r="E4" s="312">
        <f>'d00 bilan'!E22</f>
        <v>0.55400000000000016</v>
      </c>
      <c r="F4" s="312">
        <f>'d00 bilan'!F22</f>
        <v>0.46710000000000013</v>
      </c>
      <c r="G4" s="312">
        <f>'d00 bilan'!G22</f>
        <v>0.41629999999999989</v>
      </c>
      <c r="H4" s="312">
        <f>'d00 bilan'!H22</f>
        <v>0.43129999999999985</v>
      </c>
      <c r="I4" s="390">
        <v>0.61</v>
      </c>
    </row>
    <row r="5" spans="2:9" ht="39.75" customHeight="1" x14ac:dyDescent="0.15">
      <c r="B5" s="203" t="s">
        <v>37</v>
      </c>
      <c r="C5" s="332">
        <f>'d00 bilan'!C18</f>
        <v>0.8630000000000001</v>
      </c>
      <c r="D5" s="332">
        <f>'d00 bilan'!D18</f>
        <v>0.90700000000000003</v>
      </c>
      <c r="E5" s="332">
        <f>'d00 bilan'!E18</f>
        <v>0.78600000000000014</v>
      </c>
      <c r="F5" s="332">
        <f>'d00 bilan'!F18</f>
        <v>0.64620000000000011</v>
      </c>
      <c r="G5" s="332">
        <f>'d00 bilan'!G18</f>
        <v>0.60829999999999995</v>
      </c>
      <c r="H5" s="332">
        <f>'d00 bilan'!H18</f>
        <v>0.66679999999999984</v>
      </c>
      <c r="I5" s="391">
        <v>0.74</v>
      </c>
    </row>
    <row r="6" spans="2:9" ht="39.75" customHeight="1" x14ac:dyDescent="0.15">
      <c r="B6" s="203" t="s">
        <v>246</v>
      </c>
      <c r="C6" s="331">
        <f t="shared" ref="C6:H6" si="1">C4/C3*365</f>
        <v>91.152197213290478</v>
      </c>
      <c r="D6" s="331">
        <f t="shared" si="1"/>
        <v>84.176356589147289</v>
      </c>
      <c r="E6" s="331">
        <f t="shared" si="1"/>
        <v>68.084175084175101</v>
      </c>
      <c r="F6" s="331">
        <f t="shared" si="1"/>
        <v>61.73202259396048</v>
      </c>
      <c r="G6" s="331">
        <f t="shared" si="1"/>
        <v>51.92546902231485</v>
      </c>
      <c r="H6" s="331">
        <f t="shared" si="1"/>
        <v>48.469626527910329</v>
      </c>
      <c r="I6" s="385" t="s">
        <v>292</v>
      </c>
    </row>
    <row r="7" spans="2:9" ht="39.75" customHeight="1" x14ac:dyDescent="0.15">
      <c r="B7" s="203" t="s">
        <v>247</v>
      </c>
      <c r="C7" s="230">
        <f t="shared" ref="C7:H7" si="2">C5/C3*365</f>
        <v>112.53840657377636</v>
      </c>
      <c r="D7" s="230">
        <f t="shared" si="2"/>
        <v>106.92990956072352</v>
      </c>
      <c r="E7" s="230">
        <f t="shared" si="2"/>
        <v>96.595959595959613</v>
      </c>
      <c r="F7" s="230">
        <f t="shared" si="2"/>
        <v>85.401911796654375</v>
      </c>
      <c r="G7" s="230">
        <f t="shared" si="2"/>
        <v>75.873799678775242</v>
      </c>
      <c r="H7" s="380">
        <f t="shared" si="2"/>
        <v>74.935188891283588</v>
      </c>
      <c r="I7" s="392">
        <f>I5/I3*365</f>
        <v>72.219251336898395</v>
      </c>
    </row>
    <row r="8" spans="2:9" ht="39.75" customHeight="1" x14ac:dyDescent="0.15">
      <c r="B8" s="203" t="s">
        <v>49</v>
      </c>
      <c r="C8" s="230">
        <f>'d00 bilan'!C15/'d00 fdr'!C3*365</f>
        <v>60.116112897463388</v>
      </c>
      <c r="D8" s="230">
        <f>'d00 bilan'!D15/'d00 fdr'!D3*365</f>
        <v>54.820736434108532</v>
      </c>
      <c r="E8" s="230">
        <f>'d00 bilan'!E15/'d00 fdr'!E3*365</f>
        <v>49.772727272727266</v>
      </c>
      <c r="F8" s="230">
        <f>'d00 bilan'!F15/'d00 fdr'!F3*365</f>
        <v>50.947751466434937</v>
      </c>
      <c r="G8" s="230">
        <f>'d00 bilan'!G15/'d00 fdr'!G3*365</f>
        <v>52.636435088678539</v>
      </c>
      <c r="H8" s="230">
        <f>'d00 bilan'!H15/'d00 fdr'!H3*365</f>
        <v>53.324455802210657</v>
      </c>
      <c r="I8" s="393">
        <f>'d00 bilan'!I15/'d00 fdr'!I3*365</f>
        <v>54.652406417112303</v>
      </c>
    </row>
    <row r="9" spans="2:9" ht="39.75" customHeight="1" x14ac:dyDescent="0.15">
      <c r="B9" s="203" t="s">
        <v>59</v>
      </c>
      <c r="C9" s="230">
        <f>'d00 bilan'!C16/'d00 fdr'!C3*365</f>
        <v>85.414433726330842</v>
      </c>
      <c r="D9" s="230">
        <f>'d00 bilan'!D16/'d00 fdr'!D3*365</f>
        <v>79.460594315245487</v>
      </c>
      <c r="E9" s="230">
        <f>'d00 bilan'!E16/'d00 fdr'!E3*365</f>
        <v>73.491582491582491</v>
      </c>
      <c r="F9" s="230">
        <f>'d00 bilan'!F16/'d00 fdr'!F3*365</f>
        <v>67.851039177348099</v>
      </c>
      <c r="G9" s="230">
        <f>'d00 bilan'!G16/'d00 fdr'!G3*365</f>
        <v>62.066090284659815</v>
      </c>
      <c r="H9" s="230">
        <f>'d00 bilan'!H16/'d00 fdr'!H3*365</f>
        <v>63.978108931925235</v>
      </c>
      <c r="I9" s="393">
        <f>'d00 bilan'!I16/'d00 fdr'!I3*365</f>
        <v>62.459893048128336</v>
      </c>
    </row>
    <row r="10" spans="2:9" ht="39.75" customHeight="1" x14ac:dyDescent="0.15">
      <c r="B10" s="386" t="s">
        <v>70</v>
      </c>
      <c r="C10" s="387">
        <f>'d00 bilan'!C17/'d00 fdr'!C3*365</f>
        <v>32.992140050017866</v>
      </c>
      <c r="D10" s="387">
        <f>'d00 bilan'!D17/'d00 fdr'!D3*365</f>
        <v>27.351421188630493</v>
      </c>
      <c r="E10" s="387">
        <f>'d00 bilan'!E17/'d00 fdr'!E3*365</f>
        <v>26.668350168350166</v>
      </c>
      <c r="F10" s="387">
        <f>'d00 bilan'!F17/'d00 fdr'!F3*365</f>
        <v>33.396878847128683</v>
      </c>
      <c r="G10" s="387">
        <f>'d00 bilan'!G17/'d00 fdr'!G3*365</f>
        <v>38.828725694563104</v>
      </c>
      <c r="H10" s="387">
        <f>'d00 bilan'!H17/'d00 fdr'!H3*365</f>
        <v>42.367375842852304</v>
      </c>
      <c r="I10" s="388">
        <f>'d00 bilan'!I17/'d00 fdr'!I3*365</f>
        <v>43.917112299465238</v>
      </c>
    </row>
    <row r="11" spans="2:9" x14ac:dyDescent="0.15">
      <c r="I11" s="57"/>
    </row>
    <row r="12" spans="2:9" x14ac:dyDescent="0.15">
      <c r="I12" s="57"/>
    </row>
    <row r="13" spans="2:9" x14ac:dyDescent="0.15">
      <c r="C13" s="229"/>
      <c r="D13" s="229"/>
      <c r="E13" s="229"/>
      <c r="F13" s="229"/>
      <c r="G13" s="229"/>
      <c r="H13" s="229"/>
      <c r="I13" s="22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/>
  <headerFooter>
    <oddHeader>&amp;C&amp;"Arial,Gras"&amp;18D 0 : tableau du besoin en fonds de roulement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"/>
  <dimension ref="A1:K16"/>
  <sheetViews>
    <sheetView topLeftCell="A11" zoomScale="200" zoomScaleNormal="200" zoomScaleSheetLayoutView="50" zoomScalePageLayoutView="200" workbookViewId="0">
      <pane xSplit="2" topLeftCell="C1" activePane="topRight" state="frozen"/>
      <selection activeCell="R49" sqref="R49"/>
      <selection pane="topRight" activeCell="B13" sqref="B13"/>
    </sheetView>
  </sheetViews>
  <sheetFormatPr baseColWidth="10" defaultColWidth="11.5" defaultRowHeight="13" outlineLevelCol="1" x14ac:dyDescent="0.15"/>
  <cols>
    <col min="1" max="1" width="3.1640625" customWidth="1"/>
    <col min="2" max="2" width="48" customWidth="1"/>
    <col min="3" max="3" width="0.33203125" customWidth="1" outlineLevel="1"/>
  </cols>
  <sheetData>
    <row r="1" spans="1:11" ht="33.75" customHeight="1" thickBot="1" x14ac:dyDescent="0.2">
      <c r="J1" s="57"/>
    </row>
    <row r="2" spans="1:11" s="23" customFormat="1" ht="22.5" customHeight="1" thickBot="1" x14ac:dyDescent="0.2">
      <c r="B2" s="235" t="s">
        <v>208</v>
      </c>
      <c r="C2" s="181">
        <v>36861</v>
      </c>
      <c r="D2" s="236">
        <f t="shared" ref="D2:I2" si="0">C2+366</f>
        <v>37227</v>
      </c>
      <c r="E2" s="236">
        <f t="shared" si="0"/>
        <v>37593</v>
      </c>
      <c r="F2" s="236">
        <f t="shared" si="0"/>
        <v>37959</v>
      </c>
      <c r="G2" s="236">
        <f t="shared" si="0"/>
        <v>38325</v>
      </c>
      <c r="H2" s="236">
        <f t="shared" si="0"/>
        <v>38691</v>
      </c>
      <c r="I2" s="236">
        <f t="shared" si="0"/>
        <v>39057</v>
      </c>
      <c r="J2" s="397"/>
    </row>
    <row r="3" spans="1:11" ht="39.75" customHeight="1" x14ac:dyDescent="0.15">
      <c r="B3" s="334" t="s">
        <v>79</v>
      </c>
      <c r="C3" s="239">
        <f>'d00 résultat '!C22</f>
        <v>0.26200000000000001</v>
      </c>
      <c r="D3" s="252">
        <f>'d00 résultat '!D22</f>
        <v>0.222</v>
      </c>
      <c r="E3" s="252">
        <f>'d00 résultat '!E22</f>
        <v>0.24</v>
      </c>
      <c r="F3" s="252">
        <f>'d00 résultat '!F22</f>
        <v>9.7200000000000009E-2</v>
      </c>
      <c r="G3" s="252">
        <f>'d00 résultat '!G22</f>
        <v>0.15030000000000002</v>
      </c>
      <c r="H3" s="394">
        <f>'d00 résultat '!H22</f>
        <v>0.20580000000000001</v>
      </c>
      <c r="I3" s="189">
        <f>'d00 résultat '!I22</f>
        <v>0.25</v>
      </c>
      <c r="J3" s="334"/>
    </row>
    <row r="4" spans="1:11" s="57" customFormat="1" ht="39.75" customHeight="1" x14ac:dyDescent="0.15">
      <c r="B4" s="240" t="s">
        <v>211</v>
      </c>
      <c r="C4" s="189">
        <f>'d00 résultat '!C15</f>
        <v>0.152</v>
      </c>
      <c r="D4" s="189">
        <f>'d00 résultat '!D15</f>
        <v>0.17499999999999999</v>
      </c>
      <c r="E4" s="189">
        <f>'d00 résultat '!E15</f>
        <v>0.192</v>
      </c>
      <c r="F4" s="189">
        <f>'d00 résultat '!F15</f>
        <v>0.15580000000000002</v>
      </c>
      <c r="G4" s="189">
        <f>'d00 résultat '!G15</f>
        <v>0.14180000000000001</v>
      </c>
      <c r="H4" s="188">
        <f>'d00 résultat '!H15</f>
        <v>0.14399999999999999</v>
      </c>
      <c r="I4" s="188">
        <v>0.14000000000000001</v>
      </c>
      <c r="J4" s="240"/>
    </row>
    <row r="5" spans="1:11" s="57" customFormat="1" ht="39.75" customHeight="1" x14ac:dyDescent="0.15">
      <c r="B5" s="242" t="s">
        <v>81</v>
      </c>
      <c r="C5" s="188">
        <f t="shared" ref="C5:I5" si="1">C3+C4</f>
        <v>0.41400000000000003</v>
      </c>
      <c r="D5" s="188">
        <f t="shared" si="1"/>
        <v>0.39700000000000002</v>
      </c>
      <c r="E5" s="188">
        <f t="shared" si="1"/>
        <v>0.432</v>
      </c>
      <c r="F5" s="188">
        <f t="shared" si="1"/>
        <v>0.253</v>
      </c>
      <c r="G5" s="188">
        <f t="shared" si="1"/>
        <v>0.29210000000000003</v>
      </c>
      <c r="H5" s="188">
        <f t="shared" si="1"/>
        <v>0.3498</v>
      </c>
      <c r="I5" s="188">
        <f t="shared" si="1"/>
        <v>0.39</v>
      </c>
      <c r="J5" s="242"/>
    </row>
    <row r="6" spans="1:11" s="57" customFormat="1" ht="39.75" customHeight="1" x14ac:dyDescent="0.15">
      <c r="B6" s="244" t="s">
        <v>212</v>
      </c>
      <c r="C6" s="185" t="e">
        <f>'d00 bilan'!C23-'d00 bilan'!B23</f>
        <v>#VALUE!</v>
      </c>
      <c r="D6" s="185">
        <f>'d00 bilan'!D22-'d00 bilan'!C22</f>
        <v>1.4999999999999902E-2</v>
      </c>
      <c r="E6" s="185">
        <f>'d00 bilan'!E22-'d00 bilan'!D22</f>
        <v>-0.15999999999999981</v>
      </c>
      <c r="F6" s="185">
        <f>'d00 bilan'!F22-'d00 bilan'!E22</f>
        <v>-8.6900000000000033E-2</v>
      </c>
      <c r="G6" s="185">
        <f>'d00 bilan'!G22-'d00 bilan'!F22</f>
        <v>-5.0800000000000234E-2</v>
      </c>
      <c r="H6" s="185">
        <f>'d00 bilan'!H22-'d00 bilan'!G22</f>
        <v>1.4999999999999958E-2</v>
      </c>
      <c r="I6" s="185">
        <v>0.19</v>
      </c>
      <c r="J6" s="244"/>
    </row>
    <row r="7" spans="1:11" s="66" customFormat="1" ht="39.75" customHeight="1" x14ac:dyDescent="0.15">
      <c r="A7" s="247"/>
      <c r="B7" s="248" t="s">
        <v>83</v>
      </c>
      <c r="C7" s="249"/>
      <c r="D7" s="249">
        <f t="shared" ref="D7:I7" si="2">D5-D6</f>
        <v>0.38200000000000012</v>
      </c>
      <c r="E7" s="249">
        <f t="shared" si="2"/>
        <v>0.59199999999999986</v>
      </c>
      <c r="F7" s="249">
        <f t="shared" si="2"/>
        <v>0.33990000000000004</v>
      </c>
      <c r="G7" s="249">
        <f t="shared" si="2"/>
        <v>0.34290000000000026</v>
      </c>
      <c r="H7" s="395">
        <f t="shared" si="2"/>
        <v>0.33480000000000004</v>
      </c>
      <c r="I7" s="172">
        <f t="shared" si="2"/>
        <v>0.2</v>
      </c>
      <c r="J7" s="248"/>
    </row>
    <row r="8" spans="1:11" s="57" customFormat="1" ht="39.75" hidden="1" customHeight="1" x14ac:dyDescent="0.15">
      <c r="A8"/>
      <c r="B8" s="238" t="s">
        <v>84</v>
      </c>
      <c r="C8" s="250"/>
      <c r="D8" s="250" t="s">
        <v>213</v>
      </c>
      <c r="E8" s="250" t="s">
        <v>213</v>
      </c>
      <c r="F8" s="250"/>
      <c r="G8" s="250"/>
      <c r="H8" s="396"/>
      <c r="I8" s="396"/>
      <c r="J8" s="238"/>
    </row>
    <row r="9" spans="1:11" s="57" customFormat="1" ht="39.75" customHeight="1" x14ac:dyDescent="0.15">
      <c r="B9" s="240" t="s">
        <v>354</v>
      </c>
      <c r="C9" s="252" t="e">
        <f>('[1]c90 bilan'!C14-'[1]c90 bilan'!B14)+'[1]c90 résultat'!C16</f>
        <v>#REF!</v>
      </c>
      <c r="D9" s="252">
        <f>-('d00 bilan'!D14-'d00 bilan'!C14+'d00 résultat '!D15)</f>
        <v>-0.43199999999999966</v>
      </c>
      <c r="E9" s="252">
        <f>-('d00 bilan'!E14-'d00 bilan'!D14+'d00 résultat '!E15)</f>
        <v>0.21900000000000003</v>
      </c>
      <c r="F9" s="252">
        <f>-('d00 bilan'!F14-'d00 bilan'!E14+'d00 résultat '!F15)</f>
        <v>-0.23930000000000037</v>
      </c>
      <c r="G9" s="252">
        <f>-('d00 bilan'!G14-'d00 bilan'!F14+'d00 résultat '!G15)</f>
        <v>3.469999999999987E-2</v>
      </c>
      <c r="H9" s="252">
        <f>-('d00 bilan'!H14-'d00 bilan'!G14+'d00 résultat '!H15)</f>
        <v>-0.56920000000000026</v>
      </c>
      <c r="I9" s="252">
        <f>-('d00 bilan'!I14-'d00 bilan'!H14+'d00 résultat '!I15)</f>
        <v>0.23120000000000043</v>
      </c>
      <c r="J9" s="240"/>
    </row>
    <row r="10" spans="1:11" s="66" customFormat="1" ht="39.75" customHeight="1" x14ac:dyDescent="0.15">
      <c r="A10" s="16"/>
      <c r="B10" s="254" t="s">
        <v>175</v>
      </c>
      <c r="C10" s="256" t="e">
        <f t="shared" ref="C10" si="3">-C9</f>
        <v>#REF!</v>
      </c>
      <c r="D10" s="256">
        <f>D9</f>
        <v>-0.43199999999999966</v>
      </c>
      <c r="E10" s="256">
        <f t="shared" ref="E10:I10" si="4">E9</f>
        <v>0.21900000000000003</v>
      </c>
      <c r="F10" s="256">
        <f t="shared" si="4"/>
        <v>-0.23930000000000037</v>
      </c>
      <c r="G10" s="256">
        <f t="shared" si="4"/>
        <v>3.469999999999987E-2</v>
      </c>
      <c r="H10" s="256">
        <f t="shared" si="4"/>
        <v>-0.56920000000000026</v>
      </c>
      <c r="I10" s="256">
        <f t="shared" si="4"/>
        <v>0.23120000000000043</v>
      </c>
      <c r="J10" s="254"/>
      <c r="K10" s="16"/>
    </row>
    <row r="11" spans="1:11" s="66" customFormat="1" ht="39.75" customHeight="1" x14ac:dyDescent="0.15">
      <c r="A11" s="16"/>
      <c r="B11" s="258" t="s">
        <v>267</v>
      </c>
      <c r="C11" s="256" t="e">
        <f t="shared" ref="C11:I11" si="5">C7+C10</f>
        <v>#REF!</v>
      </c>
      <c r="D11" s="256">
        <f t="shared" si="5"/>
        <v>-4.9999999999999545E-2</v>
      </c>
      <c r="E11" s="256">
        <f t="shared" si="5"/>
        <v>0.81099999999999994</v>
      </c>
      <c r="F11" s="256">
        <f t="shared" si="5"/>
        <v>0.10059999999999966</v>
      </c>
      <c r="G11" s="256">
        <f t="shared" si="5"/>
        <v>0.37760000000000016</v>
      </c>
      <c r="H11" s="256">
        <f t="shared" si="5"/>
        <v>-0.23440000000000022</v>
      </c>
      <c r="I11" s="172">
        <f t="shared" si="5"/>
        <v>0.43120000000000047</v>
      </c>
      <c r="J11" s="258"/>
      <c r="K11" s="16"/>
    </row>
    <row r="12" spans="1:11" ht="39.75" customHeight="1" x14ac:dyDescent="0.15">
      <c r="B12" s="259" t="s">
        <v>214</v>
      </c>
      <c r="C12" s="193" t="e">
        <f t="shared" ref="C12:H12" si="6">-(C11-C13+C14)</f>
        <v>#REF!</v>
      </c>
      <c r="D12" s="193">
        <f t="shared" si="6"/>
        <v>-9.0000000000008962E-3</v>
      </c>
      <c r="E12" s="193">
        <f t="shared" si="6"/>
        <v>-1.2732999999999997</v>
      </c>
      <c r="F12" s="193">
        <f t="shared" si="6"/>
        <v>2.5393000000000003</v>
      </c>
      <c r="G12" s="193">
        <f t="shared" si="6"/>
        <v>-0.67990000000000028</v>
      </c>
      <c r="H12" s="193">
        <f t="shared" si="6"/>
        <v>0.42510000000000092</v>
      </c>
      <c r="I12" s="188">
        <v>1.7</v>
      </c>
      <c r="J12" s="259"/>
    </row>
    <row r="13" spans="1:11" s="57" customFormat="1" ht="39.75" customHeight="1" x14ac:dyDescent="0.15">
      <c r="B13" s="240" t="s">
        <v>215</v>
      </c>
      <c r="C13" s="189">
        <v>5.1999999999999998E-2</v>
      </c>
      <c r="D13" s="189">
        <v>5.8000000000000003E-2</v>
      </c>
      <c r="E13" s="189">
        <v>6.2E-2</v>
      </c>
      <c r="F13" s="189">
        <v>1.1000000000000001E-3</v>
      </c>
      <c r="G13" s="189">
        <v>8.0000000000000004E-4</v>
      </c>
      <c r="H13" s="189">
        <v>1.1999999999999999E-3</v>
      </c>
      <c r="I13" s="189">
        <v>0.11</v>
      </c>
      <c r="J13" s="240"/>
    </row>
    <row r="14" spans="1:11" s="66" customFormat="1" ht="39.75" customHeight="1" thickBot="1" x14ac:dyDescent="0.2">
      <c r="B14" s="261" t="s">
        <v>355</v>
      </c>
      <c r="C14" s="262" t="e">
        <f>'[1]c90 bilan'!C9-'[1]c90 bilan'!B9</f>
        <v>#REF!</v>
      </c>
      <c r="D14" s="262">
        <f>-('d00 bilan'!D8-'d00 bilan'!C8)</f>
        <v>0.11700000000000044</v>
      </c>
      <c r="E14" s="262">
        <f>-('d00 bilan'!E8-'d00 bilan'!D8)</f>
        <v>0.52429999999999977</v>
      </c>
      <c r="F14" s="262">
        <f>-('d00 bilan'!F8-'d00 bilan'!E8)</f>
        <v>-2.6387999999999998</v>
      </c>
      <c r="G14" s="262">
        <f>-('d00 bilan'!G8-'d00 bilan'!F8)</f>
        <v>0.30310000000000015</v>
      </c>
      <c r="H14" s="262">
        <f>-('d00 bilan'!H8-'d00 bilan'!G8)</f>
        <v>-0.18950000000000067</v>
      </c>
      <c r="I14" s="262">
        <f>-('d00 bilan'!I8-'d00 bilan'!H8)</f>
        <v>2.0319000000000003</v>
      </c>
      <c r="J14" s="398"/>
    </row>
    <row r="15" spans="1:11" x14ac:dyDescent="0.15">
      <c r="J15" s="57"/>
    </row>
    <row r="16" spans="1:11" x14ac:dyDescent="0.15">
      <c r="B16" s="46"/>
      <c r="C16" s="221"/>
      <c r="D16" s="221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/>
  <headerFooter>
    <oddHeader>&amp;C&amp;"Arial,Gras"&amp;18D 0 : tableau de flux de trésorerie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21"/>
  <sheetViews>
    <sheetView workbookViewId="0">
      <selection activeCell="A18" sqref="A18"/>
    </sheetView>
  </sheetViews>
  <sheetFormatPr baseColWidth="10" defaultColWidth="11.5" defaultRowHeight="13" x14ac:dyDescent="0.15"/>
  <cols>
    <col min="1" max="1" width="45.5" customWidth="1"/>
    <col min="2" max="11" width="6" customWidth="1"/>
  </cols>
  <sheetData>
    <row r="1" spans="1:11" ht="20" customHeight="1" thickBot="1" x14ac:dyDescent="0.2">
      <c r="A1" s="3"/>
      <c r="B1" s="3">
        <v>1968</v>
      </c>
      <c r="C1" s="3">
        <v>1969</v>
      </c>
      <c r="D1" s="3">
        <v>1970</v>
      </c>
      <c r="E1" s="3">
        <v>1971</v>
      </c>
      <c r="F1" s="3">
        <v>1972</v>
      </c>
      <c r="G1" s="3">
        <v>1973</v>
      </c>
      <c r="H1" s="3">
        <v>1974</v>
      </c>
      <c r="I1" s="3">
        <v>1975</v>
      </c>
      <c r="J1" s="3">
        <v>1976</v>
      </c>
      <c r="K1" s="3">
        <v>1977</v>
      </c>
    </row>
    <row r="2" spans="1:11" ht="20" customHeight="1" x14ac:dyDescent="0.15">
      <c r="A2" s="94" t="s">
        <v>19</v>
      </c>
      <c r="B2" s="94">
        <v>59.4</v>
      </c>
      <c r="C2" s="94">
        <v>64.900000000000006</v>
      </c>
      <c r="D2" s="94">
        <v>72.7</v>
      </c>
      <c r="E2" s="94">
        <v>81.7</v>
      </c>
      <c r="F2" s="94">
        <v>102.8</v>
      </c>
      <c r="G2" s="94">
        <v>243.4</v>
      </c>
      <c r="H2" s="94">
        <v>272.2</v>
      </c>
      <c r="I2" s="94">
        <v>321</v>
      </c>
      <c r="J2" s="94">
        <v>376.7</v>
      </c>
      <c r="K2" s="94">
        <v>425.6</v>
      </c>
    </row>
    <row r="3" spans="1:11" ht="20" customHeight="1" x14ac:dyDescent="0.15">
      <c r="A3" s="1" t="s">
        <v>20</v>
      </c>
      <c r="B3" s="1">
        <v>22.9</v>
      </c>
      <c r="C3" s="63">
        <v>42.8</v>
      </c>
      <c r="D3" s="63">
        <v>67.400000000000006</v>
      </c>
      <c r="E3" s="63">
        <v>77.2</v>
      </c>
      <c r="F3" s="63">
        <v>92.7</v>
      </c>
      <c r="G3" s="63">
        <v>91</v>
      </c>
      <c r="H3" s="63">
        <v>106.6</v>
      </c>
      <c r="I3" s="63">
        <v>145.19999999999999</v>
      </c>
      <c r="J3" s="63">
        <v>160.4</v>
      </c>
      <c r="K3" s="63">
        <v>181.5</v>
      </c>
    </row>
    <row r="4" spans="1:11" s="10" customFormat="1" ht="20" customHeight="1" x14ac:dyDescent="0.15">
      <c r="A4" s="20" t="s">
        <v>21</v>
      </c>
      <c r="B4" s="63">
        <v>36</v>
      </c>
      <c r="C4" s="65">
        <v>69.5</v>
      </c>
      <c r="D4" s="65">
        <v>73.599999999999994</v>
      </c>
      <c r="E4" s="65">
        <v>106.7</v>
      </c>
      <c r="F4" s="65">
        <v>134.69999999999999</v>
      </c>
      <c r="G4" s="65">
        <v>82.5</v>
      </c>
      <c r="H4" s="65">
        <v>119.5</v>
      </c>
      <c r="I4" s="65">
        <v>70</v>
      </c>
      <c r="J4" s="65">
        <v>110.9</v>
      </c>
      <c r="K4" s="65">
        <v>150.4</v>
      </c>
    </row>
    <row r="5" spans="1:11" ht="20" hidden="1" customHeight="1" x14ac:dyDescent="0.15">
      <c r="A5" s="8" t="s">
        <v>22</v>
      </c>
      <c r="B5" s="1"/>
    </row>
    <row r="6" spans="1:11" ht="20" customHeight="1" x14ac:dyDescent="0.15">
      <c r="A6" s="21" t="s">
        <v>23</v>
      </c>
      <c r="B6" s="14">
        <v>0.8</v>
      </c>
      <c r="C6" s="14">
        <v>0.4</v>
      </c>
      <c r="D6" s="14">
        <v>0.3</v>
      </c>
      <c r="E6" s="14">
        <v>0.5</v>
      </c>
      <c r="F6" s="14">
        <v>2.8</v>
      </c>
      <c r="G6" s="14">
        <v>3.7</v>
      </c>
      <c r="H6" s="14">
        <v>4.7</v>
      </c>
      <c r="I6" s="14">
        <v>5</v>
      </c>
      <c r="J6" s="14">
        <v>7.2</v>
      </c>
      <c r="K6" s="14">
        <v>7.7</v>
      </c>
    </row>
    <row r="7" spans="1:11" ht="20" customHeight="1" x14ac:dyDescent="0.15">
      <c r="A7" s="8" t="s">
        <v>24</v>
      </c>
      <c r="B7" s="1">
        <v>58.1</v>
      </c>
      <c r="C7" s="1">
        <v>111.9</v>
      </c>
      <c r="D7" s="1">
        <v>140.69999999999999</v>
      </c>
      <c r="E7" s="1">
        <v>183.4</v>
      </c>
      <c r="F7" s="1">
        <v>224.6</v>
      </c>
      <c r="G7" s="1">
        <v>169.8</v>
      </c>
      <c r="H7" s="1">
        <v>221.4</v>
      </c>
      <c r="I7" s="1">
        <v>210.2</v>
      </c>
      <c r="J7" s="1">
        <v>264.10000000000002</v>
      </c>
      <c r="K7" s="1">
        <v>324.2</v>
      </c>
    </row>
    <row r="8" spans="1:11" s="16" customFormat="1" ht="20" customHeight="1" x14ac:dyDescent="0.15">
      <c r="A8" s="15" t="s">
        <v>25</v>
      </c>
      <c r="B8" s="15">
        <v>117.5</v>
      </c>
      <c r="C8" s="15">
        <v>176.8</v>
      </c>
      <c r="D8" s="15">
        <v>213.4</v>
      </c>
      <c r="E8" s="15">
        <v>265.10000000000002</v>
      </c>
      <c r="F8" s="15">
        <v>327.39999999999998</v>
      </c>
      <c r="G8" s="15">
        <v>413.2</v>
      </c>
      <c r="H8" s="15">
        <v>493.6</v>
      </c>
      <c r="I8" s="15">
        <v>531.20000000000005</v>
      </c>
      <c r="J8" s="15">
        <v>640.79999999999995</v>
      </c>
      <c r="K8" s="15">
        <v>749.8</v>
      </c>
    </row>
    <row r="9" spans="1:11" s="16" customFormat="1" ht="30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0" customHeight="1" x14ac:dyDescent="0.15">
      <c r="A10" s="1" t="s">
        <v>26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0" customHeight="1" x14ac:dyDescent="0.15">
      <c r="A11" s="21" t="s">
        <v>27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0" customHeight="1" x14ac:dyDescent="0.15">
      <c r="A12" s="64" t="s">
        <v>28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20" customHeight="1" x14ac:dyDescent="0.15">
      <c r="A13" s="21" t="s">
        <v>29</v>
      </c>
      <c r="B13" s="1">
        <v>43.2</v>
      </c>
      <c r="C13" s="1">
        <v>64.900000000000006</v>
      </c>
      <c r="D13" s="1">
        <v>95.6</v>
      </c>
      <c r="E13" s="1">
        <v>116.4</v>
      </c>
      <c r="F13" s="1">
        <v>146.30000000000001</v>
      </c>
      <c r="G13" s="1">
        <v>199.1</v>
      </c>
      <c r="H13" s="1">
        <v>253.9</v>
      </c>
      <c r="I13" s="1">
        <v>272</v>
      </c>
      <c r="J13" s="1">
        <v>299.39999999999998</v>
      </c>
      <c r="K13" s="1">
        <v>315.5</v>
      </c>
    </row>
    <row r="14" spans="1:11" ht="20" customHeight="1" x14ac:dyDescent="0.15">
      <c r="A14" s="1" t="s">
        <v>30</v>
      </c>
      <c r="B14" s="1">
        <v>21.3</v>
      </c>
      <c r="C14" s="1">
        <v>34.5</v>
      </c>
      <c r="D14" s="1">
        <v>46.7</v>
      </c>
      <c r="E14" s="1">
        <v>52.5</v>
      </c>
      <c r="F14" s="1">
        <v>57.4</v>
      </c>
      <c r="G14" s="1">
        <v>83.1</v>
      </c>
      <c r="H14" s="1">
        <v>152</v>
      </c>
      <c r="I14" s="1">
        <v>139.30000000000001</v>
      </c>
      <c r="J14" s="1">
        <v>204.1</v>
      </c>
      <c r="K14" s="1">
        <v>251.3</v>
      </c>
    </row>
    <row r="15" spans="1:11" ht="20" customHeight="1" x14ac:dyDescent="0.15">
      <c r="A15" s="21" t="s">
        <v>31</v>
      </c>
      <c r="B15" s="14">
        <v>93.1</v>
      </c>
      <c r="C15" s="14">
        <v>112.2</v>
      </c>
      <c r="D15" s="14">
        <v>120.5</v>
      </c>
      <c r="E15" s="14">
        <v>158.4</v>
      </c>
      <c r="F15" s="14">
        <v>212.6</v>
      </c>
      <c r="G15" s="14">
        <v>293.2</v>
      </c>
      <c r="H15" s="14">
        <v>394.1</v>
      </c>
      <c r="I15" s="14">
        <v>422.4</v>
      </c>
      <c r="J15" s="14">
        <v>531.9</v>
      </c>
      <c r="K15" s="14">
        <v>554.79999999999995</v>
      </c>
    </row>
    <row r="16" spans="1:11" ht="20" customHeight="1" x14ac:dyDescent="0.15">
      <c r="A16" s="21" t="s">
        <v>32</v>
      </c>
      <c r="B16" s="14">
        <v>31.4</v>
      </c>
      <c r="C16" s="14">
        <v>25.1</v>
      </c>
      <c r="D16" s="14">
        <v>39.200000000000003</v>
      </c>
      <c r="E16" s="14">
        <v>46.4</v>
      </c>
      <c r="F16" s="14">
        <v>60</v>
      </c>
      <c r="G16" s="14">
        <v>131</v>
      </c>
      <c r="H16" s="14">
        <v>269.10000000000002</v>
      </c>
      <c r="I16" s="14">
        <v>272.2</v>
      </c>
      <c r="J16" s="14">
        <v>353.4</v>
      </c>
      <c r="K16" s="14">
        <v>329.7</v>
      </c>
    </row>
    <row r="17" spans="1:11" s="56" customFormat="1" ht="20" customHeight="1" x14ac:dyDescent="0.15">
      <c r="A17" s="1" t="s">
        <v>33</v>
      </c>
      <c r="B17" s="1">
        <v>83</v>
      </c>
      <c r="C17" s="1">
        <v>121.6</v>
      </c>
      <c r="D17" s="1">
        <v>128</v>
      </c>
      <c r="E17" s="1">
        <v>164.5</v>
      </c>
      <c r="F17" s="1">
        <v>210</v>
      </c>
      <c r="G17" s="1">
        <v>245.3</v>
      </c>
      <c r="H17" s="1">
        <v>277</v>
      </c>
      <c r="I17" s="1">
        <v>289.5</v>
      </c>
      <c r="J17" s="1">
        <v>382.6</v>
      </c>
      <c r="K17" s="1">
        <v>476.4</v>
      </c>
    </row>
    <row r="18" spans="1:11" ht="20" customHeight="1" x14ac:dyDescent="0.15">
      <c r="A18" s="8" t="s">
        <v>34</v>
      </c>
      <c r="B18" s="1">
        <v>-8.6999999999999993</v>
      </c>
      <c r="C18" s="1">
        <v>-9.6999999999999993</v>
      </c>
      <c r="D18" s="1">
        <v>-10.199999999999999</v>
      </c>
      <c r="E18" s="1">
        <v>-15.8</v>
      </c>
      <c r="F18" s="1">
        <v>-28.9</v>
      </c>
      <c r="G18" s="1">
        <v>-31.2</v>
      </c>
      <c r="H18" s="1">
        <v>-37.299999999999997</v>
      </c>
      <c r="I18" s="1">
        <v>-30.3</v>
      </c>
      <c r="J18" s="1">
        <v>-41.2</v>
      </c>
      <c r="K18" s="1">
        <v>-42.1</v>
      </c>
    </row>
    <row r="19" spans="1:11" ht="20" customHeight="1" x14ac:dyDescent="0.15">
      <c r="A19" s="1" t="s">
        <v>35</v>
      </c>
      <c r="B19" s="1">
        <v>74.3</v>
      </c>
      <c r="C19" s="1">
        <v>111.9</v>
      </c>
      <c r="D19" s="1">
        <v>117.8</v>
      </c>
      <c r="E19" s="1">
        <v>148.69999999999999</v>
      </c>
      <c r="F19" s="1">
        <v>181.1</v>
      </c>
      <c r="G19" s="1">
        <v>214.1</v>
      </c>
      <c r="H19" s="1">
        <v>239.7</v>
      </c>
      <c r="I19" s="1">
        <v>259.2</v>
      </c>
      <c r="J19" s="1">
        <v>341.4</v>
      </c>
      <c r="K19" s="1">
        <v>434.3</v>
      </c>
    </row>
    <row r="20" spans="1:11" s="16" customFormat="1" ht="20" customHeight="1" thickBot="1" x14ac:dyDescent="0.2">
      <c r="A20" s="17" t="s">
        <v>25</v>
      </c>
      <c r="B20" s="17">
        <v>117.5</v>
      </c>
      <c r="C20" s="17">
        <v>176.8</v>
      </c>
      <c r="D20" s="17">
        <v>213.4</v>
      </c>
      <c r="E20" s="17">
        <v>265.10000000000002</v>
      </c>
      <c r="F20" s="17">
        <v>327.39999999999998</v>
      </c>
      <c r="G20" s="17">
        <v>413.2</v>
      </c>
      <c r="H20" s="17">
        <v>493.6</v>
      </c>
      <c r="I20" s="17">
        <v>531.20000000000005</v>
      </c>
      <c r="J20" s="17">
        <v>640.79999999999995</v>
      </c>
      <c r="K20" s="17">
        <v>749.8</v>
      </c>
    </row>
    <row r="21" spans="1:11" s="16" customFormat="1" ht="20" customHeight="1" thickBot="1" x14ac:dyDescent="0.2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</row>
  </sheetData>
  <phoneticPr fontId="0" type="noConversion"/>
  <printOptions horizontalCentered="1" verticalCentered="1"/>
  <pageMargins left="0.24" right="0.3" top="0.98425196850393704" bottom="0.98425196850393704" header="0.51181102362204722" footer="0.51181102362204722"/>
  <pageSetup paperSize="9" orientation="landscape" horizontalDpi="4294967292" verticalDpi="0"/>
  <headerFooter>
    <oddHeader>&amp;C&amp;18A70 : Bilan au 31 décembre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H29"/>
  <sheetViews>
    <sheetView topLeftCell="A5" zoomScale="150" zoomScaleNormal="150" zoomScalePageLayoutView="150" workbookViewId="0">
      <pane xSplit="2" topLeftCell="C1" activePane="topRight" state="frozen"/>
      <selection activeCell="K13" sqref="K13"/>
      <selection pane="topRight" activeCell="K28" sqref="K28"/>
    </sheetView>
  </sheetViews>
  <sheetFormatPr baseColWidth="10" defaultColWidth="11.5" defaultRowHeight="13" x14ac:dyDescent="0.15"/>
  <cols>
    <col min="1" max="1" width="3.6640625" customWidth="1"/>
    <col min="2" max="2" width="50.6640625" customWidth="1"/>
    <col min="3" max="3" width="10.6640625" customWidth="1"/>
    <col min="4" max="4" width="11" customWidth="1"/>
    <col min="5" max="7" width="10.6640625" customWidth="1"/>
  </cols>
  <sheetData>
    <row r="1" spans="1:216" ht="40.5" customHeight="1" thickBot="1" x14ac:dyDescent="0.2">
      <c r="D1" s="179"/>
      <c r="F1" s="107"/>
      <c r="G1" s="107"/>
      <c r="H1" s="327"/>
      <c r="I1" s="327"/>
      <c r="J1" s="57"/>
    </row>
    <row r="2" spans="1:216" s="23" customFormat="1" ht="39.75" customHeight="1" thickTop="1" thickBot="1" x14ac:dyDescent="0.2">
      <c r="B2" s="264" t="s">
        <v>208</v>
      </c>
      <c r="C2" s="265">
        <v>36526</v>
      </c>
      <c r="D2" s="265">
        <f t="shared" ref="D2:I2" si="0">C2+366</f>
        <v>36892</v>
      </c>
      <c r="E2" s="265">
        <f t="shared" si="0"/>
        <v>37258</v>
      </c>
      <c r="F2" s="265">
        <f t="shared" si="0"/>
        <v>37624</v>
      </c>
      <c r="G2" s="265">
        <f t="shared" si="0"/>
        <v>37990</v>
      </c>
      <c r="H2" s="265">
        <f t="shared" si="0"/>
        <v>38356</v>
      </c>
      <c r="I2" s="444">
        <f t="shared" si="0"/>
        <v>38722</v>
      </c>
      <c r="J2" s="443"/>
    </row>
    <row r="3" spans="1:216" ht="39.75" customHeight="1" x14ac:dyDescent="0.15">
      <c r="B3" s="227" t="s">
        <v>102</v>
      </c>
      <c r="C3" s="107">
        <f>'d00 résultat '!C17/'d00 résultat '!C7</f>
        <v>0.15255448374419434</v>
      </c>
      <c r="D3" s="107">
        <f>'d00 résultat '!D17/'d00 résultat '!D7</f>
        <v>0.12822997416020673</v>
      </c>
      <c r="E3" s="107">
        <f>'d00 résultat '!E17/'d00 résultat '!E7</f>
        <v>0.12828282828282836</v>
      </c>
      <c r="F3" s="107">
        <f>'d00 résultat '!F17/'d00 résultat '!F7</f>
        <v>0.13241364327612423</v>
      </c>
      <c r="G3" s="107">
        <f>'d00 résultat '!G17/'d00 résultat '!G7</f>
        <v>0.15589652462153566</v>
      </c>
      <c r="H3" s="399">
        <f>'d00 résultat '!H17/'d00 résultat '!H7</f>
        <v>0.1502201422457588</v>
      </c>
      <c r="I3" s="207">
        <v>0.14199999999999999</v>
      </c>
      <c r="J3" s="14"/>
    </row>
    <row r="4" spans="1:216" s="57" customFormat="1" ht="39.75" customHeight="1" x14ac:dyDescent="0.15">
      <c r="B4" s="267" t="s">
        <v>103</v>
      </c>
      <c r="C4" s="319">
        <f>(1-'d00 résultat '!C21/('d00 résultat '!C19+'d00 résultat '!C20))</f>
        <v>0.71195652173913038</v>
      </c>
      <c r="D4" s="319">
        <f>(1-'d00 résultat '!D21/('d00 résultat '!D19+'d00 résultat '!D20))</f>
        <v>0.79856115107913672</v>
      </c>
      <c r="E4" s="319">
        <f>(1-'d00 résultat '!E21/('d00 résultat '!E19+'d00 résultat '!E20))</f>
        <v>0.82474226804123707</v>
      </c>
      <c r="F4" s="319">
        <f>(1-'d00 résultat '!F21/('d00 résultat '!F19+'d00 résultat '!F20))</f>
        <v>1.2908366533864541</v>
      </c>
      <c r="G4" s="319">
        <f>(1-'d00 résultat '!G21/('d00 résultat '!G19+'d00 résultat '!G20))</f>
        <v>0.7633316404266125</v>
      </c>
      <c r="H4" s="319">
        <f>(1-'d00 résultat '!H21/('d00 résultat '!H19+'d00 résultat '!H20))</f>
        <v>0.69621109607577814</v>
      </c>
      <c r="I4" s="204">
        <v>0.75</v>
      </c>
      <c r="J4" s="14"/>
      <c r="K4" s="316"/>
      <c r="L4" s="316"/>
      <c r="M4" s="316"/>
      <c r="N4" s="316"/>
    </row>
    <row r="5" spans="1:216" s="57" customFormat="1" ht="39.75" customHeight="1" thickBot="1" x14ac:dyDescent="0.2">
      <c r="B5" s="267" t="s">
        <v>104</v>
      </c>
      <c r="C5" s="136">
        <f>'d00 résultat '!C7/'d00 bilan'!C23</f>
        <v>0.87853107344632764</v>
      </c>
      <c r="D5" s="136">
        <f>'d00 résultat '!D7/'d00 bilan'!D23</f>
        <v>0.89531521110468493</v>
      </c>
      <c r="E5" s="136">
        <f>'d00 résultat '!E7/'d00 bilan'!E23</f>
        <v>1.028749567024593</v>
      </c>
      <c r="F5" s="136">
        <f>'d00 résultat '!F7/'d00 bilan'!F23</f>
        <v>0.95776113191843515</v>
      </c>
      <c r="G5" s="136">
        <f>'d00 résultat '!G7/'d00 bilan'!G23</f>
        <v>1.1016451455031435</v>
      </c>
      <c r="H5" s="400">
        <f>'d00 résultat '!H7/'d00 bilan'!H23</f>
        <v>1.0488939124818342</v>
      </c>
      <c r="I5" s="445">
        <v>1.28</v>
      </c>
      <c r="J5" s="14"/>
      <c r="K5" s="136"/>
      <c r="L5" s="136"/>
      <c r="M5" s="136"/>
      <c r="N5" s="136"/>
    </row>
    <row r="6" spans="1:216" s="16" customFormat="1" ht="39.75" customHeight="1" thickBot="1" x14ac:dyDescent="0.2">
      <c r="B6" s="270" t="s">
        <v>189</v>
      </c>
      <c r="C6" s="271">
        <f t="shared" ref="C6:H6" si="1">C3*C4*C5</f>
        <v>9.5419157182237493E-2</v>
      </c>
      <c r="D6" s="271">
        <f t="shared" si="1"/>
        <v>9.1679808264435322E-2</v>
      </c>
      <c r="E6" s="271">
        <f t="shared" si="1"/>
        <v>0.10884198272383495</v>
      </c>
      <c r="F6" s="271">
        <f t="shared" si="1"/>
        <v>0.16370473163525665</v>
      </c>
      <c r="G6" s="271">
        <f t="shared" si="1"/>
        <v>0.13109659841231053</v>
      </c>
      <c r="H6" s="401">
        <f t="shared" si="1"/>
        <v>0.10969849629432329</v>
      </c>
      <c r="I6" s="446">
        <v>0.13700000000000001</v>
      </c>
      <c r="J6" s="43"/>
    </row>
    <row r="7" spans="1:216" ht="39.75" customHeight="1" thickBot="1" x14ac:dyDescent="0.2">
      <c r="B7" s="272"/>
      <c r="C7" s="324"/>
      <c r="D7" s="324"/>
      <c r="E7" s="324"/>
      <c r="F7" s="324"/>
      <c r="G7" s="324"/>
      <c r="H7" s="402"/>
      <c r="I7" s="447"/>
      <c r="J7" s="21"/>
    </row>
    <row r="8" spans="1:216" ht="39.75" customHeight="1" thickTop="1" x14ac:dyDescent="0.15">
      <c r="B8" s="224" t="s">
        <v>106</v>
      </c>
      <c r="C8" s="273">
        <f>C6-'d00 résultat '!C18/'d00 bilan'!C8*C4</f>
        <v>7.1026642518798339E-2</v>
      </c>
      <c r="D8" s="273">
        <f>D6-'d00 résultat '!D18/'d00 bilan'!D8*D4</f>
        <v>4.9722283479009519E-2</v>
      </c>
      <c r="E8" s="273">
        <f>E6-'d00 résultat '!E18/'d00 bilan'!E8*E4</f>
        <v>6.984707643346913E-2</v>
      </c>
      <c r="F8" s="273">
        <f>F6-'d00 résultat '!F18/'d00 bilan'!F8*F4</f>
        <v>6.5560405563524951E-2</v>
      </c>
      <c r="G8" s="273">
        <f>G6-'d00 résultat '!G18/'d00 bilan'!G8*G4</f>
        <v>8.1513468613658463E-2</v>
      </c>
      <c r="H8" s="273">
        <f>H6-'d00 résultat '!H18/'d00 bilan'!H8*H4</f>
        <v>7.6093168460606139E-2</v>
      </c>
      <c r="I8" s="448">
        <v>5.2999999999999999E-2</v>
      </c>
      <c r="J8" s="14"/>
    </row>
    <row r="9" spans="1:216" ht="39.75" customHeight="1" thickBot="1" x14ac:dyDescent="0.2">
      <c r="B9" s="267" t="s">
        <v>107</v>
      </c>
      <c r="C9" s="136">
        <f>'d00 bilan'!C8/'d00 bilan'!C3</f>
        <v>1.4172989377845222</v>
      </c>
      <c r="D9" s="136">
        <f>'d00 bilan'!D8/'d00 bilan'!D3</f>
        <v>1.0257762155828938</v>
      </c>
      <c r="E9" s="136">
        <f>'d00 bilan'!E8/'d00 bilan'!E3</f>
        <v>0.73897590361445797</v>
      </c>
      <c r="F9" s="136">
        <f>'d00 bilan'!F8/'d00 bilan'!F3</f>
        <v>-3.9367552703941358</v>
      </c>
      <c r="G9" s="136">
        <f>'d00 bilan'!G8/'d00 bilan'!G3</f>
        <v>-3.9315748813596736</v>
      </c>
      <c r="H9" s="313">
        <f>'d00 bilan'!H8/'d00 bilan'!H3</f>
        <v>-5.7245956667683844</v>
      </c>
      <c r="I9" s="449">
        <v>1.44</v>
      </c>
      <c r="J9" s="14"/>
    </row>
    <row r="10" spans="1:216" s="16" customFormat="1" ht="39.75" customHeight="1" thickTop="1" thickBot="1" x14ac:dyDescent="0.2">
      <c r="B10" s="277" t="s">
        <v>108</v>
      </c>
      <c r="C10" s="173">
        <f t="shared" ref="C10:I10" si="2">C8*C9</f>
        <v>0.10066598499629387</v>
      </c>
      <c r="D10" s="173">
        <f t="shared" si="2"/>
        <v>5.1003935777238225E-2</v>
      </c>
      <c r="E10" s="173">
        <f t="shared" si="2"/>
        <v>5.1615306422250963E-2</v>
      </c>
      <c r="F10" s="173">
        <f t="shared" si="2"/>
        <v>-0.25809527213138389</v>
      </c>
      <c r="G10" s="173">
        <f t="shared" si="2"/>
        <v>-0.32047630569395974</v>
      </c>
      <c r="H10" s="314">
        <f t="shared" si="2"/>
        <v>-0.4356026224402626</v>
      </c>
      <c r="I10" s="450">
        <f t="shared" si="2"/>
        <v>7.6319999999999999E-2</v>
      </c>
      <c r="J10" s="43"/>
    </row>
    <row r="11" spans="1:216" ht="39.75" customHeight="1" thickTop="1" thickBot="1" x14ac:dyDescent="0.2">
      <c r="B11" s="272"/>
      <c r="C11" s="279"/>
      <c r="D11" s="279"/>
      <c r="E11" s="279"/>
      <c r="F11" s="279"/>
      <c r="G11" s="279"/>
      <c r="H11" s="403"/>
      <c r="I11" s="451"/>
      <c r="J11" s="21"/>
    </row>
    <row r="12" spans="1:216" s="16" customFormat="1" ht="39.75" customHeight="1" thickTop="1" thickBot="1" x14ac:dyDescent="0.2">
      <c r="B12" s="281" t="s">
        <v>109</v>
      </c>
      <c r="C12" s="278">
        <f t="shared" ref="C12:H12" si="3">C10+C6</f>
        <v>0.19608514217853135</v>
      </c>
      <c r="D12" s="173">
        <f t="shared" si="3"/>
        <v>0.14268374404167355</v>
      </c>
      <c r="E12" s="173">
        <f t="shared" si="3"/>
        <v>0.16045728914608592</v>
      </c>
      <c r="F12" s="173">
        <f t="shared" si="3"/>
        <v>-9.4390540496127245E-2</v>
      </c>
      <c r="G12" s="173">
        <f t="shared" si="3"/>
        <v>-0.18937970728164921</v>
      </c>
      <c r="H12" s="173">
        <f t="shared" si="3"/>
        <v>-0.32590412614593933</v>
      </c>
      <c r="I12" s="174">
        <v>0.214</v>
      </c>
      <c r="J12" s="44"/>
    </row>
    <row r="13" spans="1:216" ht="39.75" customHeight="1" thickTop="1" x14ac:dyDescent="0.15">
      <c r="B13" s="267"/>
      <c r="C13" s="92"/>
      <c r="D13" s="309" t="s">
        <v>213</v>
      </c>
      <c r="E13" s="309" t="s">
        <v>213</v>
      </c>
      <c r="F13" s="309" t="s">
        <v>213</v>
      </c>
      <c r="G13" s="309" t="s">
        <v>213</v>
      </c>
      <c r="H13" s="404" t="s">
        <v>213</v>
      </c>
      <c r="I13" s="207" t="s">
        <v>213</v>
      </c>
      <c r="J13" s="14"/>
    </row>
    <row r="14" spans="1:216" s="56" customFormat="1" ht="39.75" customHeight="1" thickBot="1" x14ac:dyDescent="0.2">
      <c r="A14" s="280"/>
      <c r="B14" s="232" t="s">
        <v>110</v>
      </c>
      <c r="C14" s="282">
        <f>Annexe!B40</f>
        <v>0.01</v>
      </c>
      <c r="D14" s="282">
        <f>Annexe!B41</f>
        <v>1.6299999999999999E-2</v>
      </c>
      <c r="E14" s="282">
        <f>Annexe!B42</f>
        <v>1.9199999999999998E-2</v>
      </c>
      <c r="F14" s="282">
        <f>Annexe!B43</f>
        <v>2.1099999999999997E-2</v>
      </c>
      <c r="G14" s="282">
        <f>Annexe!B44</f>
        <v>2.1299999999999999E-2</v>
      </c>
      <c r="H14" s="282">
        <f>Annexe!B45</f>
        <v>1.7399999999999999E-2</v>
      </c>
      <c r="I14" s="452">
        <f>Annexe!H40</f>
        <v>1.6899999999999998E-2</v>
      </c>
      <c r="J14" s="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</row>
    <row r="15" spans="1:216" thickTop="1" x14ac:dyDescent="0.2">
      <c r="J15" s="57"/>
    </row>
    <row r="17" spans="9:9" x14ac:dyDescent="0.2">
      <c r="I17" s="442"/>
    </row>
    <row r="18" spans="9:9" x14ac:dyDescent="0.2">
      <c r="I18" s="189"/>
    </row>
    <row r="19" spans="9:9" x14ac:dyDescent="0.2">
      <c r="I19" s="188"/>
    </row>
    <row r="20" spans="9:9" x14ac:dyDescent="0.2">
      <c r="I20" s="188"/>
    </row>
    <row r="21" spans="9:9" x14ac:dyDescent="0.2">
      <c r="I21" s="189"/>
    </row>
    <row r="22" spans="9:9" x14ac:dyDescent="0.2">
      <c r="I22" s="172"/>
    </row>
    <row r="23" spans="9:9" x14ac:dyDescent="0.2">
      <c r="I23" s="396"/>
    </row>
    <row r="24" spans="9:9" x14ac:dyDescent="0.2">
      <c r="I24" s="188"/>
    </row>
    <row r="25" spans="9:9" x14ac:dyDescent="0.2">
      <c r="I25" s="172"/>
    </row>
    <row r="26" spans="9:9" x14ac:dyDescent="0.2">
      <c r="I26" s="172"/>
    </row>
    <row r="27" spans="9:9" x14ac:dyDescent="0.2">
      <c r="I27" s="188"/>
    </row>
    <row r="28" spans="9:9" x14ac:dyDescent="0.2">
      <c r="I28" s="189"/>
    </row>
    <row r="29" spans="9:9" x14ac:dyDescent="0.2">
      <c r="I29" s="200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/>
  <headerFooter>
    <oddHeader>&amp;C&amp;"Arial,Gras"&amp;18D 0 : formation de la rentabilité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BM32"/>
  <sheetViews>
    <sheetView zoomScale="130" zoomScaleNormal="130" zoomScalePageLayoutView="130" workbookViewId="0">
      <selection activeCell="P19" sqref="P19"/>
    </sheetView>
  </sheetViews>
  <sheetFormatPr baseColWidth="10" defaultColWidth="11.5" defaultRowHeight="13" x14ac:dyDescent="0.15"/>
  <cols>
    <col min="1" max="1" width="36.33203125" customWidth="1"/>
    <col min="2" max="2" width="11.33203125" bestFit="1" customWidth="1"/>
    <col min="3" max="3" width="12.33203125" bestFit="1" customWidth="1"/>
    <col min="4" max="5" width="11.33203125" bestFit="1" customWidth="1"/>
    <col min="6" max="7" width="12.33203125" bestFit="1" customWidth="1"/>
    <col min="8" max="10" width="11.33203125" bestFit="1" customWidth="1"/>
  </cols>
  <sheetData>
    <row r="2" spans="1:13" ht="23" x14ac:dyDescent="0.25">
      <c r="A2" s="294" t="s">
        <v>293</v>
      </c>
    </row>
    <row r="4" spans="1:13" ht="14" thickBot="1" x14ac:dyDescent="0.2">
      <c r="A4" s="125" t="s">
        <v>321</v>
      </c>
      <c r="B4" s="412">
        <v>2007</v>
      </c>
      <c r="C4" s="412">
        <v>2008</v>
      </c>
      <c r="D4" s="412">
        <v>2009</v>
      </c>
      <c r="E4" s="412">
        <v>2010</v>
      </c>
      <c r="F4" s="412">
        <v>2011</v>
      </c>
      <c r="G4" s="412">
        <v>2012</v>
      </c>
      <c r="H4" s="412">
        <v>2013</v>
      </c>
      <c r="I4" s="412">
        <v>2014</v>
      </c>
      <c r="J4" s="412">
        <v>2015</v>
      </c>
      <c r="K4" s="412">
        <v>2016</v>
      </c>
      <c r="L4" s="460">
        <f>K4+1</f>
        <v>2017</v>
      </c>
    </row>
    <row r="5" spans="1:13" x14ac:dyDescent="0.15">
      <c r="A5" t="s">
        <v>294</v>
      </c>
      <c r="B5" s="413">
        <v>98786</v>
      </c>
      <c r="C5" s="413">
        <v>103630</v>
      </c>
      <c r="D5" s="413">
        <v>95758</v>
      </c>
      <c r="E5" s="413">
        <v>99870</v>
      </c>
      <c r="F5" s="413">
        <v>106916</v>
      </c>
      <c r="G5" s="413">
        <v>104507</v>
      </c>
      <c r="H5" s="413">
        <v>98367</v>
      </c>
      <c r="I5" s="413">
        <v>92793</v>
      </c>
      <c r="J5" s="413">
        <v>81741</v>
      </c>
      <c r="K5" s="413">
        <v>79919</v>
      </c>
      <c r="L5" s="413">
        <v>79139</v>
      </c>
    </row>
    <row r="6" spans="1:13" x14ac:dyDescent="0.15">
      <c r="A6" s="372" t="s">
        <v>228</v>
      </c>
      <c r="B6" s="413">
        <v>57057</v>
      </c>
      <c r="C6" s="413">
        <v>57969</v>
      </c>
      <c r="D6" s="413">
        <v>51973</v>
      </c>
      <c r="E6" s="413">
        <v>53857</v>
      </c>
      <c r="F6" s="413">
        <v>56778</v>
      </c>
      <c r="G6" s="413">
        <v>54209</v>
      </c>
      <c r="H6" s="413">
        <v>49683</v>
      </c>
      <c r="I6" s="413">
        <v>46386</v>
      </c>
      <c r="J6" s="413">
        <v>41057</v>
      </c>
      <c r="K6" s="413">
        <v>41625</v>
      </c>
      <c r="L6" s="413">
        <v>42913</v>
      </c>
    </row>
    <row r="7" spans="1:13" x14ac:dyDescent="0.15">
      <c r="A7" s="372" t="s">
        <v>295</v>
      </c>
      <c r="B7" s="413">
        <v>41729</v>
      </c>
      <c r="C7" s="413">
        <v>45661</v>
      </c>
      <c r="D7" s="413">
        <v>43785</v>
      </c>
      <c r="E7" s="413">
        <v>46013</v>
      </c>
      <c r="F7" s="413">
        <v>50138</v>
      </c>
      <c r="G7" s="413">
        <v>50298</v>
      </c>
      <c r="H7" s="413">
        <v>48684</v>
      </c>
      <c r="I7" s="413">
        <v>46407</v>
      </c>
      <c r="J7" s="413">
        <v>40684</v>
      </c>
      <c r="K7" s="413">
        <f>K5-K6</f>
        <v>38294</v>
      </c>
      <c r="L7" s="413">
        <f>L5-L6</f>
        <v>36226</v>
      </c>
    </row>
    <row r="8" spans="1:13" x14ac:dyDescent="0.15">
      <c r="A8" s="372" t="s">
        <v>250</v>
      </c>
      <c r="B8" s="413">
        <v>22060</v>
      </c>
      <c r="C8" s="413">
        <v>23386</v>
      </c>
      <c r="D8" s="413">
        <v>20952</v>
      </c>
      <c r="E8" s="413">
        <v>21837</v>
      </c>
      <c r="F8" s="413">
        <v>23594</v>
      </c>
      <c r="G8" s="413">
        <v>23553</v>
      </c>
      <c r="H8" s="413">
        <v>23451</v>
      </c>
      <c r="I8" s="413">
        <v>23180</v>
      </c>
      <c r="J8" s="413">
        <v>20430</v>
      </c>
      <c r="K8" s="413">
        <v>21069</v>
      </c>
      <c r="L8" s="413">
        <v>20107</v>
      </c>
    </row>
    <row r="9" spans="1:13" x14ac:dyDescent="0.15">
      <c r="A9" s="372" t="s">
        <v>251</v>
      </c>
      <c r="B9" s="413">
        <v>6153</v>
      </c>
      <c r="C9" s="413">
        <v>6337</v>
      </c>
      <c r="D9" s="413">
        <v>5820</v>
      </c>
      <c r="E9" s="413">
        <v>6026</v>
      </c>
      <c r="F9" s="413">
        <v>6258</v>
      </c>
      <c r="G9" s="413">
        <v>6302</v>
      </c>
      <c r="H9" s="413">
        <v>5743</v>
      </c>
      <c r="I9" s="413">
        <v>5437</v>
      </c>
      <c r="J9" s="413">
        <v>5247</v>
      </c>
      <c r="K9" s="413">
        <v>5751</v>
      </c>
      <c r="L9" s="413">
        <v>5787</v>
      </c>
    </row>
    <row r="10" spans="1:13" x14ac:dyDescent="0.15">
      <c r="A10" s="372" t="s">
        <v>296</v>
      </c>
      <c r="B10" s="413">
        <v>1584</v>
      </c>
      <c r="C10" s="413">
        <v>1451</v>
      </c>
      <c r="D10" s="413">
        <v>1528</v>
      </c>
      <c r="E10" s="413">
        <v>1941</v>
      </c>
      <c r="F10" s="413">
        <v>1128</v>
      </c>
      <c r="G10" s="413">
        <v>1917</v>
      </c>
      <c r="H10" s="413">
        <v>1155</v>
      </c>
      <c r="I10" s="413">
        <v>2680</v>
      </c>
      <c r="J10" s="413">
        <v>1406</v>
      </c>
      <c r="K10" s="413">
        <v>1486</v>
      </c>
      <c r="L10" s="413">
        <v>1682</v>
      </c>
    </row>
    <row r="11" spans="1:13" s="16" customFormat="1" x14ac:dyDescent="0.15">
      <c r="A11" s="421" t="s">
        <v>297</v>
      </c>
      <c r="B11" s="412">
        <v>15100</v>
      </c>
      <c r="C11" s="412">
        <v>17389</v>
      </c>
      <c r="D11" s="412">
        <v>18541</v>
      </c>
      <c r="E11" s="412">
        <v>20091</v>
      </c>
      <c r="F11" s="412">
        <v>21414</v>
      </c>
      <c r="G11" s="412">
        <v>22360</v>
      </c>
      <c r="H11" s="412">
        <v>20645</v>
      </c>
      <c r="I11" s="412">
        <v>20470</v>
      </c>
      <c r="J11" s="412">
        <v>16413</v>
      </c>
      <c r="K11" s="412">
        <f>K7-K8-K9+K10</f>
        <v>12960</v>
      </c>
      <c r="L11" s="460">
        <f>L7-L8-L9+L10</f>
        <v>12014</v>
      </c>
    </row>
    <row r="12" spans="1:13" x14ac:dyDescent="0.15">
      <c r="A12" s="372" t="s">
        <v>300</v>
      </c>
      <c r="B12" s="413">
        <v>611</v>
      </c>
      <c r="C12" s="413">
        <v>673</v>
      </c>
      <c r="D12" s="413">
        <v>402</v>
      </c>
      <c r="E12" s="413">
        <v>368</v>
      </c>
      <c r="F12" s="413">
        <v>411</v>
      </c>
      <c r="G12" s="413">
        <v>459</v>
      </c>
      <c r="H12" s="413">
        <v>402</v>
      </c>
      <c r="I12" s="413">
        <v>484</v>
      </c>
      <c r="J12" s="413">
        <v>468</v>
      </c>
      <c r="K12" s="413">
        <v>630</v>
      </c>
      <c r="L12" s="413">
        <v>615</v>
      </c>
    </row>
    <row r="13" spans="1:13" x14ac:dyDescent="0.15">
      <c r="A13" s="372" t="s">
        <v>245</v>
      </c>
      <c r="B13" s="413">
        <v>0</v>
      </c>
      <c r="C13" s="413">
        <v>0</v>
      </c>
      <c r="D13" s="413">
        <v>0</v>
      </c>
      <c r="E13" s="413">
        <v>0</v>
      </c>
      <c r="F13" s="413">
        <v>0</v>
      </c>
      <c r="G13" s="413">
        <v>0</v>
      </c>
      <c r="H13" s="413">
        <v>-398</v>
      </c>
      <c r="I13" s="413">
        <v>-3729</v>
      </c>
      <c r="J13" s="413">
        <v>-174</v>
      </c>
      <c r="K13" s="413">
        <v>-9</v>
      </c>
      <c r="L13" s="413">
        <f>-5-5500</f>
        <v>-5505</v>
      </c>
      <c r="M13" s="462" t="s">
        <v>353</v>
      </c>
    </row>
    <row r="14" spans="1:13" x14ac:dyDescent="0.15">
      <c r="A14" s="372" t="s">
        <v>299</v>
      </c>
      <c r="B14" s="413">
        <v>14489</v>
      </c>
      <c r="C14" s="413">
        <v>16716</v>
      </c>
      <c r="D14" s="413">
        <v>18139</v>
      </c>
      <c r="E14" s="413">
        <v>19723</v>
      </c>
      <c r="F14" s="413">
        <v>21003</v>
      </c>
      <c r="G14" s="413">
        <v>21901</v>
      </c>
      <c r="H14" s="413">
        <v>19845</v>
      </c>
      <c r="I14" s="413">
        <v>16257</v>
      </c>
      <c r="J14" s="413">
        <v>15771</v>
      </c>
      <c r="K14" s="413">
        <f>K11-K12+K13</f>
        <v>12321</v>
      </c>
      <c r="L14" s="413">
        <f>L11-L12+L13</f>
        <v>5894</v>
      </c>
    </row>
    <row r="15" spans="1:13" x14ac:dyDescent="0.15">
      <c r="A15" s="372" t="s">
        <v>130</v>
      </c>
      <c r="B15" s="413">
        <v>4071</v>
      </c>
      <c r="C15" s="413">
        <v>4381</v>
      </c>
      <c r="D15" s="413">
        <v>4713</v>
      </c>
      <c r="E15" s="413">
        <v>4890</v>
      </c>
      <c r="F15" s="413">
        <v>5148</v>
      </c>
      <c r="G15" s="413">
        <v>5298</v>
      </c>
      <c r="H15" s="413">
        <v>3363</v>
      </c>
      <c r="I15" s="413">
        <v>4234</v>
      </c>
      <c r="J15" s="413">
        <v>2581</v>
      </c>
      <c r="K15" s="413">
        <v>449</v>
      </c>
      <c r="L15" s="413">
        <f>5642-5500</f>
        <v>142</v>
      </c>
    </row>
    <row r="16" spans="1:13" s="16" customFormat="1" x14ac:dyDescent="0.15">
      <c r="A16" s="421" t="s">
        <v>298</v>
      </c>
      <c r="B16" s="412">
        <v>10418</v>
      </c>
      <c r="C16" s="412">
        <v>12335</v>
      </c>
      <c r="D16" s="412">
        <v>13426</v>
      </c>
      <c r="E16" s="412">
        <v>14833</v>
      </c>
      <c r="F16" s="412">
        <v>15855</v>
      </c>
      <c r="G16" s="412">
        <v>16603</v>
      </c>
      <c r="H16" s="412">
        <v>16482</v>
      </c>
      <c r="I16" s="412">
        <v>12023</v>
      </c>
      <c r="J16" s="412">
        <v>13190</v>
      </c>
      <c r="K16" s="412">
        <f>K14-K15</f>
        <v>11872</v>
      </c>
      <c r="L16" s="460">
        <f>L14-L15</f>
        <v>5752</v>
      </c>
    </row>
    <row r="20" spans="1:65" x14ac:dyDescent="0.15">
      <c r="A20" s="411" t="s">
        <v>301</v>
      </c>
      <c r="B20" s="414">
        <v>2007</v>
      </c>
      <c r="C20" s="414">
        <v>2008</v>
      </c>
      <c r="D20" s="414">
        <v>2009</v>
      </c>
      <c r="E20" s="414">
        <v>2010</v>
      </c>
      <c r="F20" s="414">
        <v>2011</v>
      </c>
      <c r="G20" s="414">
        <v>2012</v>
      </c>
      <c r="H20" s="414">
        <v>2013</v>
      </c>
      <c r="I20" s="414">
        <v>2014</v>
      </c>
      <c r="J20" s="414">
        <v>2015</v>
      </c>
      <c r="K20" s="412">
        <f>J20+1</f>
        <v>2016</v>
      </c>
      <c r="L20" s="460">
        <f>K20+1</f>
        <v>2017</v>
      </c>
    </row>
    <row r="21" spans="1:65" x14ac:dyDescent="0.15">
      <c r="A21" t="s">
        <v>294</v>
      </c>
      <c r="B21" s="415">
        <v>1</v>
      </c>
      <c r="C21" s="415">
        <v>1</v>
      </c>
      <c r="D21" s="415">
        <v>1</v>
      </c>
      <c r="E21" s="415">
        <v>1</v>
      </c>
      <c r="F21" s="415">
        <v>1</v>
      </c>
      <c r="G21" s="415">
        <v>1</v>
      </c>
      <c r="H21" s="415">
        <v>1</v>
      </c>
      <c r="I21" s="415">
        <v>1</v>
      </c>
      <c r="J21" s="415">
        <v>1</v>
      </c>
      <c r="K21" s="291">
        <f>K5/K$5</f>
        <v>1</v>
      </c>
      <c r="L21" s="415">
        <f>L5/L$5</f>
        <v>1</v>
      </c>
    </row>
    <row r="22" spans="1:65" x14ac:dyDescent="0.15">
      <c r="A22" s="372" t="s">
        <v>228</v>
      </c>
      <c r="B22" s="416">
        <v>0.57131270651847399</v>
      </c>
      <c r="C22" s="416">
        <v>0.58044457795133675</v>
      </c>
      <c r="D22" s="416">
        <v>0.52040652848703317</v>
      </c>
      <c r="E22" s="416">
        <v>0.53927105236807849</v>
      </c>
      <c r="F22" s="416">
        <v>0.53105241497998423</v>
      </c>
      <c r="G22" s="416">
        <v>0.51871166524730405</v>
      </c>
      <c r="H22" s="416">
        <v>0.47540356148391971</v>
      </c>
      <c r="I22" s="416">
        <v>0.49988684491287061</v>
      </c>
      <c r="J22" s="416">
        <v>0.5022815967507126</v>
      </c>
      <c r="K22" s="436">
        <f t="shared" ref="K22:L32" si="0">K6/K$5</f>
        <v>0.5208398503484778</v>
      </c>
      <c r="L22" s="416">
        <f t="shared" si="0"/>
        <v>0.5422484489316266</v>
      </c>
    </row>
    <row r="23" spans="1:65" x14ac:dyDescent="0.15">
      <c r="A23" s="372" t="s">
        <v>295</v>
      </c>
      <c r="B23" s="416">
        <v>0.42241815641892577</v>
      </c>
      <c r="C23" s="416">
        <v>0.44061565183827078</v>
      </c>
      <c r="D23" s="416">
        <v>0.45724639194636479</v>
      </c>
      <c r="E23" s="416">
        <v>0.46072894763192151</v>
      </c>
      <c r="F23" s="416">
        <v>0.46894758502001571</v>
      </c>
      <c r="G23" s="416">
        <v>0.481288334752696</v>
      </c>
      <c r="H23" s="416">
        <v>0.49492207752599959</v>
      </c>
      <c r="I23" s="416">
        <v>0.50011315508712939</v>
      </c>
      <c r="J23" s="416">
        <v>0.4977184032492874</v>
      </c>
      <c r="K23" s="436">
        <f t="shared" si="0"/>
        <v>0.47916014965152215</v>
      </c>
      <c r="L23" s="416">
        <f t="shared" si="0"/>
        <v>0.45775155106837334</v>
      </c>
    </row>
    <row r="24" spans="1:65" x14ac:dyDescent="0.15">
      <c r="A24" s="372" t="s">
        <v>250</v>
      </c>
      <c r="B24" s="416">
        <v>0.22088715329928907</v>
      </c>
      <c r="C24" s="416">
        <v>0.23416441373785921</v>
      </c>
      <c r="D24" s="416">
        <v>0.20979273054971462</v>
      </c>
      <c r="E24" s="416">
        <v>0.21865425052568338</v>
      </c>
      <c r="F24" s="416">
        <v>0.22067791537281603</v>
      </c>
      <c r="G24" s="416">
        <v>0.22537246308859693</v>
      </c>
      <c r="H24" s="416">
        <v>0.22439645191231208</v>
      </c>
      <c r="I24" s="416">
        <v>0.24980332568189412</v>
      </c>
      <c r="J24" s="416">
        <v>0.24993577274562337</v>
      </c>
      <c r="K24" s="436">
        <f t="shared" si="0"/>
        <v>0.26362942479260248</v>
      </c>
      <c r="L24" s="416">
        <f t="shared" si="0"/>
        <v>0.25407194935493244</v>
      </c>
    </row>
    <row r="25" spans="1:65" x14ac:dyDescent="0.15">
      <c r="A25" s="372" t="s">
        <v>251</v>
      </c>
      <c r="B25" s="416">
        <v>6.1610093121057377E-2</v>
      </c>
      <c r="C25" s="416">
        <v>6.3452488234705118E-2</v>
      </c>
      <c r="D25" s="416">
        <v>5.8275758486031844E-2</v>
      </c>
      <c r="E25" s="416">
        <v>6.0338439971963552E-2</v>
      </c>
      <c r="F25" s="416">
        <v>5.8531931609861948E-2</v>
      </c>
      <c r="G25" s="416">
        <v>6.0302180715167408E-2</v>
      </c>
      <c r="H25" s="416">
        <v>5.4953256719645571E-2</v>
      </c>
      <c r="I25" s="416">
        <v>5.8592781783108637E-2</v>
      </c>
      <c r="J25" s="416">
        <v>6.4190553088413399E-2</v>
      </c>
      <c r="K25" s="436">
        <f t="shared" si="0"/>
        <v>7.1960359864362666E-2</v>
      </c>
      <c r="L25" s="416">
        <f t="shared" si="0"/>
        <v>7.312450245770101E-2</v>
      </c>
    </row>
    <row r="26" spans="1:65" x14ac:dyDescent="0.15">
      <c r="A26" s="372" t="s">
        <v>296</v>
      </c>
      <c r="B26" s="416">
        <v>1.5860618804445781E-2</v>
      </c>
      <c r="C26" s="416">
        <v>1.4528887553819966E-2</v>
      </c>
      <c r="D26" s="416">
        <v>1.5299889856813858E-2</v>
      </c>
      <c r="E26" s="416">
        <v>1.9435265845599278E-2</v>
      </c>
      <c r="F26" s="416">
        <v>1.0550338583560926E-2</v>
      </c>
      <c r="G26" s="416">
        <v>1.8343268871941591E-2</v>
      </c>
      <c r="H26" s="416">
        <v>1.1051891260872478E-2</v>
      </c>
      <c r="I26" s="416">
        <v>2.8881488905413123E-2</v>
      </c>
      <c r="J26" s="416">
        <v>1.7200670410198064E-2</v>
      </c>
      <c r="K26" s="436">
        <f t="shared" si="0"/>
        <v>1.859382624907719E-2</v>
      </c>
      <c r="L26" s="416">
        <f t="shared" si="0"/>
        <v>2.1253743413487659E-2</v>
      </c>
    </row>
    <row r="27" spans="1:65" s="16" customFormat="1" x14ac:dyDescent="0.15">
      <c r="A27" s="421" t="s">
        <v>297</v>
      </c>
      <c r="B27" s="417">
        <v>0.15119655552217884</v>
      </c>
      <c r="C27" s="417">
        <v>0.17411635125663363</v>
      </c>
      <c r="D27" s="417">
        <v>0.18565134675077602</v>
      </c>
      <c r="E27" s="417">
        <v>0.20117152297987384</v>
      </c>
      <c r="F27" s="417">
        <v>0.20028807662089865</v>
      </c>
      <c r="G27" s="417">
        <v>0.21395695982087323</v>
      </c>
      <c r="H27" s="417">
        <v>0.19754657582745652</v>
      </c>
      <c r="I27" s="417">
        <v>0.2205985365275398</v>
      </c>
      <c r="J27" s="417">
        <v>0.20079274782544868</v>
      </c>
      <c r="K27" s="417">
        <f t="shared" si="0"/>
        <v>0.16216419124363418</v>
      </c>
      <c r="L27" s="461">
        <f t="shared" si="0"/>
        <v>0.15180884266922756</v>
      </c>
    </row>
    <row r="28" spans="1:65" x14ac:dyDescent="0.15">
      <c r="A28" s="372" t="s">
        <v>300</v>
      </c>
      <c r="B28" s="416">
        <v>6.1179533393411435E-3</v>
      </c>
      <c r="C28" s="416">
        <v>6.738760388505057E-3</v>
      </c>
      <c r="D28" s="416">
        <v>4.0252328026434362E-3</v>
      </c>
      <c r="E28" s="416">
        <v>3.6847902272954839E-3</v>
      </c>
      <c r="F28" s="416">
        <v>3.8441393243293801E-3</v>
      </c>
      <c r="G28" s="416">
        <v>4.3920502932817901E-3</v>
      </c>
      <c r="H28" s="416">
        <v>3.8466322830049663E-3</v>
      </c>
      <c r="I28" s="416">
        <v>5.2159106829178922E-3</v>
      </c>
      <c r="J28" s="416">
        <v>5.7254009615737515E-3</v>
      </c>
      <c r="K28" s="436">
        <f>K12/K$5</f>
        <v>7.8829815187877721E-3</v>
      </c>
      <c r="L28" s="416">
        <f>L12/L$5</f>
        <v>7.7711368604607084E-3</v>
      </c>
    </row>
    <row r="29" spans="1:65" x14ac:dyDescent="0.15">
      <c r="A29" s="372" t="s">
        <v>245</v>
      </c>
      <c r="B29" s="416">
        <v>0</v>
      </c>
      <c r="C29" s="416">
        <v>0</v>
      </c>
      <c r="D29" s="416">
        <v>0</v>
      </c>
      <c r="E29" s="416">
        <v>0</v>
      </c>
      <c r="F29" s="416">
        <v>0</v>
      </c>
      <c r="G29" s="416">
        <v>0</v>
      </c>
      <c r="H29" s="416">
        <v>-3.8083573349153646E-3</v>
      </c>
      <c r="I29" s="416">
        <v>-4.0186220943390125E-2</v>
      </c>
      <c r="J29" s="416">
        <v>-2.1286747164825487E-3</v>
      </c>
      <c r="K29" s="436">
        <f t="shared" si="0"/>
        <v>-1.1261402169696819E-4</v>
      </c>
      <c r="L29" s="416">
        <f t="shared" si="0"/>
        <v>-6.9561151897294629E-2</v>
      </c>
    </row>
    <row r="30" spans="1:65" x14ac:dyDescent="0.15">
      <c r="A30" s="372" t="s">
        <v>299</v>
      </c>
      <c r="B30" s="416">
        <v>0.14507860218283769</v>
      </c>
      <c r="C30" s="416">
        <v>0.16737759086812856</v>
      </c>
      <c r="D30" s="416">
        <v>0.18162611394813258</v>
      </c>
      <c r="E30" s="416">
        <v>0.19748673275257836</v>
      </c>
      <c r="F30" s="416">
        <v>0.19644393729656928</v>
      </c>
      <c r="G30" s="416">
        <v>0.20956490952759146</v>
      </c>
      <c r="H30" s="416">
        <v>0.1898915862095362</v>
      </c>
      <c r="I30" s="416">
        <v>0.17519640490123178</v>
      </c>
      <c r="J30" s="416">
        <v>0.19293867214739238</v>
      </c>
      <c r="K30" s="436">
        <f t="shared" si="0"/>
        <v>0.15416859570314945</v>
      </c>
      <c r="L30" s="416">
        <f t="shared" si="0"/>
        <v>7.4476553911472218E-2</v>
      </c>
    </row>
    <row r="31" spans="1:65" x14ac:dyDescent="0.15">
      <c r="A31" s="372" t="s">
        <v>130</v>
      </c>
      <c r="B31" s="416">
        <v>4.0762991889456292E-2</v>
      </c>
      <c r="C31" s="416">
        <v>4.3867027135275856E-2</v>
      </c>
      <c r="D31" s="416">
        <v>4.7191348753379395E-2</v>
      </c>
      <c r="E31" s="416">
        <v>4.8963652748573144E-2</v>
      </c>
      <c r="F31" s="416">
        <v>4.8149949493059972E-2</v>
      </c>
      <c r="G31" s="416">
        <v>5.0695168744677388E-2</v>
      </c>
      <c r="H31" s="416">
        <v>3.2179662606332593E-2</v>
      </c>
      <c r="I31" s="416">
        <v>4.5628441800566855E-2</v>
      </c>
      <c r="J31" s="416">
        <v>3.1575341627824473E-2</v>
      </c>
      <c r="K31" s="436">
        <f t="shared" si="0"/>
        <v>5.6181884157709685E-3</v>
      </c>
      <c r="L31" s="416">
        <f t="shared" si="0"/>
        <v>1.7943112750982448E-3</v>
      </c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</row>
    <row r="32" spans="1:65" s="418" customFormat="1" x14ac:dyDescent="0.2">
      <c r="A32" s="421" t="s">
        <v>298</v>
      </c>
      <c r="B32" s="417">
        <v>0.10431561029338139</v>
      </c>
      <c r="C32" s="417">
        <v>0.12351056373285271</v>
      </c>
      <c r="D32" s="417">
        <v>0.13443476519475317</v>
      </c>
      <c r="E32" s="417">
        <v>0.14852308000400521</v>
      </c>
      <c r="F32" s="417">
        <v>0.1482939878035093</v>
      </c>
      <c r="G32" s="417">
        <v>0.15886974078291408</v>
      </c>
      <c r="H32" s="417">
        <v>0.1577119236032036</v>
      </c>
      <c r="I32" s="417">
        <v>0.12956796310066493</v>
      </c>
      <c r="J32" s="417">
        <v>0.16136333051956792</v>
      </c>
      <c r="K32" s="417">
        <f t="shared" si="0"/>
        <v>0.14855040728737848</v>
      </c>
      <c r="L32" s="461">
        <f t="shared" si="0"/>
        <v>7.2682242636373975E-2</v>
      </c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29"/>
  <sheetViews>
    <sheetView topLeftCell="A7" zoomScale="190" zoomScaleNormal="190" zoomScalePageLayoutView="190" workbookViewId="0">
      <selection activeCell="M20" sqref="M20"/>
    </sheetView>
  </sheetViews>
  <sheetFormatPr baseColWidth="10" defaultColWidth="11.5" defaultRowHeight="13" x14ac:dyDescent="0.15"/>
  <cols>
    <col min="1" max="1" width="34.6640625" customWidth="1"/>
    <col min="2" max="8" width="11.33203125" hidden="1" customWidth="1"/>
    <col min="9" max="10" width="11.33203125" bestFit="1" customWidth="1"/>
    <col min="11" max="11" width="12.1640625" style="57" bestFit="1" customWidth="1"/>
    <col min="12" max="32" width="11.5" style="57"/>
  </cols>
  <sheetData>
    <row r="1" spans="1:32" ht="23" x14ac:dyDescent="0.25">
      <c r="A1" s="294" t="s">
        <v>302</v>
      </c>
    </row>
    <row r="4" spans="1:32" s="411" customFormat="1" ht="14" thickBot="1" x14ac:dyDescent="0.2">
      <c r="A4" s="125" t="s">
        <v>321</v>
      </c>
      <c r="B4" s="414">
        <v>2007</v>
      </c>
      <c r="C4" s="414">
        <v>2008</v>
      </c>
      <c r="D4" s="414">
        <v>2009</v>
      </c>
      <c r="E4" s="414">
        <v>2010</v>
      </c>
      <c r="F4" s="414">
        <v>2011</v>
      </c>
      <c r="G4" s="414">
        <v>2012</v>
      </c>
      <c r="H4" s="414">
        <v>2013</v>
      </c>
      <c r="I4" s="414">
        <v>2014</v>
      </c>
      <c r="J4" s="414">
        <v>2015</v>
      </c>
      <c r="K4" s="414">
        <v>2016</v>
      </c>
      <c r="L4" s="414">
        <v>2017</v>
      </c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</row>
    <row r="5" spans="1:32" x14ac:dyDescent="0.15">
      <c r="A5" s="372" t="s">
        <v>28</v>
      </c>
      <c r="B5" s="419">
        <v>2107</v>
      </c>
      <c r="C5" s="419">
        <v>2878</v>
      </c>
      <c r="D5" s="419">
        <v>2513</v>
      </c>
      <c r="E5" s="419">
        <v>3488</v>
      </c>
      <c r="F5" s="419">
        <v>3392</v>
      </c>
      <c r="G5" s="419">
        <v>3787</v>
      </c>
      <c r="H5" s="419">
        <v>3871</v>
      </c>
      <c r="I5" s="419">
        <v>3104</v>
      </c>
      <c r="J5" s="419">
        <v>3487</v>
      </c>
      <c r="K5" s="419">
        <v>4688</v>
      </c>
      <c r="L5" s="419">
        <v>3742</v>
      </c>
    </row>
    <row r="6" spans="1:32" x14ac:dyDescent="0.15">
      <c r="A6" s="372" t="s">
        <v>350</v>
      </c>
      <c r="B6" s="419">
        <v>14285</v>
      </c>
      <c r="C6" s="419">
        <v>18226</v>
      </c>
      <c r="D6" s="419">
        <v>20190</v>
      </c>
      <c r="E6" s="419">
        <v>25136</v>
      </c>
      <c r="F6" s="419">
        <v>26213</v>
      </c>
      <c r="G6" s="419">
        <v>29247</v>
      </c>
      <c r="H6" s="419">
        <v>31184</v>
      </c>
      <c r="I6" s="419">
        <v>30556</v>
      </c>
      <c r="J6" s="419">
        <v>32021</v>
      </c>
      <c r="K6" s="419">
        <v>36199</v>
      </c>
      <c r="L6" s="419">
        <v>36788</v>
      </c>
    </row>
    <row r="7" spans="1:32" x14ac:dyDescent="0.15">
      <c r="A7" s="372" t="s">
        <v>319</v>
      </c>
      <c r="B7" s="419">
        <v>15081</v>
      </c>
      <c r="C7" s="419">
        <v>14305</v>
      </c>
      <c r="D7" s="419">
        <v>14165</v>
      </c>
      <c r="E7" s="419">
        <v>14096</v>
      </c>
      <c r="F7" s="419">
        <v>13883</v>
      </c>
      <c r="G7" s="419">
        <v>13996</v>
      </c>
      <c r="H7" s="419">
        <v>13821</v>
      </c>
      <c r="I7" s="419">
        <v>10771</v>
      </c>
      <c r="J7" s="419">
        <v>10727</v>
      </c>
      <c r="K7" s="419">
        <v>10830</v>
      </c>
      <c r="L7" s="419">
        <v>11116</v>
      </c>
    </row>
    <row r="8" spans="1:32" x14ac:dyDescent="0.15">
      <c r="A8" s="372" t="s">
        <v>27</v>
      </c>
      <c r="B8" s="419">
        <v>6761</v>
      </c>
      <c r="C8" s="419">
        <v>5058</v>
      </c>
      <c r="D8" s="419">
        <v>5379</v>
      </c>
      <c r="E8" s="419">
        <v>5778</v>
      </c>
      <c r="F8" s="419">
        <v>4895</v>
      </c>
      <c r="G8" s="419">
        <v>5021</v>
      </c>
      <c r="H8" s="419">
        <v>4639</v>
      </c>
      <c r="I8" s="419">
        <v>5520</v>
      </c>
      <c r="J8" s="419">
        <v>5187</v>
      </c>
      <c r="K8" s="419">
        <v>4585</v>
      </c>
      <c r="L8" s="419">
        <v>4919</v>
      </c>
    </row>
    <row r="9" spans="1:32" s="411" customFormat="1" x14ac:dyDescent="0.15">
      <c r="A9" s="421" t="s">
        <v>314</v>
      </c>
      <c r="B9" s="420">
        <v>38234</v>
      </c>
      <c r="C9" s="420">
        <v>40467</v>
      </c>
      <c r="D9" s="420">
        <v>42247</v>
      </c>
      <c r="E9" s="420">
        <v>48498</v>
      </c>
      <c r="F9" s="420">
        <v>48383</v>
      </c>
      <c r="G9" s="420">
        <v>52051</v>
      </c>
      <c r="H9" s="420">
        <v>53515</v>
      </c>
      <c r="I9" s="420">
        <v>49951</v>
      </c>
      <c r="J9" s="459">
        <f>J5+J6+J7+J8</f>
        <v>51422</v>
      </c>
      <c r="K9" s="459">
        <f>K5+K6+K7+K8</f>
        <v>56302</v>
      </c>
      <c r="L9" s="459">
        <f>L5+L6+L7+L8</f>
        <v>56565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</row>
    <row r="10" spans="1:32" x14ac:dyDescent="0.15">
      <c r="A10" t="s">
        <v>30</v>
      </c>
      <c r="B10" s="419">
        <v>2664</v>
      </c>
      <c r="C10" s="419">
        <v>2701</v>
      </c>
      <c r="D10" s="419">
        <v>2494</v>
      </c>
      <c r="E10" s="419">
        <v>2450</v>
      </c>
      <c r="F10" s="419">
        <v>2595</v>
      </c>
      <c r="G10" s="419">
        <v>2287</v>
      </c>
      <c r="H10" s="419">
        <v>2310</v>
      </c>
      <c r="I10" s="419">
        <v>2103</v>
      </c>
      <c r="J10" s="419">
        <v>1551</v>
      </c>
      <c r="K10" s="419">
        <v>1553</v>
      </c>
      <c r="L10" s="419">
        <v>1583</v>
      </c>
    </row>
    <row r="11" spans="1:32" x14ac:dyDescent="0.15">
      <c r="A11" s="372" t="s">
        <v>310</v>
      </c>
      <c r="B11" s="419">
        <v>27530</v>
      </c>
      <c r="C11" s="419">
        <v>25328</v>
      </c>
      <c r="D11" s="419">
        <v>23030</v>
      </c>
      <c r="E11" s="419">
        <v>23527</v>
      </c>
      <c r="F11" s="419">
        <v>24293</v>
      </c>
      <c r="G11" s="419">
        <v>26947</v>
      </c>
      <c r="H11" s="419">
        <v>27926</v>
      </c>
      <c r="I11" s="419">
        <v>27372</v>
      </c>
      <c r="J11" s="419">
        <f>37366-11021</f>
        <v>26345</v>
      </c>
      <c r="K11" s="419">
        <f>9182+19006+9021-11035</f>
        <v>26174</v>
      </c>
      <c r="L11" s="419">
        <f>8928+21721+9550-11552</f>
        <v>28647</v>
      </c>
    </row>
    <row r="12" spans="1:32" x14ac:dyDescent="0.15">
      <c r="A12" s="372" t="s">
        <v>312</v>
      </c>
      <c r="B12" s="419">
        <v>3891</v>
      </c>
      <c r="C12" s="419">
        <v>4299</v>
      </c>
      <c r="D12" s="419">
        <v>3946</v>
      </c>
      <c r="E12" s="419">
        <v>4226</v>
      </c>
      <c r="F12" s="419">
        <v>5249</v>
      </c>
      <c r="G12" s="419">
        <v>4024</v>
      </c>
      <c r="H12" s="419">
        <v>4488</v>
      </c>
      <c r="I12" s="419">
        <v>4967</v>
      </c>
      <c r="J12" s="419">
        <v>5406</v>
      </c>
      <c r="K12" s="419">
        <f>4564+1057</f>
        <v>5621</v>
      </c>
      <c r="L12" s="419">
        <f>3942+981</f>
        <v>4923</v>
      </c>
    </row>
    <row r="13" spans="1:32" x14ac:dyDescent="0.15">
      <c r="A13" s="372" t="s">
        <v>311</v>
      </c>
      <c r="B13" s="419">
        <v>8054</v>
      </c>
      <c r="C13" s="419">
        <v>7014</v>
      </c>
      <c r="D13" s="419">
        <v>7436</v>
      </c>
      <c r="E13" s="419">
        <v>7804</v>
      </c>
      <c r="F13" s="419">
        <v>8517</v>
      </c>
      <c r="G13" s="419">
        <v>7952</v>
      </c>
      <c r="H13" s="419">
        <v>7461</v>
      </c>
      <c r="I13" s="419">
        <v>6864</v>
      </c>
      <c r="J13" s="419">
        <v>6028</v>
      </c>
      <c r="K13" s="419">
        <v>6209</v>
      </c>
      <c r="L13" s="419">
        <v>6451</v>
      </c>
    </row>
    <row r="14" spans="1:32" x14ac:dyDescent="0.15">
      <c r="A14" s="372" t="s">
        <v>313</v>
      </c>
      <c r="B14" s="419">
        <v>22189</v>
      </c>
      <c r="C14" s="419">
        <v>22138</v>
      </c>
      <c r="D14" s="419">
        <v>22373</v>
      </c>
      <c r="E14" s="419">
        <v>22626</v>
      </c>
      <c r="F14" s="419">
        <v>21943</v>
      </c>
      <c r="G14" s="419">
        <v>22147</v>
      </c>
      <c r="H14" s="419">
        <v>23208</v>
      </c>
      <c r="I14" s="419">
        <v>23842</v>
      </c>
      <c r="J14" s="419">
        <f>33651-11021</f>
        <v>22630</v>
      </c>
      <c r="K14" s="419">
        <f>3235+3577+4705+7477+3600</f>
        <v>22594</v>
      </c>
      <c r="L14" s="419">
        <f>4219+3644+4510+3746+9965</f>
        <v>26084</v>
      </c>
    </row>
    <row r="15" spans="1:32" s="411" customFormat="1" x14ac:dyDescent="0.15">
      <c r="A15" s="421" t="s">
        <v>322</v>
      </c>
      <c r="B15" s="420">
        <v>3842</v>
      </c>
      <c r="C15" s="420">
        <v>3176</v>
      </c>
      <c r="D15" s="420">
        <v>-339</v>
      </c>
      <c r="E15" s="420">
        <v>-227</v>
      </c>
      <c r="F15" s="420">
        <v>1677</v>
      </c>
      <c r="G15" s="420">
        <v>3159</v>
      </c>
      <c r="H15" s="420">
        <v>4055</v>
      </c>
      <c r="I15" s="420">
        <v>3736</v>
      </c>
      <c r="J15" s="459">
        <f>J10+J11+J12-J13-J14</f>
        <v>4644</v>
      </c>
      <c r="K15" s="459">
        <f>K10+K11+K12-K13-K14</f>
        <v>4545</v>
      </c>
      <c r="L15" s="459">
        <f>L10+L11+L12-L13-L14</f>
        <v>2618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</row>
    <row r="16" spans="1:32" x14ac:dyDescent="0.15">
      <c r="A16" t="s">
        <v>315</v>
      </c>
      <c r="B16" s="419">
        <v>0</v>
      </c>
      <c r="C16" s="419">
        <v>0</v>
      </c>
      <c r="D16" s="419">
        <v>0</v>
      </c>
      <c r="E16" s="419">
        <v>0</v>
      </c>
      <c r="F16" s="419">
        <v>0</v>
      </c>
      <c r="G16" s="419">
        <v>0</v>
      </c>
      <c r="H16" s="419">
        <v>0</v>
      </c>
      <c r="I16" s="419">
        <v>0</v>
      </c>
      <c r="J16" s="419">
        <v>0</v>
      </c>
      <c r="K16" s="419"/>
      <c r="L16" s="419"/>
    </row>
    <row r="17" spans="1:32" x14ac:dyDescent="0.15">
      <c r="A17" s="372" t="s">
        <v>316</v>
      </c>
      <c r="B17" s="419">
        <v>0</v>
      </c>
      <c r="C17" s="419">
        <v>0</v>
      </c>
      <c r="D17" s="419">
        <v>0</v>
      </c>
      <c r="E17" s="419">
        <v>0</v>
      </c>
      <c r="F17" s="419">
        <v>0</v>
      </c>
      <c r="G17" s="419">
        <v>0</v>
      </c>
      <c r="H17" s="419">
        <v>0</v>
      </c>
      <c r="I17" s="419">
        <v>0</v>
      </c>
      <c r="J17" s="419">
        <v>0</v>
      </c>
      <c r="K17" s="419"/>
      <c r="L17" s="419"/>
    </row>
    <row r="18" spans="1:32" x14ac:dyDescent="0.15">
      <c r="A18" s="372" t="s">
        <v>323</v>
      </c>
      <c r="B18" s="419">
        <v>0</v>
      </c>
      <c r="C18" s="419">
        <v>0</v>
      </c>
      <c r="D18" s="419">
        <v>0</v>
      </c>
      <c r="E18" s="419">
        <v>0</v>
      </c>
      <c r="F18" s="419">
        <v>0</v>
      </c>
      <c r="G18" s="419">
        <v>0</v>
      </c>
      <c r="H18" s="419">
        <v>0</v>
      </c>
      <c r="I18" s="419">
        <v>0</v>
      </c>
      <c r="J18" s="419">
        <v>0</v>
      </c>
      <c r="K18" s="419"/>
      <c r="L18" s="419"/>
    </row>
    <row r="19" spans="1:32" s="411" customFormat="1" x14ac:dyDescent="0.15">
      <c r="A19" s="411" t="s">
        <v>317</v>
      </c>
      <c r="B19" s="420">
        <v>42076</v>
      </c>
      <c r="C19" s="420">
        <v>43643</v>
      </c>
      <c r="D19" s="420">
        <v>41908</v>
      </c>
      <c r="E19" s="420">
        <v>48271</v>
      </c>
      <c r="F19" s="420">
        <v>50060</v>
      </c>
      <c r="G19" s="420">
        <v>55210</v>
      </c>
      <c r="H19" s="420">
        <v>57570</v>
      </c>
      <c r="I19" s="420">
        <v>53687</v>
      </c>
      <c r="J19" s="459">
        <f>J9+J15</f>
        <v>56066</v>
      </c>
      <c r="K19" s="459">
        <f>K9+K15</f>
        <v>60847</v>
      </c>
      <c r="L19" s="459">
        <f>L9+L15</f>
        <v>59183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</row>
    <row r="20" spans="1:32" x14ac:dyDescent="0.15">
      <c r="A20" t="s">
        <v>351</v>
      </c>
      <c r="B20" s="419">
        <v>28470</v>
      </c>
      <c r="C20" s="419">
        <v>13465</v>
      </c>
      <c r="D20" s="419">
        <v>22637</v>
      </c>
      <c r="E20" s="419">
        <v>23046</v>
      </c>
      <c r="F20" s="419">
        <v>20138</v>
      </c>
      <c r="G20" s="419">
        <v>18860</v>
      </c>
      <c r="H20" s="419">
        <v>22792</v>
      </c>
      <c r="I20" s="419">
        <v>11868</v>
      </c>
      <c r="J20" s="419">
        <v>14262</v>
      </c>
      <c r="K20" s="419">
        <v>18246</v>
      </c>
      <c r="L20" s="419">
        <v>17594</v>
      </c>
    </row>
    <row r="21" spans="1:32" x14ac:dyDescent="0.15">
      <c r="A21" s="372" t="s">
        <v>309</v>
      </c>
      <c r="B21" s="419">
        <v>0</v>
      </c>
      <c r="C21" s="419">
        <v>119</v>
      </c>
      <c r="D21" s="419">
        <v>118</v>
      </c>
      <c r="E21" s="419">
        <v>126</v>
      </c>
      <c r="F21" s="419">
        <v>97</v>
      </c>
      <c r="G21" s="419">
        <v>124</v>
      </c>
      <c r="H21" s="419">
        <v>137</v>
      </c>
      <c r="I21" s="419">
        <v>147</v>
      </c>
      <c r="J21" s="419">
        <v>161</v>
      </c>
      <c r="K21" s="419">
        <v>146</v>
      </c>
      <c r="L21" s="419">
        <v>131</v>
      </c>
    </row>
    <row r="22" spans="1:32" x14ac:dyDescent="0.15">
      <c r="A22" s="372" t="s">
        <v>308</v>
      </c>
      <c r="B22" s="419">
        <v>1687</v>
      </c>
      <c r="C22" s="419">
        <v>8810</v>
      </c>
      <c r="D22" s="419">
        <v>5925</v>
      </c>
      <c r="E22" s="419">
        <v>4784</v>
      </c>
      <c r="F22" s="419">
        <v>5104</v>
      </c>
      <c r="G22" s="419">
        <v>5387</v>
      </c>
      <c r="H22" s="419">
        <v>4702</v>
      </c>
      <c r="I22" s="419">
        <v>6675</v>
      </c>
      <c r="J22" s="419">
        <v>4822</v>
      </c>
      <c r="K22" s="419">
        <v>5224</v>
      </c>
      <c r="L22" s="419">
        <v>4862</v>
      </c>
    </row>
    <row r="23" spans="1:32" x14ac:dyDescent="0.15">
      <c r="A23" s="372" t="s">
        <v>307</v>
      </c>
      <c r="B23" s="419">
        <v>0</v>
      </c>
      <c r="C23" s="419">
        <v>0</v>
      </c>
      <c r="D23" s="419">
        <v>0</v>
      </c>
      <c r="E23" s="419">
        <v>0</v>
      </c>
      <c r="F23" s="419">
        <v>0</v>
      </c>
      <c r="G23" s="419">
        <v>0</v>
      </c>
      <c r="H23" s="419">
        <v>0</v>
      </c>
      <c r="I23" s="419">
        <v>0</v>
      </c>
      <c r="J23" s="419">
        <v>0</v>
      </c>
      <c r="K23" s="419">
        <v>0</v>
      </c>
      <c r="L23" s="419">
        <v>0</v>
      </c>
    </row>
    <row r="24" spans="1:32" s="411" customFormat="1" x14ac:dyDescent="0.15">
      <c r="A24" s="421" t="s">
        <v>303</v>
      </c>
      <c r="B24" s="420">
        <v>26783</v>
      </c>
      <c r="C24" s="420">
        <v>4774</v>
      </c>
      <c r="D24" s="420">
        <v>16830</v>
      </c>
      <c r="E24" s="420">
        <v>18388</v>
      </c>
      <c r="F24" s="420">
        <v>15131</v>
      </c>
      <c r="G24" s="420">
        <v>13597</v>
      </c>
      <c r="H24" s="420">
        <v>18227</v>
      </c>
      <c r="I24" s="420">
        <v>5340</v>
      </c>
      <c r="J24" s="459">
        <f>J20+J21-J22+J23</f>
        <v>9601</v>
      </c>
      <c r="K24" s="459">
        <f>K20+K21-K22+K23</f>
        <v>13168</v>
      </c>
      <c r="L24" s="459">
        <f>L20+L21-L22+L23</f>
        <v>12863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</row>
    <row r="25" spans="1:32" x14ac:dyDescent="0.15">
      <c r="A25" t="s">
        <v>304</v>
      </c>
      <c r="B25" s="419">
        <v>19204</v>
      </c>
      <c r="C25" s="419">
        <v>40540</v>
      </c>
      <c r="D25" s="419">
        <v>34884</v>
      </c>
      <c r="E25" s="419">
        <v>34756</v>
      </c>
      <c r="F25" s="419">
        <v>38388</v>
      </c>
      <c r="G25" s="419">
        <v>43561</v>
      </c>
      <c r="H25" s="419">
        <v>43547</v>
      </c>
      <c r="I25" s="419">
        <v>51092</v>
      </c>
      <c r="J25" s="419">
        <v>48198</v>
      </c>
      <c r="K25" s="419">
        <f>34655+17070-3032</f>
        <v>48693</v>
      </c>
      <c r="L25" s="419">
        <f>39837+16720-4643</f>
        <v>51914</v>
      </c>
    </row>
    <row r="26" spans="1:32" x14ac:dyDescent="0.15">
      <c r="A26" s="372" t="s">
        <v>305</v>
      </c>
      <c r="B26" s="419">
        <v>12235</v>
      </c>
      <c r="C26" s="419">
        <v>11236</v>
      </c>
      <c r="D26" s="419">
        <v>4168</v>
      </c>
      <c r="E26" s="419">
        <v>6778</v>
      </c>
      <c r="F26" s="419">
        <v>8463</v>
      </c>
      <c r="G26" s="419">
        <v>9181</v>
      </c>
      <c r="H26" s="419">
        <v>6862</v>
      </c>
      <c r="I26" s="419">
        <v>5731</v>
      </c>
      <c r="J26" s="419">
        <v>6461</v>
      </c>
      <c r="K26" s="419">
        <v>7513</v>
      </c>
      <c r="L26" s="419">
        <v>6987</v>
      </c>
    </row>
    <row r="27" spans="1:32" x14ac:dyDescent="0.15">
      <c r="A27" s="372" t="s">
        <v>306</v>
      </c>
      <c r="B27" s="419">
        <v>16146</v>
      </c>
      <c r="C27" s="419">
        <v>12907</v>
      </c>
      <c r="D27" s="419">
        <v>13974</v>
      </c>
      <c r="E27" s="419">
        <v>11651</v>
      </c>
      <c r="F27" s="419">
        <v>11922</v>
      </c>
      <c r="G27" s="419">
        <v>11129</v>
      </c>
      <c r="H27" s="419">
        <v>11066</v>
      </c>
      <c r="I27" s="419">
        <v>8476</v>
      </c>
      <c r="J27" s="419">
        <v>8194</v>
      </c>
      <c r="K27" s="419">
        <f>7826+701</f>
        <v>8527</v>
      </c>
      <c r="L27" s="419">
        <f>11972+608</f>
        <v>12580</v>
      </c>
    </row>
    <row r="28" spans="1:32" s="411" customFormat="1" x14ac:dyDescent="0.15">
      <c r="A28" s="421" t="s">
        <v>352</v>
      </c>
      <c r="B28" s="420">
        <v>15293</v>
      </c>
      <c r="C28" s="420">
        <v>38869</v>
      </c>
      <c r="D28" s="420">
        <v>25078</v>
      </c>
      <c r="E28" s="420">
        <v>29883</v>
      </c>
      <c r="F28" s="420">
        <v>34929</v>
      </c>
      <c r="G28" s="420">
        <v>41613</v>
      </c>
      <c r="H28" s="420">
        <v>39343</v>
      </c>
      <c r="I28" s="420">
        <v>48347</v>
      </c>
      <c r="J28" s="459">
        <f>J25+J26-J27</f>
        <v>46465</v>
      </c>
      <c r="K28" s="459">
        <f>K25+K26-K27</f>
        <v>47679</v>
      </c>
      <c r="L28" s="459">
        <f>L25+L26-L27</f>
        <v>46321</v>
      </c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</row>
    <row r="29" spans="1:32" s="411" customFormat="1" x14ac:dyDescent="0.2">
      <c r="A29" s="411" t="s">
        <v>318</v>
      </c>
      <c r="B29" s="420">
        <v>42076</v>
      </c>
      <c r="C29" s="420">
        <v>43643</v>
      </c>
      <c r="D29" s="420">
        <v>41908</v>
      </c>
      <c r="E29" s="420">
        <v>48271</v>
      </c>
      <c r="F29" s="420">
        <v>50060</v>
      </c>
      <c r="G29" s="420">
        <v>55210</v>
      </c>
      <c r="H29" s="420">
        <v>57570</v>
      </c>
      <c r="I29" s="420">
        <v>53687</v>
      </c>
      <c r="J29" s="459">
        <f>J28+J24</f>
        <v>56066</v>
      </c>
      <c r="K29" s="459">
        <f>K28+K24</f>
        <v>60847</v>
      </c>
      <c r="L29" s="459">
        <f>L28+L24</f>
        <v>59184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L13"/>
  <sheetViews>
    <sheetView workbookViewId="0">
      <selection activeCell="J23" sqref="J23"/>
    </sheetView>
  </sheetViews>
  <sheetFormatPr baseColWidth="10" defaultColWidth="11.5" defaultRowHeight="13" x14ac:dyDescent="0.15"/>
  <cols>
    <col min="1" max="1" width="36" customWidth="1"/>
    <col min="2" max="2" width="11.33203125" bestFit="1" customWidth="1"/>
  </cols>
  <sheetData>
    <row r="2" spans="1:12" ht="23" x14ac:dyDescent="0.25">
      <c r="A2" s="294" t="s">
        <v>320</v>
      </c>
    </row>
    <row r="7" spans="1:12" ht="14" thickBot="1" x14ac:dyDescent="0.2">
      <c r="A7" s="125" t="s">
        <v>321</v>
      </c>
      <c r="B7" s="414">
        <v>2007</v>
      </c>
      <c r="C7" s="414">
        <v>2008</v>
      </c>
      <c r="D7" s="414">
        <v>2009</v>
      </c>
      <c r="E7" s="414">
        <v>2010</v>
      </c>
      <c r="F7" s="414">
        <v>2011</v>
      </c>
      <c r="G7" s="414">
        <v>2012</v>
      </c>
      <c r="H7" s="414">
        <v>2013</v>
      </c>
      <c r="I7" s="414">
        <v>2014</v>
      </c>
      <c r="J7" s="414">
        <v>2015</v>
      </c>
      <c r="K7" s="414">
        <v>2016</v>
      </c>
      <c r="L7" s="414">
        <v>2017</v>
      </c>
    </row>
    <row r="8" spans="1:12" x14ac:dyDescent="0.15">
      <c r="A8" s="422" t="s">
        <v>294</v>
      </c>
      <c r="B8" s="419">
        <f>'[2]e10 P&amp;L'!B5</f>
        <v>98786</v>
      </c>
      <c r="C8" s="419">
        <f>'[2]e10 P&amp;L'!C5</f>
        <v>103630</v>
      </c>
      <c r="D8" s="419">
        <f>'[2]e10 P&amp;L'!D5</f>
        <v>95758</v>
      </c>
      <c r="E8" s="419">
        <f>'[2]e10 P&amp;L'!E5</f>
        <v>99870</v>
      </c>
      <c r="F8" s="419">
        <f>'[2]e10 P&amp;L'!F5</f>
        <v>106916</v>
      </c>
      <c r="G8" s="419">
        <f>'[2]e10 P&amp;L'!G5</f>
        <v>104507</v>
      </c>
      <c r="H8" s="419">
        <f>'[2]e10 P&amp;L'!H5</f>
        <v>98367</v>
      </c>
      <c r="I8" s="419">
        <f>'[2]e10 P&amp;L'!I5</f>
        <v>92793</v>
      </c>
      <c r="J8" s="419">
        <f>'[3]e10 P&amp;L'!J5</f>
        <v>81741</v>
      </c>
      <c r="K8" s="437">
        <f>'e10 résultat'!K5</f>
        <v>79919</v>
      </c>
      <c r="L8" s="419">
        <f>'[3]e10 P&amp;L'!L5</f>
        <v>79139</v>
      </c>
    </row>
    <row r="9" spans="1:12" x14ac:dyDescent="0.15">
      <c r="A9" s="14" t="s">
        <v>324</v>
      </c>
      <c r="B9" s="419">
        <f>'[2]e10 balancesheet'!B15</f>
        <v>3842</v>
      </c>
      <c r="C9" s="419">
        <f>'[2]e10 balancesheet'!C15</f>
        <v>3176</v>
      </c>
      <c r="D9" s="419">
        <f>'[2]e10 balancesheet'!D15</f>
        <v>-339</v>
      </c>
      <c r="E9" s="419">
        <f>'[2]e10 balancesheet'!E15</f>
        <v>-227</v>
      </c>
      <c r="F9" s="419">
        <f>'[2]e10 balancesheet'!F15</f>
        <v>1677</v>
      </c>
      <c r="G9" s="419">
        <f>'[2]e10 balancesheet'!G15</f>
        <v>3159</v>
      </c>
      <c r="H9" s="419">
        <f>'[2]e10 balancesheet'!H15</f>
        <v>4055</v>
      </c>
      <c r="I9" s="419">
        <f>'[2]e10 balancesheet'!I15</f>
        <v>3736</v>
      </c>
      <c r="J9" s="419">
        <f>'[3]e10 balancesheet'!J15</f>
        <v>4644</v>
      </c>
      <c r="K9" s="437">
        <f>'e10 bilan'!K15</f>
        <v>4545</v>
      </c>
      <c r="L9" s="419">
        <f>'[3]e10 balancesheet'!L15</f>
        <v>2618</v>
      </c>
    </row>
    <row r="10" spans="1:12" x14ac:dyDescent="0.15">
      <c r="A10" s="14" t="s">
        <v>325</v>
      </c>
      <c r="B10" s="423">
        <f>B9/B8*365</f>
        <v>14.195635009009374</v>
      </c>
      <c r="C10" s="423">
        <f t="shared" ref="C10:K10" si="0">C9/C8*365</f>
        <v>11.186336003087909</v>
      </c>
      <c r="D10" s="423">
        <f t="shared" si="0"/>
        <v>-1.2921635790221184</v>
      </c>
      <c r="E10" s="423">
        <f t="shared" si="0"/>
        <v>-0.82962851707219376</v>
      </c>
      <c r="F10" s="423">
        <f t="shared" si="0"/>
        <v>5.7251019491937596</v>
      </c>
      <c r="G10" s="423">
        <f t="shared" si="0"/>
        <v>11.03308869262346</v>
      </c>
      <c r="H10" s="423">
        <f t="shared" si="0"/>
        <v>15.046458670082448</v>
      </c>
      <c r="I10" s="423">
        <f t="shared" si="0"/>
        <v>14.695505048872219</v>
      </c>
      <c r="J10" s="423">
        <f t="shared" si="0"/>
        <v>20.736961867361543</v>
      </c>
      <c r="K10" s="423">
        <f t="shared" si="0"/>
        <v>20.757579549293659</v>
      </c>
      <c r="L10" s="423">
        <f>L9/L8*365</f>
        <v>12.074577641870631</v>
      </c>
    </row>
    <row r="11" spans="1:12" x14ac:dyDescent="0.15">
      <c r="A11" s="14" t="s">
        <v>326</v>
      </c>
      <c r="B11" s="423">
        <f>'[2]e10 balancesheet'!B10/'[2]e10 working cap'!B8*365</f>
        <v>9.8430951754297169</v>
      </c>
      <c r="C11" s="423">
        <f>'[2]e10 balancesheet'!C10/'[2]e10 working cap'!C8*365</f>
        <v>9.513316607160089</v>
      </c>
      <c r="D11" s="423">
        <f>'[2]e10 balancesheet'!D10/'[2]e10 working cap'!D8*365</f>
        <v>9.5063597819503318</v>
      </c>
      <c r="E11" s="423">
        <f>'[2]e10 balancesheet'!E10/'[2]e10 working cap'!E8*365</f>
        <v>8.954140382497247</v>
      </c>
      <c r="F11" s="423">
        <f>'[2]e10 balancesheet'!F10/'[2]e10 working cap'!F8*365</f>
        <v>8.8590575779116314</v>
      </c>
      <c r="G11" s="423">
        <f>'[2]e10 balancesheet'!G10/'[2]e10 working cap'!G8*365</f>
        <v>7.9875510731338561</v>
      </c>
      <c r="H11" s="423">
        <f>'[2]e10 balancesheet'!H10/'[2]e10 working cap'!H8*365</f>
        <v>8.571472140046966</v>
      </c>
      <c r="I11" s="423">
        <f>'[2]e10 balancesheet'!I10/'[2]e10 working cap'!I8*365</f>
        <v>8.2721218195338011</v>
      </c>
      <c r="J11" s="423">
        <f>'[3]e10 balancesheet'!J10/'[3]e10 working cap'!J8*365</f>
        <v>6.9257165926524022</v>
      </c>
      <c r="K11" s="423">
        <f>'e10 bilan'!K10/K8*365</f>
        <v>7.0927439032019919</v>
      </c>
      <c r="L11" s="423">
        <f>('[3]e10 balancesheet'!L10/'[3]e10 working cap'!L8)*365</f>
        <v>7.3010146703900736</v>
      </c>
    </row>
    <row r="12" spans="1:12" x14ac:dyDescent="0.15">
      <c r="A12" s="14" t="s">
        <v>327</v>
      </c>
      <c r="B12" s="423">
        <f>'[2]e10 balancesheet'!B11/'[2]e10 working cap'!B8*365</f>
        <v>101.71937319053308</v>
      </c>
      <c r="C12" s="423">
        <f>'[2]e10 balancesheet'!C11/'[2]e10 working cap'!C8*365</f>
        <v>89.208916336968059</v>
      </c>
      <c r="D12" s="423">
        <f>'[2]e10 balancesheet'!D11/'[2]e10 working cap'!D8*365</f>
        <v>87.783266150086675</v>
      </c>
      <c r="E12" s="423">
        <f>'[2]e10 balancesheet'!E11/'[2]e10 working cap'!E8*365</f>
        <v>85.985330930209273</v>
      </c>
      <c r="F12" s="423">
        <f>'[2]e10 balancesheet'!F11/'[2]e10 working cap'!F8*365</f>
        <v>82.933751730330357</v>
      </c>
      <c r="G12" s="423">
        <f>'[2]e10 balancesheet'!G11/'[2]e10 working cap'!G8*365</f>
        <v>94.114796138057741</v>
      </c>
      <c r="H12" s="423">
        <f>'[2]e10 balancesheet'!H11/'[2]e10 working cap'!H8*365</f>
        <v>103.62204804456779</v>
      </c>
      <c r="I12" s="423">
        <f>'[2]e10 balancesheet'!I11/'[2]e10 working cap'!I8*365</f>
        <v>107.6673887038893</v>
      </c>
      <c r="J12" s="423">
        <f>'[3]e10 balancesheet'!J11/'[3]e10 working cap'!J8*365</f>
        <v>117.63894496030144</v>
      </c>
      <c r="K12" s="423">
        <f>'e10 bilan'!K11/K8*365</f>
        <v>119.5399091580225</v>
      </c>
      <c r="L12" s="423">
        <f>'[3]e10 balancesheet'!L11/'[3]e10 working cap'!L8*365</f>
        <v>132.12392120193584</v>
      </c>
    </row>
    <row r="13" spans="1:12" x14ac:dyDescent="0.15">
      <c r="A13" s="424" t="s">
        <v>328</v>
      </c>
      <c r="B13" s="425">
        <f>'[2]e10 balancesheet'!B13/'[2]e10 working cap'!B8*365</f>
        <v>29.758366570161762</v>
      </c>
      <c r="C13" s="425">
        <f>'[2]e10 balancesheet'!C13/'[2]e10 working cap'!C8*365</f>
        <v>24.704332722184695</v>
      </c>
      <c r="D13" s="425">
        <f>'[2]e10 balancesheet'!D13/'[2]e10 working cap'!D8*365</f>
        <v>28.343741515069237</v>
      </c>
      <c r="E13" s="425">
        <f>'[2]e10 balancesheet'!E13/'[2]e10 working cap'!E8*365</f>
        <v>28.521678181636126</v>
      </c>
      <c r="F13" s="425">
        <f>'[2]e10 balancesheet'!F13/'[2]e10 working cap'!F8*365</f>
        <v>29.076143888660258</v>
      </c>
      <c r="G13" s="425">
        <f>'[2]e10 balancesheet'!G13/'[2]e10 working cap'!G8*365</f>
        <v>27.77306783277675</v>
      </c>
      <c r="H13" s="425">
        <f>'[2]e10 balancesheet'!H13/'[2]e10 working cap'!H8*365</f>
        <v>27.684741834151694</v>
      </c>
      <c r="I13" s="425">
        <f>'[2]e10 balancesheet'!I13/'[2]e10 working cap'!I8*365</f>
        <v>26.999450389576801</v>
      </c>
      <c r="J13" s="458">
        <f>'[3]e10 balancesheet'!J13/'[3]e10 working cap'!J8*365</f>
        <v>26.916969452294442</v>
      </c>
      <c r="K13" s="425">
        <f>'e10 bilan'!K13/K8*365</f>
        <v>28.357274240168174</v>
      </c>
      <c r="L13" s="458">
        <f>(6028/L8)*365</f>
        <v>27.801968688004649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8"/>
  <sheetViews>
    <sheetView zoomScale="130" zoomScaleNormal="130" zoomScalePageLayoutView="130" workbookViewId="0">
      <selection activeCell="I14" sqref="I14"/>
    </sheetView>
  </sheetViews>
  <sheetFormatPr baseColWidth="10" defaultColWidth="11.5" defaultRowHeight="13" x14ac:dyDescent="0.15"/>
  <cols>
    <col min="1" max="1" width="55" customWidth="1"/>
    <col min="2" max="10" width="11.33203125" bestFit="1" customWidth="1"/>
  </cols>
  <sheetData>
    <row r="1" spans="1:12" ht="23" x14ac:dyDescent="0.25">
      <c r="A1" s="294" t="s">
        <v>329</v>
      </c>
    </row>
    <row r="4" spans="1:12" s="411" customFormat="1" ht="14" thickBot="1" x14ac:dyDescent="0.2">
      <c r="A4" s="125" t="s">
        <v>321</v>
      </c>
      <c r="B4" s="414">
        <v>2007</v>
      </c>
      <c r="C4" s="414">
        <v>2008</v>
      </c>
      <c r="D4" s="414">
        <v>2009</v>
      </c>
      <c r="E4" s="414">
        <v>2010</v>
      </c>
      <c r="F4" s="414">
        <v>2011</v>
      </c>
      <c r="G4" s="414">
        <v>2012</v>
      </c>
      <c r="H4" s="414">
        <v>2013</v>
      </c>
      <c r="I4" s="414">
        <v>2014</v>
      </c>
      <c r="J4" s="414">
        <v>2015</v>
      </c>
      <c r="K4" s="414">
        <v>2016</v>
      </c>
      <c r="L4" s="414">
        <v>2017</v>
      </c>
    </row>
    <row r="5" spans="1:12" x14ac:dyDescent="0.15">
      <c r="A5" t="s">
        <v>79</v>
      </c>
      <c r="B5" s="419">
        <v>10418</v>
      </c>
      <c r="C5" s="419">
        <v>12335</v>
      </c>
      <c r="D5" s="419">
        <v>13426</v>
      </c>
      <c r="E5" s="419">
        <v>14833</v>
      </c>
      <c r="F5" s="419">
        <v>15855</v>
      </c>
      <c r="G5" s="419">
        <v>16603</v>
      </c>
      <c r="H5" s="419">
        <v>16482</v>
      </c>
      <c r="I5" s="419">
        <v>12023</v>
      </c>
      <c r="J5" s="419">
        <v>13190</v>
      </c>
      <c r="K5" s="419">
        <v>11872</v>
      </c>
      <c r="L5" s="419">
        <v>5753</v>
      </c>
    </row>
    <row r="6" spans="1:12" x14ac:dyDescent="0.15">
      <c r="A6" s="372" t="s">
        <v>334</v>
      </c>
      <c r="B6" s="419">
        <v>5201</v>
      </c>
      <c r="C6" s="419">
        <v>5450</v>
      </c>
      <c r="D6" s="419">
        <v>4994</v>
      </c>
      <c r="E6" s="419">
        <v>4831</v>
      </c>
      <c r="F6" s="419">
        <v>4815</v>
      </c>
      <c r="G6" s="419">
        <v>4676</v>
      </c>
      <c r="H6" s="419">
        <v>4678</v>
      </c>
      <c r="I6" s="419">
        <v>4492</v>
      </c>
      <c r="J6" s="419">
        <v>3855</v>
      </c>
      <c r="K6" s="419">
        <v>4381</v>
      </c>
      <c r="L6" s="419">
        <v>4541</v>
      </c>
    </row>
    <row r="7" spans="1:12" x14ac:dyDescent="0.15">
      <c r="A7" s="372" t="s">
        <v>338</v>
      </c>
      <c r="B7" s="419">
        <v>475</v>
      </c>
      <c r="C7" s="419">
        <v>1027</v>
      </c>
      <c r="D7" s="419">
        <v>3634</v>
      </c>
      <c r="E7" s="419">
        <v>272</v>
      </c>
      <c r="F7" s="419">
        <v>-1890</v>
      </c>
      <c r="G7" s="419">
        <v>-4823</v>
      </c>
      <c r="H7" s="419">
        <v>5376</v>
      </c>
      <c r="I7" s="419">
        <v>-6525</v>
      </c>
      <c r="J7" s="419">
        <v>2460</v>
      </c>
      <c r="K7" s="437">
        <v>-100</v>
      </c>
      <c r="L7" s="437">
        <v>2822</v>
      </c>
    </row>
    <row r="8" spans="1:12" x14ac:dyDescent="0.15">
      <c r="A8" s="372" t="s">
        <v>330</v>
      </c>
      <c r="B8" s="419">
        <v>16094</v>
      </c>
      <c r="C8" s="419">
        <v>18812</v>
      </c>
      <c r="D8" s="419">
        <v>22054</v>
      </c>
      <c r="E8" s="419">
        <v>19936</v>
      </c>
      <c r="F8" s="419">
        <v>18780</v>
      </c>
      <c r="G8" s="419">
        <v>16456</v>
      </c>
      <c r="H8" s="419">
        <v>26536</v>
      </c>
      <c r="I8" s="419">
        <v>9990</v>
      </c>
      <c r="J8" s="419">
        <v>19505</v>
      </c>
      <c r="K8" s="437">
        <v>16153</v>
      </c>
      <c r="L8" s="437">
        <v>13116</v>
      </c>
    </row>
    <row r="9" spans="1:12" x14ac:dyDescent="0.15">
      <c r="A9" s="372" t="s">
        <v>337</v>
      </c>
      <c r="B9" s="419">
        <v>69</v>
      </c>
      <c r="C9" s="419">
        <v>-666</v>
      </c>
      <c r="D9" s="419">
        <v>-3515</v>
      </c>
      <c r="E9" s="419">
        <v>112</v>
      </c>
      <c r="F9" s="419">
        <v>1904</v>
      </c>
      <c r="G9" s="419">
        <v>1482</v>
      </c>
      <c r="H9" s="419">
        <v>896</v>
      </c>
      <c r="I9" s="419">
        <v>-319</v>
      </c>
      <c r="J9" s="419">
        <v>908</v>
      </c>
      <c r="K9" s="419">
        <v>-622</v>
      </c>
      <c r="L9" s="419">
        <v>-1927</v>
      </c>
    </row>
    <row r="10" spans="1:12" s="411" customFormat="1" x14ac:dyDescent="0.15">
      <c r="A10" s="421" t="s">
        <v>332</v>
      </c>
      <c r="B10" s="420">
        <v>16025</v>
      </c>
      <c r="C10" s="420">
        <v>19478</v>
      </c>
      <c r="D10" s="420">
        <v>25569</v>
      </c>
      <c r="E10" s="420">
        <v>19824</v>
      </c>
      <c r="F10" s="420">
        <v>16876</v>
      </c>
      <c r="G10" s="420">
        <v>14974</v>
      </c>
      <c r="H10" s="420">
        <v>25640</v>
      </c>
      <c r="I10" s="420">
        <v>10309</v>
      </c>
      <c r="J10" s="420">
        <v>18597</v>
      </c>
      <c r="K10" s="420">
        <v>16775</v>
      </c>
      <c r="L10" s="420">
        <v>15043</v>
      </c>
    </row>
    <row r="11" spans="1:12" x14ac:dyDescent="0.15">
      <c r="A11" s="372" t="s">
        <v>333</v>
      </c>
      <c r="B11" s="419">
        <v>5505</v>
      </c>
      <c r="C11" s="419">
        <v>4887</v>
      </c>
      <c r="D11" s="419">
        <v>4077</v>
      </c>
      <c r="E11" s="419">
        <v>4754</v>
      </c>
      <c r="F11" s="419">
        <v>4667</v>
      </c>
      <c r="G11" s="419">
        <v>4717</v>
      </c>
      <c r="H11" s="419">
        <v>4140</v>
      </c>
      <c r="I11" s="419">
        <v>4183</v>
      </c>
      <c r="J11" s="419">
        <v>4151</v>
      </c>
      <c r="K11" s="419">
        <v>3726</v>
      </c>
      <c r="L11" s="419">
        <v>3773</v>
      </c>
    </row>
    <row r="12" spans="1:12" x14ac:dyDescent="0.15">
      <c r="A12" s="372" t="s">
        <v>339</v>
      </c>
      <c r="B12" s="419">
        <v>537</v>
      </c>
      <c r="C12" s="419">
        <v>350</v>
      </c>
      <c r="D12" s="419">
        <v>330</v>
      </c>
      <c r="E12" s="419">
        <v>770</v>
      </c>
      <c r="F12" s="419">
        <v>608</v>
      </c>
      <c r="G12" s="419">
        <v>410</v>
      </c>
      <c r="H12" s="419">
        <v>372</v>
      </c>
      <c r="I12" s="419">
        <v>404</v>
      </c>
      <c r="J12" s="419">
        <v>370</v>
      </c>
      <c r="K12" s="419">
        <v>424</v>
      </c>
      <c r="L12" s="419">
        <v>460</v>
      </c>
    </row>
    <row r="13" spans="1:12" x14ac:dyDescent="0.15">
      <c r="A13" s="372" t="s">
        <v>340</v>
      </c>
      <c r="B13" s="419">
        <v>699</v>
      </c>
      <c r="C13" s="419">
        <v>6242</v>
      </c>
      <c r="D13" s="419">
        <v>794</v>
      </c>
      <c r="E13" s="419">
        <v>5867</v>
      </c>
      <c r="F13" s="419">
        <v>1797</v>
      </c>
      <c r="G13" s="419">
        <v>3123</v>
      </c>
      <c r="H13" s="419">
        <v>2759</v>
      </c>
      <c r="I13" s="419">
        <v>-1701</v>
      </c>
      <c r="J13" s="419">
        <v>3750</v>
      </c>
      <c r="K13" s="437">
        <v>6133</v>
      </c>
      <c r="L13" s="437">
        <v>701</v>
      </c>
    </row>
    <row r="14" spans="1:12" x14ac:dyDescent="0.15">
      <c r="A14" s="372" t="s">
        <v>86</v>
      </c>
      <c r="B14" s="419">
        <v>-5667</v>
      </c>
      <c r="C14" s="419">
        <v>-10779</v>
      </c>
      <c r="D14" s="419">
        <v>-4541</v>
      </c>
      <c r="E14" s="419">
        <v>-9851</v>
      </c>
      <c r="F14" s="419">
        <v>-5856</v>
      </c>
      <c r="G14" s="419">
        <v>-7430</v>
      </c>
      <c r="H14" s="419">
        <v>-6527</v>
      </c>
      <c r="I14" s="419">
        <v>-2078</v>
      </c>
      <c r="J14" s="419">
        <v>-7531</v>
      </c>
      <c r="K14" s="419">
        <v>-9435</v>
      </c>
      <c r="L14" s="419">
        <v>-4014</v>
      </c>
    </row>
    <row r="15" spans="1:12" s="411" customFormat="1" x14ac:dyDescent="0.15">
      <c r="A15" s="411" t="s">
        <v>336</v>
      </c>
      <c r="B15" s="420">
        <v>10358</v>
      </c>
      <c r="C15" s="420">
        <v>8699</v>
      </c>
      <c r="D15" s="420">
        <v>21028</v>
      </c>
      <c r="E15" s="420">
        <v>9973</v>
      </c>
      <c r="F15" s="420">
        <v>11020</v>
      </c>
      <c r="G15" s="420">
        <v>7544</v>
      </c>
      <c r="H15" s="420">
        <v>19113</v>
      </c>
      <c r="I15" s="420">
        <v>8231</v>
      </c>
      <c r="J15" s="420">
        <v>11066</v>
      </c>
      <c r="K15" s="420">
        <v>7340</v>
      </c>
      <c r="L15" s="420">
        <v>11029</v>
      </c>
    </row>
    <row r="16" spans="1:12" x14ac:dyDescent="0.15">
      <c r="A16" s="372" t="s">
        <v>331</v>
      </c>
      <c r="B16" s="419">
        <v>-14705</v>
      </c>
      <c r="C16" s="419">
        <v>-6804</v>
      </c>
      <c r="D16" s="419">
        <v>-4377</v>
      </c>
      <c r="E16" s="419">
        <v>-11601</v>
      </c>
      <c r="F16" s="419">
        <v>-12593</v>
      </c>
      <c r="G16" s="419">
        <v>-10455</v>
      </c>
      <c r="H16" s="419">
        <v>-12785</v>
      </c>
      <c r="I16" s="419">
        <v>-12970</v>
      </c>
      <c r="J16" s="419">
        <v>-4287</v>
      </c>
      <c r="K16" s="419">
        <v>-3298</v>
      </c>
      <c r="L16" s="419">
        <v>-4165</v>
      </c>
    </row>
    <row r="17" spans="1:12" x14ac:dyDescent="0.15">
      <c r="A17" s="372" t="s">
        <v>215</v>
      </c>
      <c r="B17" s="419">
        <v>2147</v>
      </c>
      <c r="C17" s="419">
        <v>2585</v>
      </c>
      <c r="D17" s="419">
        <v>2860</v>
      </c>
      <c r="E17" s="419">
        <v>3177</v>
      </c>
      <c r="F17" s="419">
        <v>3473</v>
      </c>
      <c r="G17" s="419">
        <v>3773</v>
      </c>
      <c r="H17" s="419">
        <v>4058</v>
      </c>
      <c r="I17" s="419">
        <v>4265</v>
      </c>
      <c r="J17" s="419">
        <v>4897</v>
      </c>
      <c r="K17" s="419">
        <v>5256</v>
      </c>
      <c r="L17" s="419">
        <v>5506</v>
      </c>
    </row>
    <row r="18" spans="1:12" s="426" customFormat="1" x14ac:dyDescent="0.15">
      <c r="A18" s="434" t="s">
        <v>335</v>
      </c>
      <c r="B18" s="427">
        <v>-6494</v>
      </c>
      <c r="C18" s="427">
        <v>-690</v>
      </c>
      <c r="D18" s="427">
        <v>13791</v>
      </c>
      <c r="E18" s="427">
        <v>-4805</v>
      </c>
      <c r="F18" s="427">
        <v>-5046</v>
      </c>
      <c r="G18" s="427">
        <v>-6684</v>
      </c>
      <c r="H18" s="427">
        <v>2270</v>
      </c>
      <c r="I18" s="427">
        <v>-9004</v>
      </c>
      <c r="J18" s="427">
        <v>1882</v>
      </c>
      <c r="K18" s="427">
        <v>-1214</v>
      </c>
      <c r="L18" s="427">
        <v>1358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2"/>
  <sheetViews>
    <sheetView zoomScale="130" zoomScaleNormal="130" zoomScalePageLayoutView="130" workbookViewId="0">
      <selection activeCell="E21" sqref="E21"/>
    </sheetView>
  </sheetViews>
  <sheetFormatPr baseColWidth="10" defaultColWidth="11.5" defaultRowHeight="13" x14ac:dyDescent="0.15"/>
  <cols>
    <col min="1" max="1" width="60.6640625" customWidth="1"/>
    <col min="11" max="20" width="11.5" style="57"/>
  </cols>
  <sheetData>
    <row r="1" spans="1:20" ht="23" x14ac:dyDescent="0.25">
      <c r="A1" s="294" t="s">
        <v>341</v>
      </c>
    </row>
    <row r="3" spans="1:20" s="411" customFormat="1" x14ac:dyDescent="0.15">
      <c r="A3" s="411" t="s">
        <v>213</v>
      </c>
      <c r="B3" s="414">
        <v>2007</v>
      </c>
      <c r="C3" s="414">
        <v>2008</v>
      </c>
      <c r="D3" s="414">
        <v>2009</v>
      </c>
      <c r="E3" s="414">
        <v>2010</v>
      </c>
      <c r="F3" s="414">
        <v>2011</v>
      </c>
      <c r="G3" s="414">
        <v>2012</v>
      </c>
      <c r="H3" s="414">
        <v>2013</v>
      </c>
      <c r="I3" s="414">
        <v>2014</v>
      </c>
      <c r="J3" s="414">
        <v>2015</v>
      </c>
      <c r="K3" s="414">
        <v>2016</v>
      </c>
      <c r="L3" s="414">
        <v>2017</v>
      </c>
      <c r="M3" s="66"/>
      <c r="N3" s="66"/>
      <c r="O3" s="66"/>
      <c r="P3" s="66"/>
      <c r="Q3" s="66"/>
      <c r="R3" s="66"/>
      <c r="S3" s="66"/>
      <c r="T3" s="66"/>
    </row>
    <row r="4" spans="1:20" x14ac:dyDescent="0.15">
      <c r="A4" t="s">
        <v>349</v>
      </c>
      <c r="B4" s="416">
        <v>0.10990754001071106</v>
      </c>
      <c r="C4" s="416">
        <v>0.12382145433517559</v>
      </c>
      <c r="D4" s="416">
        <v>0.14331491456883771</v>
      </c>
      <c r="E4" s="416">
        <v>0.15129428587742577</v>
      </c>
      <c r="F4" s="416">
        <v>0.1511958984347164</v>
      </c>
      <c r="G4" s="416">
        <v>0.16219932441011636</v>
      </c>
      <c r="H4" s="416">
        <v>0.17501006573440714</v>
      </c>
      <c r="I4" s="416">
        <v>0.17386511294815404</v>
      </c>
      <c r="J4" s="416">
        <v>0.16829064170205682</v>
      </c>
      <c r="K4" s="416">
        <v>0.15654600282786321</v>
      </c>
      <c r="L4" s="416">
        <v>0.15001453139412932</v>
      </c>
    </row>
    <row r="5" spans="1:20" x14ac:dyDescent="0.15">
      <c r="A5" t="s">
        <v>230</v>
      </c>
      <c r="B5" s="59" t="s">
        <v>230</v>
      </c>
      <c r="C5" s="59" t="s">
        <v>230</v>
      </c>
      <c r="D5" s="59" t="s">
        <v>230</v>
      </c>
      <c r="E5" s="59" t="s">
        <v>230</v>
      </c>
      <c r="F5" s="59" t="s">
        <v>230</v>
      </c>
      <c r="G5" s="59" t="s">
        <v>230</v>
      </c>
      <c r="H5" s="59" t="s">
        <v>230</v>
      </c>
      <c r="I5" s="59" t="s">
        <v>230</v>
      </c>
      <c r="J5" s="59" t="s">
        <v>230</v>
      </c>
      <c r="K5" s="438" t="s">
        <v>230</v>
      </c>
      <c r="L5" s="438" t="s">
        <v>230</v>
      </c>
    </row>
    <row r="6" spans="1:20" x14ac:dyDescent="0.15">
      <c r="A6" t="s">
        <v>348</v>
      </c>
      <c r="B6" s="428">
        <v>2.7972816083817076</v>
      </c>
      <c r="C6" s="428">
        <v>2.6857587145263704</v>
      </c>
      <c r="D6" s="428">
        <v>2.6214240740233787</v>
      </c>
      <c r="E6" s="428">
        <v>2.350269456145718</v>
      </c>
      <c r="F6" s="428">
        <v>2.3672312631462415</v>
      </c>
      <c r="G6" s="428">
        <v>2.0822690230927097</v>
      </c>
      <c r="H6" s="428">
        <v>1.8584005592186053</v>
      </c>
      <c r="I6" s="428">
        <v>1.9264849378204996</v>
      </c>
      <c r="J6" s="428">
        <v>1.6065763871145267</v>
      </c>
      <c r="K6" s="428">
        <v>1.4204791866624009</v>
      </c>
      <c r="L6" s="428">
        <v>1.458380171381185</v>
      </c>
    </row>
    <row r="7" spans="1:20" s="16" customFormat="1" x14ac:dyDescent="0.15">
      <c r="A7" s="435" t="s">
        <v>343</v>
      </c>
      <c r="B7" s="429">
        <v>0.30744234029443868</v>
      </c>
      <c r="C7" s="429">
        <v>0.33255455002602685</v>
      </c>
      <c r="D7" s="429">
        <v>0.37568916721735501</v>
      </c>
      <c r="E7" s="429">
        <v>0.35558233898709224</v>
      </c>
      <c r="F7" s="429">
        <v>0.35791565763414457</v>
      </c>
      <c r="G7" s="429">
        <v>0.33774262878575051</v>
      </c>
      <c r="H7" s="429">
        <v>0.32523880402970712</v>
      </c>
      <c r="I7" s="429">
        <v>0.33494852130707869</v>
      </c>
      <c r="J7" s="429">
        <v>0.27037177113087574</v>
      </c>
      <c r="K7" s="429">
        <v>0.22237033877217305</v>
      </c>
      <c r="L7" s="429">
        <v>0.21877821800423847</v>
      </c>
      <c r="M7" s="66"/>
      <c r="N7" s="66"/>
      <c r="O7" s="66"/>
      <c r="P7" s="66"/>
      <c r="Q7" s="66"/>
      <c r="R7" s="66"/>
      <c r="S7" s="66"/>
      <c r="T7" s="66"/>
    </row>
    <row r="8" spans="1:20" x14ac:dyDescent="0.15">
      <c r="A8" t="s">
        <v>347</v>
      </c>
      <c r="B8" s="416">
        <v>2.8727277022042894E-2</v>
      </c>
      <c r="C8" s="416">
        <v>1.2776693837100193E-2</v>
      </c>
      <c r="D8" s="416">
        <v>1.1864964880882085E-2</v>
      </c>
      <c r="E8" s="416">
        <v>9.261464062460676E-3</v>
      </c>
      <c r="F8" s="416">
        <v>8.882609781159961E-3</v>
      </c>
      <c r="G8" s="416">
        <v>8.3619252668163963E-3</v>
      </c>
      <c r="H8" s="416">
        <v>8.4862805826055772E-3</v>
      </c>
      <c r="I8" s="416">
        <v>7.403690788330127E-3</v>
      </c>
      <c r="J8" s="416">
        <v>8.4237501167014287E-3</v>
      </c>
      <c r="K8" s="439">
        <v>1.273184496803258E-2</v>
      </c>
      <c r="L8" s="439">
        <v>1.295704404460964E-2</v>
      </c>
    </row>
    <row r="9" spans="1:20" x14ac:dyDescent="0.15">
      <c r="A9" t="s">
        <v>344</v>
      </c>
      <c r="B9" s="428">
        <v>0.57099652764813502</v>
      </c>
      <c r="C9" s="428">
        <v>8.1418098031001254</v>
      </c>
      <c r="D9" s="428">
        <v>1.4900772430184195</v>
      </c>
      <c r="E9" s="428">
        <v>1.6251359582336307</v>
      </c>
      <c r="F9" s="428">
        <v>2.3084396272553036</v>
      </c>
      <c r="G9" s="428">
        <v>3.0604545120247115</v>
      </c>
      <c r="H9" s="428">
        <v>2.1585011247051078</v>
      </c>
      <c r="I9" s="428">
        <v>9.0537453183520604</v>
      </c>
      <c r="J9" s="428">
        <v>4.8396000416623268</v>
      </c>
      <c r="K9" s="428">
        <v>3.6208232077764277</v>
      </c>
      <c r="L9" s="428">
        <v>3.6011039415377439</v>
      </c>
    </row>
    <row r="10" spans="1:20" s="16" customFormat="1" x14ac:dyDescent="0.15">
      <c r="A10" s="16" t="s">
        <v>346</v>
      </c>
      <c r="B10" s="429">
        <v>0.38897808311242205</v>
      </c>
      <c r="C10" s="429">
        <v>2.5837871805613739</v>
      </c>
      <c r="D10" s="429">
        <v>0.79774212715389181</v>
      </c>
      <c r="E10" s="429">
        <v>0.806667391777246</v>
      </c>
      <c r="F10" s="429">
        <v>1.0478487872579472</v>
      </c>
      <c r="G10" s="429">
        <v>1.2210781790100758</v>
      </c>
      <c r="H10" s="429">
        <v>0.92609864486750426</v>
      </c>
      <c r="I10" s="429">
        <v>2.9498127340823972</v>
      </c>
      <c r="J10" s="429">
        <v>1.3919383397562755</v>
      </c>
      <c r="K10" s="429">
        <v>0.90226306196840822</v>
      </c>
      <c r="L10" s="429">
        <v>0.87514576692839929</v>
      </c>
      <c r="M10" s="66"/>
      <c r="N10" s="66"/>
      <c r="O10" s="66"/>
      <c r="P10" s="66"/>
      <c r="Q10" s="66"/>
      <c r="R10" s="66"/>
      <c r="S10" s="66"/>
      <c r="T10" s="66"/>
    </row>
    <row r="11" spans="1:20" x14ac:dyDescent="0.15">
      <c r="A11" t="s">
        <v>345</v>
      </c>
      <c r="B11" s="430">
        <v>0.20961526203628802</v>
      </c>
      <c r="C11" s="430">
        <v>0.87129181825502611</v>
      </c>
      <c r="D11" s="430">
        <v>0.52905938594755808</v>
      </c>
      <c r="E11" s="430">
        <v>0.55919584377437792</v>
      </c>
      <c r="F11" s="430">
        <v>0.65842814155394247</v>
      </c>
      <c r="G11" s="430">
        <v>0.72340622034572966</v>
      </c>
      <c r="H11" s="430">
        <v>0.64880760183356212</v>
      </c>
      <c r="I11" s="430">
        <v>0.8864509202780726</v>
      </c>
      <c r="J11" s="430">
        <v>0.80575880165911873</v>
      </c>
      <c r="K11" s="430">
        <v>0.75354156881138168</v>
      </c>
      <c r="L11" s="430">
        <v>0.75000939698067692</v>
      </c>
    </row>
    <row r="12" spans="1:20" x14ac:dyDescent="0.15">
      <c r="A12" s="98" t="s">
        <v>342</v>
      </c>
      <c r="B12" s="431">
        <v>0.28097177168886744</v>
      </c>
      <c r="C12" s="431">
        <v>0.2620842306771955</v>
      </c>
      <c r="D12" s="431">
        <v>0.25982689233144052</v>
      </c>
      <c r="E12" s="431">
        <v>0.24793388429752067</v>
      </c>
      <c r="F12" s="431">
        <v>0.24510784173689473</v>
      </c>
      <c r="G12" s="431">
        <v>0.24190676224829916</v>
      </c>
      <c r="H12" s="431">
        <v>0.16946334089191231</v>
      </c>
      <c r="I12" s="431">
        <v>0.26044165590207297</v>
      </c>
      <c r="J12" s="431">
        <v>0.16365480946040201</v>
      </c>
      <c r="K12" s="431">
        <v>3.6441847252658061E-2</v>
      </c>
      <c r="L12" s="431">
        <v>2.4092297251442144E-2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1"/>
  <dimension ref="A1"/>
  <sheetViews>
    <sheetView workbookViewId="0">
      <selection activeCell="N16" sqref="N16"/>
    </sheetView>
  </sheetViews>
  <sheetFormatPr baseColWidth="10" defaultColWidth="11.5" defaultRowHeight="13" x14ac:dyDescent="0.15"/>
  <sheetData/>
  <phoneticPr fontId="0" type="noConversion"/>
  <pageMargins left="0.75" right="0.75" top="1" bottom="1" header="0.4921259845" footer="0.492125984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2">
    <pageSetUpPr fitToPage="1"/>
  </sheetPr>
  <dimension ref="A1:O82"/>
  <sheetViews>
    <sheetView zoomScale="200" zoomScaleNormal="200" zoomScalePageLayoutView="200" workbookViewId="0">
      <pane ySplit="3" topLeftCell="A54" activePane="bottomLeft" state="frozen"/>
      <selection activeCell="A11" sqref="A11"/>
      <selection pane="bottomLeft" activeCell="E63" sqref="E63"/>
    </sheetView>
  </sheetViews>
  <sheetFormatPr baseColWidth="10" defaultColWidth="11.5" defaultRowHeight="13" outlineLevelCol="1" x14ac:dyDescent="0.15"/>
  <cols>
    <col min="1" max="1" width="10" style="59" customWidth="1"/>
    <col min="2" max="2" width="15.5" style="60" customWidth="1"/>
    <col min="3" max="3" width="16.5" customWidth="1"/>
    <col min="4" max="4" width="16.83203125" style="59" customWidth="1"/>
    <col min="5" max="5" width="16" style="59" customWidth="1"/>
    <col min="7" max="14" width="11.5" hidden="1" customWidth="1" outlineLevel="1"/>
    <col min="15" max="15" width="11.5" customWidth="1" collapsed="1"/>
  </cols>
  <sheetData>
    <row r="1" spans="1:6" x14ac:dyDescent="0.15">
      <c r="A1" s="337" t="s">
        <v>258</v>
      </c>
      <c r="B1" s="338"/>
      <c r="C1" s="339"/>
      <c r="D1" s="336"/>
      <c r="E1" s="336"/>
      <c r="F1" s="57"/>
    </row>
    <row r="2" spans="1:6" s="57" customFormat="1" x14ac:dyDescent="0.15">
      <c r="A2" s="336"/>
      <c r="B2" s="340"/>
      <c r="C2" s="323"/>
      <c r="D2" s="336"/>
      <c r="E2" s="336"/>
    </row>
    <row r="3" spans="1:6" s="57" customFormat="1" x14ac:dyDescent="0.15">
      <c r="A3" s="336"/>
      <c r="B3" s="335" t="s">
        <v>220</v>
      </c>
      <c r="C3" s="323" t="s">
        <v>259</v>
      </c>
      <c r="D3" s="336" t="s">
        <v>260</v>
      </c>
      <c r="E3" s="336" t="s">
        <v>261</v>
      </c>
    </row>
    <row r="4" spans="1:6" s="57" customFormat="1" x14ac:dyDescent="0.15">
      <c r="A4" s="341"/>
      <c r="B4" s="342"/>
      <c r="C4" s="343"/>
      <c r="D4" s="341"/>
      <c r="E4" s="341"/>
    </row>
    <row r="5" spans="1:6" s="57" customFormat="1" x14ac:dyDescent="0.15">
      <c r="A5" s="59"/>
      <c r="B5" s="335"/>
      <c r="C5" s="323"/>
      <c r="D5" s="336"/>
      <c r="E5" s="336"/>
    </row>
    <row r="6" spans="1:6" s="57" customFormat="1" x14ac:dyDescent="0.15">
      <c r="A6" s="59" t="s">
        <v>213</v>
      </c>
      <c r="B6" s="335"/>
      <c r="C6" s="323"/>
      <c r="D6" s="336"/>
      <c r="E6" s="336"/>
    </row>
    <row r="7" spans="1:6" s="57" customFormat="1" x14ac:dyDescent="0.15">
      <c r="A7" s="59">
        <v>1967</v>
      </c>
      <c r="B7" s="344">
        <v>0.03</v>
      </c>
      <c r="C7" s="339">
        <v>7.0000000000000007E-2</v>
      </c>
      <c r="D7" s="345">
        <v>0.04</v>
      </c>
      <c r="E7" s="345">
        <v>0.05</v>
      </c>
    </row>
    <row r="8" spans="1:6" s="57" customFormat="1" x14ac:dyDescent="0.15">
      <c r="A8" s="59">
        <v>1968</v>
      </c>
      <c r="B8" s="344">
        <v>0.05</v>
      </c>
      <c r="C8" s="339">
        <v>0.08</v>
      </c>
      <c r="D8" s="345">
        <v>0.03</v>
      </c>
      <c r="E8" s="345">
        <v>0.04</v>
      </c>
    </row>
    <row r="9" spans="1:6" s="57" customFormat="1" x14ac:dyDescent="0.15">
      <c r="A9" s="59">
        <v>1969</v>
      </c>
      <c r="B9" s="344">
        <v>0.06</v>
      </c>
      <c r="C9" s="339">
        <v>0.09</v>
      </c>
      <c r="D9" s="345">
        <v>0.03</v>
      </c>
      <c r="E9" s="345">
        <v>7.0000000000000007E-2</v>
      </c>
    </row>
    <row r="10" spans="1:6" s="57" customFormat="1" x14ac:dyDescent="0.15">
      <c r="A10" s="59">
        <v>1970</v>
      </c>
      <c r="B10" s="344">
        <v>0.06</v>
      </c>
      <c r="C10" s="339">
        <v>0.09</v>
      </c>
      <c r="D10" s="345">
        <v>0.03</v>
      </c>
      <c r="E10" s="345">
        <v>0.06</v>
      </c>
    </row>
    <row r="11" spans="1:6" s="57" customFormat="1" x14ac:dyDescent="0.15">
      <c r="A11" s="59">
        <v>1971</v>
      </c>
      <c r="B11" s="344">
        <v>0.06</v>
      </c>
      <c r="C11" s="339">
        <v>0.09</v>
      </c>
      <c r="D11" s="345">
        <v>0.03</v>
      </c>
      <c r="E11" s="345">
        <v>0.05</v>
      </c>
    </row>
    <row r="12" spans="1:6" s="57" customFormat="1" x14ac:dyDescent="0.15">
      <c r="A12" s="59">
        <v>1972</v>
      </c>
      <c r="B12" s="344">
        <v>0.06</v>
      </c>
      <c r="C12" s="339">
        <v>0.08</v>
      </c>
      <c r="D12" s="345">
        <v>0.02</v>
      </c>
      <c r="E12" s="345">
        <v>0.04</v>
      </c>
    </row>
    <row r="13" spans="1:6" s="57" customFormat="1" x14ac:dyDescent="0.15">
      <c r="A13" s="59">
        <v>1973</v>
      </c>
      <c r="B13" s="344">
        <v>7.0000000000000007E-2</v>
      </c>
      <c r="C13" s="339">
        <v>0.1</v>
      </c>
      <c r="D13" s="345">
        <v>0.02</v>
      </c>
      <c r="E13" s="345">
        <v>0.06</v>
      </c>
    </row>
    <row r="14" spans="1:6" s="57" customFormat="1" x14ac:dyDescent="0.15">
      <c r="A14" s="59">
        <v>1974</v>
      </c>
      <c r="B14" s="344">
        <v>0.14000000000000001</v>
      </c>
      <c r="C14" s="339">
        <v>0.12</v>
      </c>
      <c r="D14" s="345">
        <v>-0.02</v>
      </c>
      <c r="E14" s="345">
        <v>0.03</v>
      </c>
    </row>
    <row r="15" spans="1:6" s="57" customFormat="1" x14ac:dyDescent="0.15">
      <c r="A15" s="59">
        <v>1975</v>
      </c>
      <c r="B15" s="344">
        <v>0.12</v>
      </c>
      <c r="C15" s="339">
        <v>0.11</v>
      </c>
      <c r="D15" s="345">
        <v>-0.01</v>
      </c>
      <c r="E15" s="345">
        <v>0</v>
      </c>
    </row>
    <row r="16" spans="1:6" s="57" customFormat="1" x14ac:dyDescent="0.15">
      <c r="A16" s="59">
        <v>1976</v>
      </c>
      <c r="B16" s="344">
        <v>0.1</v>
      </c>
      <c r="C16" s="339">
        <v>0.11</v>
      </c>
      <c r="D16" s="345">
        <v>0.02</v>
      </c>
      <c r="E16" s="345">
        <v>0.04</v>
      </c>
    </row>
    <row r="17" spans="1:13" s="57" customFormat="1" x14ac:dyDescent="0.15">
      <c r="A17" s="59">
        <v>1977</v>
      </c>
      <c r="B17" s="344">
        <v>0.1</v>
      </c>
      <c r="C17" s="339">
        <v>0.12</v>
      </c>
      <c r="D17" s="345">
        <v>0.02</v>
      </c>
      <c r="E17" s="345">
        <v>0.03</v>
      </c>
    </row>
    <row r="18" spans="1:13" s="57" customFormat="1" x14ac:dyDescent="0.15">
      <c r="A18" s="59">
        <v>1978</v>
      </c>
      <c r="B18" s="344">
        <v>0.09</v>
      </c>
      <c r="C18" s="339">
        <v>0.1</v>
      </c>
      <c r="D18" s="345">
        <v>0.01</v>
      </c>
      <c r="E18" s="345">
        <v>0.04</v>
      </c>
    </row>
    <row r="19" spans="1:13" s="57" customFormat="1" x14ac:dyDescent="0.15">
      <c r="A19" s="59">
        <v>1979</v>
      </c>
      <c r="B19" s="344">
        <v>0.11</v>
      </c>
      <c r="C19" s="339">
        <v>0.12</v>
      </c>
      <c r="D19" s="345">
        <v>0.02</v>
      </c>
      <c r="E19" s="345">
        <v>0.03</v>
      </c>
    </row>
    <row r="20" spans="1:13" s="57" customFormat="1" x14ac:dyDescent="0.15">
      <c r="A20" s="59">
        <v>1980</v>
      </c>
      <c r="B20" s="344">
        <v>0.14000000000000001</v>
      </c>
      <c r="C20" s="339">
        <v>0.15</v>
      </c>
      <c r="D20" s="345">
        <v>0.02</v>
      </c>
      <c r="E20" s="345">
        <v>0.01</v>
      </c>
    </row>
    <row r="21" spans="1:13" s="57" customFormat="1" x14ac:dyDescent="0.15">
      <c r="A21" s="59">
        <v>1981</v>
      </c>
      <c r="B21" s="344">
        <v>0.13</v>
      </c>
      <c r="C21" s="339">
        <v>0.18</v>
      </c>
      <c r="D21" s="345">
        <v>0.05</v>
      </c>
      <c r="E21" s="345">
        <v>0.01</v>
      </c>
    </row>
    <row r="22" spans="1:13" s="57" customFormat="1" x14ac:dyDescent="0.15">
      <c r="A22" s="59">
        <v>1982</v>
      </c>
      <c r="B22" s="344">
        <v>0.12</v>
      </c>
      <c r="C22" s="339">
        <v>0.16</v>
      </c>
      <c r="D22" s="345">
        <v>0.04</v>
      </c>
      <c r="E22" s="345">
        <v>0.03</v>
      </c>
    </row>
    <row r="23" spans="1:13" s="57" customFormat="1" x14ac:dyDescent="0.15">
      <c r="A23" s="59">
        <v>1983</v>
      </c>
      <c r="B23" s="344">
        <v>0.09</v>
      </c>
      <c r="C23" s="339">
        <v>0.14000000000000001</v>
      </c>
      <c r="D23" s="345">
        <v>0.05</v>
      </c>
      <c r="E23" s="345">
        <v>0.01</v>
      </c>
    </row>
    <row r="24" spans="1:13" s="57" customFormat="1" x14ac:dyDescent="0.15">
      <c r="A24" s="59">
        <v>1984</v>
      </c>
      <c r="B24" s="344">
        <v>0.08</v>
      </c>
      <c r="C24" s="339">
        <v>0.12</v>
      </c>
      <c r="D24" s="345">
        <v>0.05</v>
      </c>
      <c r="E24" s="345">
        <v>0.02</v>
      </c>
    </row>
    <row r="25" spans="1:13" s="57" customFormat="1" x14ac:dyDescent="0.15">
      <c r="A25" s="59">
        <v>1985</v>
      </c>
      <c r="B25" s="344">
        <v>0.06</v>
      </c>
      <c r="C25" s="339">
        <v>0.12</v>
      </c>
      <c r="D25" s="345">
        <v>0.06</v>
      </c>
      <c r="E25" s="345">
        <v>0.02</v>
      </c>
      <c r="J25" s="57" t="s">
        <v>225</v>
      </c>
      <c r="K25" s="57" t="s">
        <v>226</v>
      </c>
    </row>
    <row r="26" spans="1:13" s="57" customFormat="1" x14ac:dyDescent="0.15">
      <c r="A26" s="59">
        <v>1986</v>
      </c>
      <c r="B26" s="344">
        <v>0.03</v>
      </c>
      <c r="C26" s="339">
        <v>0.09</v>
      </c>
      <c r="D26" s="345">
        <v>7.0000000000000007E-2</v>
      </c>
      <c r="E26" s="345">
        <v>0.02</v>
      </c>
      <c r="I26"/>
      <c r="J26">
        <v>8.59</v>
      </c>
      <c r="K26" t="s">
        <v>224</v>
      </c>
    </row>
    <row r="27" spans="1:13" s="57" customFormat="1" x14ac:dyDescent="0.15">
      <c r="A27" s="59">
        <v>1987</v>
      </c>
      <c r="B27" s="344">
        <v>0.03</v>
      </c>
      <c r="C27" s="339">
        <v>0.1</v>
      </c>
      <c r="D27" s="345">
        <v>7.0000000000000007E-2</v>
      </c>
      <c r="E27" s="345">
        <v>0.03</v>
      </c>
      <c r="I27"/>
      <c r="J27">
        <v>11.63</v>
      </c>
      <c r="K27">
        <v>8.7343700000000002</v>
      </c>
      <c r="L27" s="288">
        <v>0.09</v>
      </c>
    </row>
    <row r="28" spans="1:13" s="58" customFormat="1" x14ac:dyDescent="0.15">
      <c r="A28" s="59">
        <v>1988</v>
      </c>
      <c r="B28" s="344">
        <v>0.03</v>
      </c>
      <c r="C28" s="345">
        <v>0.09</v>
      </c>
      <c r="D28" s="346">
        <v>0.06</v>
      </c>
      <c r="E28" s="346">
        <v>0.04</v>
      </c>
      <c r="I28"/>
      <c r="J28">
        <v>8.74</v>
      </c>
      <c r="K28">
        <v>7.9531000000000009</v>
      </c>
      <c r="L28" s="286">
        <v>0.1</v>
      </c>
    </row>
    <row r="29" spans="1:13" x14ac:dyDescent="0.15">
      <c r="A29" s="59">
        <v>1989</v>
      </c>
      <c r="B29" s="344">
        <v>0.04</v>
      </c>
      <c r="C29" s="345">
        <v>0.09</v>
      </c>
      <c r="D29" s="346">
        <v>0.06</v>
      </c>
      <c r="E29" s="346">
        <v>0.04</v>
      </c>
      <c r="F29" s="290"/>
      <c r="J29">
        <v>8.8019999999999996</v>
      </c>
      <c r="K29">
        <v>9.9375</v>
      </c>
      <c r="L29" s="287">
        <v>0.09</v>
      </c>
    </row>
    <row r="30" spans="1:13" x14ac:dyDescent="0.15">
      <c r="A30" s="59">
        <v>1990</v>
      </c>
      <c r="B30" s="344">
        <v>0.03</v>
      </c>
      <c r="C30" s="345">
        <v>0.1</v>
      </c>
      <c r="D30" s="346">
        <v>7.0000000000000007E-2</v>
      </c>
      <c r="E30" s="346">
        <v>0.02</v>
      </c>
      <c r="F30" s="290"/>
      <c r="G30" s="23" t="s">
        <v>222</v>
      </c>
      <c r="H30" s="23" t="s">
        <v>223</v>
      </c>
      <c r="J30">
        <v>10.38</v>
      </c>
      <c r="K30">
        <v>10</v>
      </c>
      <c r="L30" s="287">
        <v>0.09</v>
      </c>
    </row>
    <row r="31" spans="1:13" x14ac:dyDescent="0.15">
      <c r="A31" s="59">
        <v>1991</v>
      </c>
      <c r="B31" s="344">
        <v>0.03</v>
      </c>
      <c r="C31" s="345">
        <v>0.09</v>
      </c>
      <c r="D31" s="346">
        <v>0.06</v>
      </c>
      <c r="E31" s="346">
        <v>0.01</v>
      </c>
      <c r="F31" s="290"/>
      <c r="H31" s="291">
        <v>3.2199999999999999E-2</v>
      </c>
      <c r="J31">
        <v>8.6980000000000004</v>
      </c>
      <c r="K31">
        <v>9.3125</v>
      </c>
      <c r="L31" s="287">
        <v>0.1</v>
      </c>
    </row>
    <row r="32" spans="1:13" x14ac:dyDescent="0.15">
      <c r="A32" s="59">
        <v>1992</v>
      </c>
      <c r="B32" s="344">
        <v>0.02</v>
      </c>
      <c r="C32" s="345">
        <v>0.09</v>
      </c>
      <c r="D32" s="346">
        <v>0.06</v>
      </c>
      <c r="E32" s="346">
        <v>0.01</v>
      </c>
      <c r="F32" s="290"/>
      <c r="G32" s="292">
        <v>1.7359806970173031E-2</v>
      </c>
      <c r="H32" s="291">
        <v>2.41E-2</v>
      </c>
      <c r="J32">
        <v>8.4459999999999997</v>
      </c>
      <c r="K32">
        <v>11.167900000000001</v>
      </c>
      <c r="L32" s="287">
        <v>0.09</v>
      </c>
      <c r="M32" t="s">
        <v>227</v>
      </c>
    </row>
    <row r="33" spans="1:14" x14ac:dyDescent="0.15">
      <c r="A33" s="59">
        <v>1993</v>
      </c>
      <c r="B33" s="344">
        <v>0.02</v>
      </c>
      <c r="C33" s="345">
        <v>0.06</v>
      </c>
      <c r="D33" s="346">
        <v>0.04</v>
      </c>
      <c r="E33" s="346">
        <v>-0.01</v>
      </c>
      <c r="F33" s="290"/>
      <c r="G33" s="291">
        <v>-8.3800627855594723E-3</v>
      </c>
      <c r="H33" s="291">
        <v>2.0799999999999999E-2</v>
      </c>
      <c r="J33">
        <v>5.9190000000000005</v>
      </c>
      <c r="K33">
        <v>7</v>
      </c>
      <c r="L33" s="287">
        <v>0.09</v>
      </c>
      <c r="M33">
        <v>8.8866666666666667</v>
      </c>
    </row>
    <row r="34" spans="1:14" x14ac:dyDescent="0.15">
      <c r="A34" s="59">
        <v>1994</v>
      </c>
      <c r="B34" s="344">
        <v>0.02</v>
      </c>
      <c r="C34" s="345">
        <v>0.08</v>
      </c>
      <c r="D34" s="346">
        <v>0.06</v>
      </c>
      <c r="E34" s="346">
        <v>0.02</v>
      </c>
      <c r="F34" s="290"/>
      <c r="G34" s="291">
        <v>1.5212896268045561E-2</v>
      </c>
      <c r="H34" s="291">
        <v>1.67E-2</v>
      </c>
      <c r="J34">
        <v>7.99</v>
      </c>
      <c r="K34">
        <v>5.625</v>
      </c>
      <c r="L34" s="287">
        <v>0.06</v>
      </c>
      <c r="M34">
        <v>6.9424999999999999</v>
      </c>
    </row>
    <row r="35" spans="1:14" x14ac:dyDescent="0.15">
      <c r="A35" s="59">
        <v>1995</v>
      </c>
      <c r="B35" s="344">
        <v>0.02</v>
      </c>
      <c r="C35" s="345">
        <v>7.0000000000000007E-2</v>
      </c>
      <c r="D35" s="346">
        <v>0.05</v>
      </c>
      <c r="E35" s="346">
        <v>0.02</v>
      </c>
      <c r="F35" s="290"/>
      <c r="G35" s="291">
        <v>1.8182287120389606E-2</v>
      </c>
      <c r="H35" s="291">
        <v>1.7899999999999999E-2</v>
      </c>
      <c r="J35">
        <v>7.5020000000000007</v>
      </c>
      <c r="K35">
        <v>6.4960900000000006</v>
      </c>
      <c r="L35" s="287">
        <v>0.08</v>
      </c>
      <c r="M35">
        <v>7.5408333333333326</v>
      </c>
    </row>
    <row r="36" spans="1:14" x14ac:dyDescent="0.15">
      <c r="A36" s="59">
        <v>1996</v>
      </c>
      <c r="B36" s="344">
        <v>0.02</v>
      </c>
      <c r="C36" s="345">
        <v>0.06</v>
      </c>
      <c r="D36" s="346">
        <v>0.04</v>
      </c>
      <c r="E36" s="346">
        <v>0.01</v>
      </c>
      <c r="F36" s="290"/>
      <c r="G36" s="291">
        <v>1.0445098126135921E-2</v>
      </c>
      <c r="H36" s="291">
        <v>0.02</v>
      </c>
      <c r="J36">
        <v>6.0040000000000004</v>
      </c>
      <c r="K36">
        <v>3.5625</v>
      </c>
      <c r="L36" s="287">
        <v>7.0000000000000007E-2</v>
      </c>
      <c r="M36">
        <v>7.6241666666666674</v>
      </c>
    </row>
    <row r="37" spans="1:14" x14ac:dyDescent="0.15">
      <c r="A37" s="59">
        <v>1997</v>
      </c>
      <c r="B37" s="344">
        <v>0.01</v>
      </c>
      <c r="C37" s="345">
        <v>0.06</v>
      </c>
      <c r="D37" s="346">
        <v>0.04</v>
      </c>
      <c r="E37" s="346">
        <v>0.02</v>
      </c>
      <c r="F37" s="290"/>
      <c r="G37" s="291">
        <v>2.0852086266233361E-2</v>
      </c>
      <c r="H37" s="291">
        <v>1.1899999999999999E-2</v>
      </c>
      <c r="J37">
        <v>5.6379999999999999</v>
      </c>
      <c r="K37">
        <v>3.6523400000000001</v>
      </c>
      <c r="L37" s="287">
        <v>0.06</v>
      </c>
      <c r="M37">
        <v>6.4116666666666662</v>
      </c>
    </row>
    <row r="38" spans="1:14" x14ac:dyDescent="0.15">
      <c r="A38" s="59">
        <v>1998</v>
      </c>
      <c r="B38" s="344">
        <v>0.01</v>
      </c>
      <c r="C38" s="345">
        <v>0.04</v>
      </c>
      <c r="D38" s="346">
        <v>0.04</v>
      </c>
      <c r="E38" s="346">
        <v>0.03</v>
      </c>
      <c r="F38" s="290"/>
      <c r="G38" s="291">
        <v>3.2612632800341324E-2</v>
      </c>
      <c r="H38" s="291">
        <v>6.4000000000000003E-3</v>
      </c>
      <c r="J38">
        <v>4.2210000000000001</v>
      </c>
      <c r="K38">
        <v>3.5449200000000003</v>
      </c>
      <c r="L38" s="287">
        <v>0.06</v>
      </c>
      <c r="M38">
        <v>5.6349999999999998</v>
      </c>
    </row>
    <row r="39" spans="1:14" x14ac:dyDescent="0.15">
      <c r="A39" s="59">
        <v>1999</v>
      </c>
      <c r="B39" s="344">
        <v>0.01</v>
      </c>
      <c r="C39" s="345">
        <v>0.05</v>
      </c>
      <c r="D39" s="346">
        <v>0.04</v>
      </c>
      <c r="E39" s="346">
        <v>0.03</v>
      </c>
      <c r="F39" s="290"/>
      <c r="G39" s="291">
        <v>3.0299922487014852E-2</v>
      </c>
      <c r="H39" s="291">
        <v>5.4000000000000003E-3</v>
      </c>
      <c r="J39">
        <v>5.4260000000000002</v>
      </c>
      <c r="K39">
        <v>3.4290000000000003</v>
      </c>
      <c r="L39" s="287">
        <v>0.04</v>
      </c>
      <c r="M39">
        <v>4.7358333333333329</v>
      </c>
    </row>
    <row r="40" spans="1:14" x14ac:dyDescent="0.15">
      <c r="A40" s="59">
        <v>2000</v>
      </c>
      <c r="B40" s="344">
        <v>0.01</v>
      </c>
      <c r="C40" s="345">
        <v>0.05</v>
      </c>
      <c r="D40" s="346">
        <v>0.04</v>
      </c>
      <c r="E40" s="346">
        <v>0.03</v>
      </c>
      <c r="F40" s="290"/>
      <c r="G40" s="291">
        <v>4.0486831627176922E-2</v>
      </c>
      <c r="H40" s="291">
        <v>1.6899999999999998E-2</v>
      </c>
      <c r="J40">
        <v>5.3881000000000006</v>
      </c>
      <c r="K40">
        <v>5.0090000000000003</v>
      </c>
      <c r="L40" s="287">
        <v>0.05</v>
      </c>
      <c r="M40">
        <v>4.9000000000000004</v>
      </c>
    </row>
    <row r="41" spans="1:14" x14ac:dyDescent="0.15">
      <c r="A41" s="59">
        <v>2001</v>
      </c>
      <c r="B41" s="344">
        <v>1.6299999999999999E-2</v>
      </c>
      <c r="C41" s="345">
        <v>5.2491666666666666E-2</v>
      </c>
      <c r="D41" s="346">
        <f t="shared" ref="D41:D47" si="0">C41-B41</f>
        <v>3.6191666666666664E-2</v>
      </c>
      <c r="E41" s="347">
        <v>1.814789934841432E-2</v>
      </c>
      <c r="F41" s="290"/>
      <c r="G41" s="291">
        <v>1.814789934841432E-2</v>
      </c>
      <c r="H41" s="291">
        <v>1.6299999999999999E-2</v>
      </c>
      <c r="J41">
        <v>4.7480000000000002</v>
      </c>
      <c r="K41">
        <v>3.6260000000000003</v>
      </c>
      <c r="L41" s="287">
        <v>0.05</v>
      </c>
      <c r="M41">
        <v>5.7491666666666665</v>
      </c>
    </row>
    <row r="42" spans="1:14" x14ac:dyDescent="0.15">
      <c r="A42" s="59">
        <v>2002</v>
      </c>
      <c r="B42" s="344">
        <v>1.9199999999999998E-2</v>
      </c>
      <c r="C42" s="345">
        <v>5.081666666666667E-2</v>
      </c>
      <c r="D42" s="346">
        <f t="shared" si="0"/>
        <v>3.1616666666666668E-2</v>
      </c>
      <c r="E42" s="347">
        <v>1.113192374812666E-2</v>
      </c>
      <c r="F42" s="290"/>
      <c r="G42" s="291">
        <v>1.113192374812666E-2</v>
      </c>
      <c r="H42" s="291">
        <v>1.9199999999999998E-2</v>
      </c>
      <c r="J42">
        <v>4.7214999999999998</v>
      </c>
      <c r="K42">
        <v>3.3010000000000002</v>
      </c>
      <c r="M42">
        <v>5.2491666666666665</v>
      </c>
      <c r="N42">
        <f t="shared" ref="N42:N47" si="1">M42/100</f>
        <v>5.2491666666666666E-2</v>
      </c>
    </row>
    <row r="43" spans="1:14" x14ac:dyDescent="0.15">
      <c r="A43" s="59">
        <v>2003</v>
      </c>
      <c r="B43" s="344">
        <v>2.1099999999999997E-2</v>
      </c>
      <c r="C43" s="345">
        <v>4.4000000000000004E-2</v>
      </c>
      <c r="D43" s="346">
        <f t="shared" si="0"/>
        <v>2.2900000000000007E-2</v>
      </c>
      <c r="E43" s="347">
        <v>1.128882807365339E-2</v>
      </c>
      <c r="F43" s="290"/>
      <c r="G43" s="291">
        <v>1.128882807365339E-2</v>
      </c>
      <c r="H43" s="291">
        <v>2.1099999999999997E-2</v>
      </c>
      <c r="J43">
        <v>4.2896000000000001</v>
      </c>
      <c r="K43">
        <v>2.14</v>
      </c>
      <c r="M43">
        <v>5.081666666666667</v>
      </c>
      <c r="N43">
        <f t="shared" si="1"/>
        <v>5.081666666666667E-2</v>
      </c>
    </row>
    <row r="44" spans="1:14" x14ac:dyDescent="0.15">
      <c r="A44" s="59">
        <v>2004</v>
      </c>
      <c r="B44" s="344">
        <v>2.1299999999999999E-2</v>
      </c>
      <c r="C44" s="345">
        <v>4.3641666666666669E-2</v>
      </c>
      <c r="D44" s="346">
        <f t="shared" si="0"/>
        <v>2.2341666666666669E-2</v>
      </c>
      <c r="E44" s="347">
        <v>2.0329983512810124E-2</v>
      </c>
      <c r="F44" s="290"/>
      <c r="G44" s="291">
        <v>2.0329983512810124E-2</v>
      </c>
      <c r="H44" s="291">
        <v>2.1299999999999999E-2</v>
      </c>
      <c r="J44">
        <v>3.8987000000000003</v>
      </c>
      <c r="K44">
        <v>2.1460000000000004</v>
      </c>
      <c r="M44">
        <v>4.4000000000000004</v>
      </c>
      <c r="N44">
        <f t="shared" si="1"/>
        <v>4.4000000000000004E-2</v>
      </c>
    </row>
    <row r="45" spans="1:14" x14ac:dyDescent="0.15">
      <c r="A45" s="59">
        <v>2005</v>
      </c>
      <c r="B45" s="344">
        <v>1.7399999999999999E-2</v>
      </c>
      <c r="C45" s="345">
        <v>3.6575000000000003E-2</v>
      </c>
      <c r="D45" s="346">
        <f t="shared" si="0"/>
        <v>1.9175000000000005E-2</v>
      </c>
      <c r="E45" s="347">
        <v>1.1919966220780065E-2</v>
      </c>
      <c r="F45" s="290"/>
      <c r="G45" s="291">
        <v>1.1919966220780065E-2</v>
      </c>
      <c r="H45" s="291">
        <v>1.7399999999999999E-2</v>
      </c>
      <c r="J45">
        <v>3.3113000000000001</v>
      </c>
      <c r="K45">
        <v>2.1850000000000001</v>
      </c>
      <c r="M45">
        <v>4.3641666666666667</v>
      </c>
      <c r="N45">
        <f t="shared" si="1"/>
        <v>4.3641666666666669E-2</v>
      </c>
    </row>
    <row r="46" spans="1:14" x14ac:dyDescent="0.15">
      <c r="A46" s="59">
        <v>2006</v>
      </c>
      <c r="B46" s="374">
        <f>DS!B9/100</f>
        <v>1.6799999999999999E-2</v>
      </c>
      <c r="C46" s="375">
        <f>DS!E9/100</f>
        <v>3.7975000000000002E-2</v>
      </c>
      <c r="D46" s="346">
        <f t="shared" si="0"/>
        <v>2.1175000000000003E-2</v>
      </c>
      <c r="E46" s="347">
        <f>DS!M9/100</f>
        <v>2.2000000000000002E-2</v>
      </c>
      <c r="J46">
        <v>3.8388</v>
      </c>
      <c r="K46">
        <v>3.5020000000000002</v>
      </c>
      <c r="M46">
        <v>3.6575000000000002</v>
      </c>
      <c r="N46">
        <f t="shared" si="1"/>
        <v>3.6575000000000003E-2</v>
      </c>
    </row>
    <row r="47" spans="1:14" x14ac:dyDescent="0.15">
      <c r="A47" s="441">
        <v>2007</v>
      </c>
      <c r="B47" s="432">
        <f>DS!B10/100</f>
        <v>1.49E-2</v>
      </c>
      <c r="C47" s="375">
        <f>DS!E10/100</f>
        <v>4.27055E-2</v>
      </c>
      <c r="D47" s="345">
        <f t="shared" si="0"/>
        <v>2.78055E-2</v>
      </c>
      <c r="E47" s="433">
        <f>DS!M10/100</f>
        <v>1.9E-2</v>
      </c>
      <c r="M47">
        <v>4.0544444444444441</v>
      </c>
      <c r="N47">
        <f t="shared" si="1"/>
        <v>4.0544444444444439E-2</v>
      </c>
    </row>
    <row r="48" spans="1:14" x14ac:dyDescent="0.15">
      <c r="A48" s="441">
        <f>A47+1</f>
        <v>2008</v>
      </c>
      <c r="B48" s="432">
        <v>2.8000000000000001E-2</v>
      </c>
      <c r="C48" s="440">
        <v>4.2952442748091596E-2</v>
      </c>
      <c r="D48" s="432">
        <f>C48-B48</f>
        <v>1.4952442748091595E-2</v>
      </c>
      <c r="E48" s="440">
        <v>4.0000000000000001E-3</v>
      </c>
      <c r="F48" s="57"/>
    </row>
    <row r="49" spans="1:6" x14ac:dyDescent="0.15">
      <c r="A49" s="441">
        <f t="shared" ref="A49:A55" si="2">A48+1</f>
        <v>2009</v>
      </c>
      <c r="B49" s="432">
        <v>1E-3</v>
      </c>
      <c r="C49" s="440">
        <v>4.1392015209125443E-2</v>
      </c>
      <c r="D49" s="432">
        <f t="shared" ref="D49:D55" si="3">C49-B49</f>
        <v>4.0392015209125443E-2</v>
      </c>
      <c r="E49" s="440">
        <v>-2.5000000000000001E-2</v>
      </c>
      <c r="F49" s="57"/>
    </row>
    <row r="50" spans="1:6" x14ac:dyDescent="0.15">
      <c r="A50" s="441">
        <f t="shared" si="2"/>
        <v>2010</v>
      </c>
      <c r="B50" s="432">
        <v>1.4999999999999999E-2</v>
      </c>
      <c r="C50" s="440">
        <v>3.6111755725190826E-2</v>
      </c>
      <c r="D50" s="432">
        <f t="shared" si="3"/>
        <v>2.1111755725190827E-2</v>
      </c>
      <c r="E50" s="440">
        <v>1.4E-2</v>
      </c>
      <c r="F50" s="57"/>
    </row>
    <row r="51" spans="1:6" x14ac:dyDescent="0.15">
      <c r="A51" s="441">
        <f t="shared" si="2"/>
        <v>2011</v>
      </c>
      <c r="B51" s="432">
        <v>2.1000000000000001E-2</v>
      </c>
      <c r="C51" s="440">
        <v>3.0974427480916035E-2</v>
      </c>
      <c r="D51" s="432">
        <f t="shared" si="3"/>
        <v>9.9744274809160337E-3</v>
      </c>
      <c r="E51" s="440">
        <v>1.7000000000000001E-2</v>
      </c>
      <c r="F51" s="57"/>
    </row>
    <row r="52" spans="1:6" x14ac:dyDescent="0.15">
      <c r="A52" s="441">
        <f t="shared" si="2"/>
        <v>2012</v>
      </c>
      <c r="B52" s="432">
        <v>0.02</v>
      </c>
      <c r="C52" s="440">
        <v>3.2675419847328253E-2</v>
      </c>
      <c r="D52" s="432">
        <f t="shared" si="3"/>
        <v>1.2675419847328253E-2</v>
      </c>
      <c r="E52" s="440">
        <v>1E-3</v>
      </c>
      <c r="F52" s="57"/>
    </row>
    <row r="53" spans="1:6" x14ac:dyDescent="0.15">
      <c r="A53" s="441">
        <f t="shared" si="2"/>
        <v>2013</v>
      </c>
      <c r="B53" s="432">
        <v>8.9999999999999993E-3</v>
      </c>
      <c r="C53" s="440">
        <v>2.4229425287356322E-2</v>
      </c>
      <c r="D53" s="432">
        <f t="shared" si="3"/>
        <v>1.5229425287356322E-2</v>
      </c>
      <c r="E53" s="440">
        <v>3.0000000000000001E-3</v>
      </c>
      <c r="F53" s="57"/>
    </row>
    <row r="54" spans="1:6" x14ac:dyDescent="0.15">
      <c r="A54" s="441">
        <f t="shared" si="2"/>
        <v>2014</v>
      </c>
      <c r="B54" s="432">
        <v>5.0000000000000001E-3</v>
      </c>
      <c r="C54" s="440">
        <v>2.2209809160305346E-2</v>
      </c>
      <c r="D54" s="432">
        <f t="shared" si="3"/>
        <v>1.7209809160305345E-2</v>
      </c>
      <c r="E54" s="440">
        <v>2E-3</v>
      </c>
      <c r="F54" s="57"/>
    </row>
    <row r="55" spans="1:6" x14ac:dyDescent="0.15">
      <c r="A55" s="441">
        <f t="shared" si="2"/>
        <v>2015</v>
      </c>
      <c r="B55" s="432">
        <v>0</v>
      </c>
      <c r="C55" s="440">
        <v>1.5201526717557248E-2</v>
      </c>
      <c r="D55" s="432">
        <f t="shared" si="3"/>
        <v>1.5201526717557248E-2</v>
      </c>
      <c r="E55" s="440">
        <v>1.2E-2</v>
      </c>
      <c r="F55" s="57"/>
    </row>
    <row r="56" spans="1:6" x14ac:dyDescent="0.15">
      <c r="A56" s="441">
        <v>2016</v>
      </c>
      <c r="B56" s="375">
        <v>2E-3</v>
      </c>
      <c r="C56" s="375">
        <v>5.0000000000000001E-3</v>
      </c>
      <c r="D56" s="375">
        <v>3.0000000000000001E-3</v>
      </c>
      <c r="E56" s="375">
        <v>1.2E-2</v>
      </c>
      <c r="F56" s="57"/>
    </row>
    <row r="57" spans="1:6" x14ac:dyDescent="0.15">
      <c r="A57" s="453">
        <v>2017</v>
      </c>
      <c r="B57" s="454">
        <v>0.01</v>
      </c>
      <c r="C57" s="455">
        <v>8.0000000000000002E-3</v>
      </c>
      <c r="D57" s="456">
        <v>-2E-3</v>
      </c>
      <c r="E57" s="457">
        <v>1.6E-2</v>
      </c>
    </row>
    <row r="58" spans="1:6" x14ac:dyDescent="0.15">
      <c r="A58" s="336"/>
      <c r="B58" s="432"/>
      <c r="C58" s="375"/>
      <c r="D58" s="345"/>
      <c r="E58" s="433"/>
    </row>
    <row r="59" spans="1:6" x14ac:dyDescent="0.15">
      <c r="B59" s="60" t="s">
        <v>257</v>
      </c>
      <c r="C59" s="57"/>
    </row>
    <row r="60" spans="1:6" x14ac:dyDescent="0.15">
      <c r="C60" s="57"/>
    </row>
    <row r="61" spans="1:6" x14ac:dyDescent="0.15">
      <c r="C61" s="57"/>
    </row>
    <row r="62" spans="1:6" x14ac:dyDescent="0.15">
      <c r="C62" s="57"/>
    </row>
    <row r="63" spans="1:6" x14ac:dyDescent="0.15">
      <c r="C63" s="57"/>
    </row>
    <row r="64" spans="1:6" x14ac:dyDescent="0.15">
      <c r="C64" s="57"/>
    </row>
    <row r="65" spans="3:3" x14ac:dyDescent="0.15">
      <c r="C65" s="57"/>
    </row>
    <row r="66" spans="3:3" x14ac:dyDescent="0.15">
      <c r="C66" s="57"/>
    </row>
    <row r="67" spans="3:3" x14ac:dyDescent="0.15">
      <c r="C67" s="57"/>
    </row>
    <row r="68" spans="3:3" x14ac:dyDescent="0.15">
      <c r="C68" s="57"/>
    </row>
    <row r="69" spans="3:3" x14ac:dyDescent="0.15">
      <c r="C69" s="57"/>
    </row>
    <row r="70" spans="3:3" x14ac:dyDescent="0.15">
      <c r="C70" s="57"/>
    </row>
    <row r="71" spans="3:3" x14ac:dyDescent="0.15">
      <c r="C71" s="57"/>
    </row>
    <row r="72" spans="3:3" x14ac:dyDescent="0.15">
      <c r="C72" s="57"/>
    </row>
    <row r="73" spans="3:3" x14ac:dyDescent="0.15">
      <c r="C73" s="57"/>
    </row>
    <row r="74" spans="3:3" x14ac:dyDescent="0.15">
      <c r="C74" s="57"/>
    </row>
    <row r="75" spans="3:3" x14ac:dyDescent="0.15">
      <c r="C75" s="57"/>
    </row>
    <row r="76" spans="3:3" x14ac:dyDescent="0.2">
      <c r="C76" s="57"/>
    </row>
    <row r="77" spans="3:3" x14ac:dyDescent="0.2">
      <c r="C77" s="57"/>
    </row>
    <row r="78" spans="3:3" x14ac:dyDescent="0.2">
      <c r="C78" s="57"/>
    </row>
    <row r="79" spans="3:3" x14ac:dyDescent="0.2">
      <c r="C79" s="57"/>
    </row>
    <row r="80" spans="3:3" x14ac:dyDescent="0.2">
      <c r="C80" s="57"/>
    </row>
    <row r="81" spans="3:3" x14ac:dyDescent="0.2">
      <c r="C81" s="57"/>
    </row>
    <row r="82" spans="3:3" x14ac:dyDescent="0.2">
      <c r="C82" s="57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/>
  <headerFooter>
    <oddHeader>&amp;C&amp;12TAUX D'INFLATION, D'INTERET ET DE CROISSANCE EN FRANCE DEPUIS 1967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1"/>
  <dimension ref="A1:M11"/>
  <sheetViews>
    <sheetView topLeftCell="B1" zoomScale="140" zoomScaleNormal="140" zoomScalePageLayoutView="140" workbookViewId="0">
      <selection activeCell="Q41" sqref="Q41"/>
    </sheetView>
  </sheetViews>
  <sheetFormatPr baseColWidth="10" defaultColWidth="11.5" defaultRowHeight="13" x14ac:dyDescent="0.15"/>
  <sheetData>
    <row r="1" spans="1:13" x14ac:dyDescent="0.15">
      <c r="A1" t="s">
        <v>268</v>
      </c>
      <c r="B1" s="371" t="s">
        <v>269</v>
      </c>
      <c r="D1" t="s">
        <v>268</v>
      </c>
      <c r="E1" s="372" t="s">
        <v>269</v>
      </c>
      <c r="H1" t="s">
        <v>268</v>
      </c>
      <c r="I1" s="372" t="s">
        <v>269</v>
      </c>
      <c r="L1" t="s">
        <v>268</v>
      </c>
      <c r="M1" s="373">
        <v>38167</v>
      </c>
    </row>
    <row r="2" spans="1:13" x14ac:dyDescent="0.15">
      <c r="A2" t="s">
        <v>270</v>
      </c>
      <c r="B2" s="371" t="s">
        <v>271</v>
      </c>
      <c r="D2" t="s">
        <v>270</v>
      </c>
      <c r="E2" s="372" t="s">
        <v>271</v>
      </c>
      <c r="H2" t="s">
        <v>270</v>
      </c>
      <c r="I2" s="372" t="s">
        <v>271</v>
      </c>
      <c r="L2" t="s">
        <v>270</v>
      </c>
      <c r="M2" s="373">
        <v>39628</v>
      </c>
    </row>
    <row r="3" spans="1:13" x14ac:dyDescent="0.15">
      <c r="A3" t="s">
        <v>272</v>
      </c>
      <c r="B3" t="s">
        <v>273</v>
      </c>
      <c r="D3" t="s">
        <v>272</v>
      </c>
      <c r="E3" t="s">
        <v>273</v>
      </c>
      <c r="H3" t="s">
        <v>272</v>
      </c>
      <c r="I3" t="s">
        <v>273</v>
      </c>
      <c r="L3" t="s">
        <v>272</v>
      </c>
      <c r="M3" t="s">
        <v>288</v>
      </c>
    </row>
    <row r="4" spans="1:13" x14ac:dyDescent="0.15">
      <c r="A4" t="s">
        <v>274</v>
      </c>
      <c r="B4" t="s">
        <v>275</v>
      </c>
      <c r="D4" t="s">
        <v>274</v>
      </c>
      <c r="E4" t="s">
        <v>283</v>
      </c>
      <c r="H4" t="s">
        <v>274</v>
      </c>
      <c r="I4" t="s">
        <v>286</v>
      </c>
      <c r="L4" t="s">
        <v>274</v>
      </c>
      <c r="M4" t="s">
        <v>289</v>
      </c>
    </row>
    <row r="5" spans="1:13" x14ac:dyDescent="0.15">
      <c r="A5" t="s">
        <v>276</v>
      </c>
      <c r="B5" t="s">
        <v>277</v>
      </c>
      <c r="D5" t="s">
        <v>276</v>
      </c>
      <c r="E5" t="s">
        <v>284</v>
      </c>
      <c r="H5" t="s">
        <v>276</v>
      </c>
      <c r="I5" t="s">
        <v>287</v>
      </c>
      <c r="L5" t="s">
        <v>276</v>
      </c>
      <c r="M5" t="s">
        <v>290</v>
      </c>
    </row>
    <row r="6" spans="1:13" x14ac:dyDescent="0.15">
      <c r="A6" t="s">
        <v>278</v>
      </c>
      <c r="B6" t="s">
        <v>279</v>
      </c>
      <c r="D6" t="s">
        <v>278</v>
      </c>
      <c r="E6" t="s">
        <v>285</v>
      </c>
      <c r="H6" t="s">
        <v>278</v>
      </c>
      <c r="I6" t="s">
        <v>285</v>
      </c>
      <c r="L6" t="s">
        <v>278</v>
      </c>
    </row>
    <row r="7" spans="1:13" x14ac:dyDescent="0.15">
      <c r="A7" s="371" t="s">
        <v>269</v>
      </c>
      <c r="B7">
        <v>2.13</v>
      </c>
      <c r="D7" s="372" t="s">
        <v>269</v>
      </c>
      <c r="E7">
        <v>4.09917</v>
      </c>
      <c r="H7" s="372" t="s">
        <v>269</v>
      </c>
      <c r="I7">
        <v>2.1063700000000001</v>
      </c>
      <c r="L7" s="373">
        <v>38167</v>
      </c>
      <c r="M7">
        <v>2.2999999999999998</v>
      </c>
    </row>
    <row r="8" spans="1:13" x14ac:dyDescent="0.15">
      <c r="A8" s="371" t="s">
        <v>280</v>
      </c>
      <c r="B8">
        <v>1.74</v>
      </c>
      <c r="D8" s="372" t="s">
        <v>280</v>
      </c>
      <c r="E8">
        <v>3.41</v>
      </c>
      <c r="H8" s="372" t="s">
        <v>280</v>
      </c>
      <c r="I8">
        <v>2.1846800000000002</v>
      </c>
      <c r="L8" s="373">
        <v>38532</v>
      </c>
      <c r="M8">
        <v>1.7</v>
      </c>
    </row>
    <row r="9" spans="1:13" x14ac:dyDescent="0.15">
      <c r="A9" s="371" t="s">
        <v>281</v>
      </c>
      <c r="B9">
        <v>1.68</v>
      </c>
      <c r="D9" s="372" t="s">
        <v>281</v>
      </c>
      <c r="E9">
        <v>3.7974999999999999</v>
      </c>
      <c r="H9" s="372" t="s">
        <v>281</v>
      </c>
      <c r="I9">
        <v>3.0792200000000003</v>
      </c>
      <c r="L9" s="373">
        <v>38897</v>
      </c>
      <c r="M9">
        <v>2.2000000000000002</v>
      </c>
    </row>
    <row r="10" spans="1:13" x14ac:dyDescent="0.15">
      <c r="A10" s="371" t="s">
        <v>282</v>
      </c>
      <c r="B10">
        <v>1.49</v>
      </c>
      <c r="D10" s="372" t="s">
        <v>282</v>
      </c>
      <c r="E10">
        <v>4.2705500000000001</v>
      </c>
      <c r="H10" s="372" t="s">
        <v>282</v>
      </c>
      <c r="I10">
        <v>4.2591100000000006</v>
      </c>
      <c r="L10" s="373">
        <v>39262</v>
      </c>
      <c r="M10">
        <v>1.9</v>
      </c>
    </row>
    <row r="11" spans="1:13" x14ac:dyDescent="0.15">
      <c r="A11" s="371" t="s">
        <v>271</v>
      </c>
      <c r="B11" t="s">
        <v>224</v>
      </c>
      <c r="D11" s="372" t="s">
        <v>271</v>
      </c>
      <c r="E11">
        <v>4.2681200000000006</v>
      </c>
      <c r="H11" s="372" t="s">
        <v>271</v>
      </c>
      <c r="I11">
        <v>4.1569700000000003</v>
      </c>
      <c r="L11" s="373">
        <v>39628</v>
      </c>
      <c r="M11">
        <v>1.6</v>
      </c>
    </row>
  </sheetData>
  <phoneticPr fontId="0" type="noConversion"/>
  <pageMargins left="0.75" right="0.75" top="1" bottom="1" header="0.4921259845" footer="0.4921259845"/>
  <pageSetup paperSize="9" orientation="portrait" verticalDpi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7"/>
  <sheetViews>
    <sheetView workbookViewId="0">
      <selection activeCell="A21" sqref="A21"/>
    </sheetView>
  </sheetViews>
  <sheetFormatPr baseColWidth="10" defaultColWidth="11.5" defaultRowHeight="13" x14ac:dyDescent="0.15"/>
  <cols>
    <col min="1" max="1" width="40.6640625" customWidth="1"/>
    <col min="2" max="10" width="10.6640625" customWidth="1"/>
    <col min="11" max="11" width="11.33203125" customWidth="1"/>
  </cols>
  <sheetData>
    <row r="1" spans="1:11" s="23" customFormat="1" ht="39.75" customHeight="1" thickBot="1" x14ac:dyDescent="0.2">
      <c r="A1" s="22"/>
      <c r="B1" s="22">
        <v>1968</v>
      </c>
      <c r="C1" s="22">
        <v>1969</v>
      </c>
      <c r="D1" s="22">
        <v>1970</v>
      </c>
      <c r="E1" s="22">
        <v>1971</v>
      </c>
      <c r="F1" s="22">
        <v>1972</v>
      </c>
      <c r="G1" s="22">
        <v>1973</v>
      </c>
      <c r="H1" s="22">
        <v>1974</v>
      </c>
      <c r="I1" s="22">
        <v>1975</v>
      </c>
      <c r="J1" s="22">
        <v>1976</v>
      </c>
      <c r="K1" s="22">
        <v>1977</v>
      </c>
    </row>
    <row r="2" spans="1:11" ht="39.75" customHeight="1" x14ac:dyDescent="0.15">
      <c r="A2" s="1" t="s">
        <v>36</v>
      </c>
      <c r="B2" s="1">
        <v>202.3</v>
      </c>
      <c r="C2" s="1">
        <v>249.1</v>
      </c>
      <c r="D2" s="1">
        <v>315.10000000000002</v>
      </c>
      <c r="E2" s="1">
        <v>404.2</v>
      </c>
      <c r="F2" s="1">
        <v>571.6</v>
      </c>
      <c r="G2" s="1">
        <v>740.2</v>
      </c>
      <c r="H2" s="1">
        <v>986.3</v>
      </c>
      <c r="I2" s="1">
        <v>1184.4000000000001</v>
      </c>
      <c r="J2" s="1">
        <v>1380.7</v>
      </c>
      <c r="K2" s="1">
        <v>1458</v>
      </c>
    </row>
    <row r="3" spans="1:11" ht="39.75" customHeight="1" x14ac:dyDescent="0.15">
      <c r="A3" s="1" t="s">
        <v>37</v>
      </c>
      <c r="B3" s="1">
        <v>83</v>
      </c>
      <c r="C3" s="1">
        <v>121.6</v>
      </c>
      <c r="D3" s="1">
        <v>128</v>
      </c>
      <c r="E3" s="1">
        <v>164.5</v>
      </c>
      <c r="F3" s="1">
        <v>210</v>
      </c>
      <c r="G3" s="1">
        <v>245.3</v>
      </c>
      <c r="H3" s="1">
        <v>277</v>
      </c>
      <c r="I3" s="1">
        <v>289.5</v>
      </c>
      <c r="J3" s="1">
        <v>382.6</v>
      </c>
      <c r="K3" s="1">
        <v>476.4</v>
      </c>
    </row>
    <row r="4" spans="1:11" ht="39.75" customHeight="1" x14ac:dyDescent="0.15">
      <c r="A4" s="1" t="s">
        <v>38</v>
      </c>
      <c r="B4" s="11" t="s">
        <v>39</v>
      </c>
      <c r="C4" s="11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</row>
    <row r="5" spans="1:11" ht="39.75" customHeight="1" x14ac:dyDescent="0.15">
      <c r="A5" s="1" t="s">
        <v>49</v>
      </c>
      <c r="B5" s="11" t="s">
        <v>50</v>
      </c>
      <c r="C5" s="11" t="s">
        <v>51</v>
      </c>
      <c r="D5" s="11" t="s">
        <v>52</v>
      </c>
      <c r="E5" s="11" t="s">
        <v>53</v>
      </c>
      <c r="F5" s="11" t="s">
        <v>54</v>
      </c>
      <c r="G5" s="11" t="s">
        <v>55</v>
      </c>
      <c r="H5" s="11" t="s">
        <v>56</v>
      </c>
      <c r="I5" s="11" t="s">
        <v>57</v>
      </c>
      <c r="J5" s="11" t="s">
        <v>52</v>
      </c>
      <c r="K5" s="11" t="s">
        <v>58</v>
      </c>
    </row>
    <row r="6" spans="1:11" ht="39.75" customHeight="1" x14ac:dyDescent="0.15">
      <c r="A6" s="1" t="s">
        <v>59</v>
      </c>
      <c r="B6" s="11" t="s">
        <v>60</v>
      </c>
      <c r="C6" s="11" t="s">
        <v>61</v>
      </c>
      <c r="D6" s="11" t="s">
        <v>62</v>
      </c>
      <c r="E6" s="11" t="s">
        <v>63</v>
      </c>
      <c r="F6" s="11" t="s">
        <v>64</v>
      </c>
      <c r="G6" s="11" t="s">
        <v>65</v>
      </c>
      <c r="H6" s="11" t="s">
        <v>66</v>
      </c>
      <c r="I6" s="11" t="s">
        <v>67</v>
      </c>
      <c r="J6" s="11" t="s">
        <v>68</v>
      </c>
      <c r="K6" s="11" t="s">
        <v>69</v>
      </c>
    </row>
    <row r="7" spans="1:11" ht="39.75" customHeight="1" thickBot="1" x14ac:dyDescent="0.2">
      <c r="A7" s="2" t="s">
        <v>70</v>
      </c>
      <c r="B7" s="12" t="s">
        <v>71</v>
      </c>
      <c r="C7" s="12" t="s">
        <v>54</v>
      </c>
      <c r="D7" s="12" t="s">
        <v>72</v>
      </c>
      <c r="E7" s="12" t="s">
        <v>73</v>
      </c>
      <c r="F7" s="12" t="s">
        <v>50</v>
      </c>
      <c r="G7" s="12" t="s">
        <v>74</v>
      </c>
      <c r="H7" s="12" t="s">
        <v>75</v>
      </c>
      <c r="I7" s="12" t="s">
        <v>76</v>
      </c>
      <c r="J7" s="12" t="s">
        <v>77</v>
      </c>
      <c r="K7" s="12" t="s">
        <v>78</v>
      </c>
    </row>
  </sheetData>
  <phoneticPr fontId="0" type="noConversion"/>
  <printOptions horizontalCentered="1" verticalCentered="1"/>
  <pageMargins left="0.3" right="0.34" top="0.98425196850393704" bottom="0.98425196850393704" header="0.51181102362204722" footer="0.51181102362204722"/>
  <pageSetup paperSize="9" orientation="landscape" horizontalDpi="4294967292" verticalDpi="0"/>
  <headerFooter>
    <oddHeader>&amp;C&amp;18A70 : Tableau du besoin en fonds de roulement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16"/>
  <sheetViews>
    <sheetView topLeftCell="A5" workbookViewId="0">
      <selection activeCell="A10" sqref="A10"/>
    </sheetView>
  </sheetViews>
  <sheetFormatPr baseColWidth="10" defaultColWidth="11.5" defaultRowHeight="13" x14ac:dyDescent="0.15"/>
  <cols>
    <col min="1" max="1" width="40.6640625" customWidth="1"/>
    <col min="2" max="11" width="10.6640625" customWidth="1"/>
  </cols>
  <sheetData>
    <row r="1" spans="1:11" s="23" customFormat="1" ht="39.75" customHeight="1" thickBot="1" x14ac:dyDescent="0.2">
      <c r="A1" s="22"/>
      <c r="B1" s="22">
        <v>1968</v>
      </c>
      <c r="C1" s="22">
        <v>1969</v>
      </c>
      <c r="D1" s="22">
        <v>1970</v>
      </c>
      <c r="E1" s="22">
        <v>1971</v>
      </c>
      <c r="F1" s="22">
        <v>1972</v>
      </c>
      <c r="G1" s="22">
        <v>1973</v>
      </c>
      <c r="H1" s="22">
        <v>1974</v>
      </c>
      <c r="I1" s="22">
        <v>1975</v>
      </c>
      <c r="J1" s="22">
        <v>1976</v>
      </c>
      <c r="K1" s="22">
        <v>1977</v>
      </c>
    </row>
    <row r="2" spans="1:11" ht="39.75" customHeight="1" x14ac:dyDescent="0.15">
      <c r="A2" s="1" t="s">
        <v>79</v>
      </c>
      <c r="B2" s="1">
        <v>6.7</v>
      </c>
      <c r="C2" s="1">
        <v>9.9</v>
      </c>
      <c r="D2" s="1">
        <v>12.6</v>
      </c>
      <c r="E2" s="1">
        <v>15</v>
      </c>
      <c r="F2" s="1">
        <v>28.3</v>
      </c>
      <c r="G2" s="1">
        <v>29.6</v>
      </c>
      <c r="H2" s="1">
        <v>31.7</v>
      </c>
      <c r="I2" s="1">
        <v>52.4</v>
      </c>
      <c r="J2" s="1">
        <v>70.900000000000006</v>
      </c>
      <c r="K2" s="1">
        <v>76.2</v>
      </c>
    </row>
    <row r="3" spans="1:11" ht="39.75" customHeight="1" x14ac:dyDescent="0.15">
      <c r="A3" s="14" t="s">
        <v>80</v>
      </c>
      <c r="B3" s="14">
        <v>16.100000000000001</v>
      </c>
      <c r="C3" s="14">
        <v>18.5</v>
      </c>
      <c r="D3" s="14">
        <v>24</v>
      </c>
      <c r="E3" s="14">
        <v>30.4</v>
      </c>
      <c r="F3" s="14">
        <v>38.4</v>
      </c>
      <c r="G3" s="14">
        <v>50.1</v>
      </c>
      <c r="H3" s="14">
        <v>74.900000000000006</v>
      </c>
      <c r="I3" s="14">
        <v>80.2</v>
      </c>
      <c r="J3" s="14">
        <v>89</v>
      </c>
      <c r="K3" s="14">
        <v>106.4</v>
      </c>
    </row>
    <row r="4" spans="1:11" ht="39.75" customHeight="1" x14ac:dyDescent="0.15">
      <c r="A4" s="14" t="s">
        <v>81</v>
      </c>
      <c r="B4" s="14">
        <v>22.8</v>
      </c>
      <c r="C4" s="14">
        <v>28.4</v>
      </c>
      <c r="D4" s="14">
        <v>36.6</v>
      </c>
      <c r="E4" s="14">
        <v>45.4</v>
      </c>
      <c r="F4" s="14">
        <v>66.7</v>
      </c>
      <c r="G4" s="14">
        <v>79.7</v>
      </c>
      <c r="H4" s="14">
        <v>106.6</v>
      </c>
      <c r="I4" s="14">
        <v>132.6</v>
      </c>
      <c r="J4" s="14">
        <v>159.9</v>
      </c>
      <c r="K4" s="14">
        <v>182.6</v>
      </c>
    </row>
    <row r="5" spans="1:11" ht="39.75" customHeight="1" x14ac:dyDescent="0.15">
      <c r="A5" s="1" t="s">
        <v>82</v>
      </c>
      <c r="B5" s="1">
        <v>-25.1</v>
      </c>
      <c r="C5" s="1">
        <v>-37.6</v>
      </c>
      <c r="D5" s="1">
        <v>-5.9</v>
      </c>
      <c r="E5" s="1">
        <v>-30.9</v>
      </c>
      <c r="F5" s="1">
        <v>-32.4</v>
      </c>
      <c r="G5" s="1">
        <v>-33</v>
      </c>
      <c r="H5" s="1">
        <v>-25.6</v>
      </c>
      <c r="I5" s="1">
        <v>-19.5</v>
      </c>
      <c r="J5" s="1">
        <v>-82.2</v>
      </c>
      <c r="K5" s="1">
        <v>-92.9</v>
      </c>
    </row>
    <row r="6" spans="1:11" s="66" customFormat="1" ht="39.75" customHeight="1" x14ac:dyDescent="0.15">
      <c r="A6" s="43" t="s">
        <v>83</v>
      </c>
      <c r="B6" s="44">
        <v>-2.2999999999999998</v>
      </c>
      <c r="C6" s="44">
        <v>-9.1999999999999993</v>
      </c>
      <c r="D6" s="44">
        <v>30.7</v>
      </c>
      <c r="E6" s="44">
        <v>14.5</v>
      </c>
      <c r="F6" s="44">
        <v>34.299999999999997</v>
      </c>
      <c r="G6" s="44">
        <v>46.7</v>
      </c>
      <c r="H6" s="44">
        <v>81</v>
      </c>
      <c r="I6" s="44">
        <v>113.1</v>
      </c>
      <c r="J6" s="44">
        <v>77.7</v>
      </c>
      <c r="K6" s="44">
        <v>89.7</v>
      </c>
    </row>
    <row r="7" spans="1:11" ht="39.75" customHeight="1" x14ac:dyDescent="0.15">
      <c r="A7" s="1" t="s">
        <v>84</v>
      </c>
      <c r="B7" s="11" t="s">
        <v>16</v>
      </c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</row>
    <row r="8" spans="1:11" ht="39.75" customHeight="1" x14ac:dyDescent="0.15">
      <c r="A8" s="14" t="s">
        <v>85</v>
      </c>
      <c r="B8" s="14">
        <v>-35.299999999999997</v>
      </c>
      <c r="C8" s="14">
        <v>-40.200000000000003</v>
      </c>
      <c r="D8" s="14">
        <v>-54.7</v>
      </c>
      <c r="E8" s="14">
        <v>-51.2</v>
      </c>
      <c r="F8" s="14">
        <v>-68.3</v>
      </c>
      <c r="G8" s="14">
        <v>-102.9</v>
      </c>
      <c r="H8" s="14">
        <v>-129.69999999999999</v>
      </c>
      <c r="I8" s="14">
        <v>-98.3</v>
      </c>
      <c r="J8" s="14">
        <v>-116.4</v>
      </c>
      <c r="K8" s="14">
        <v>-122.5</v>
      </c>
    </row>
    <row r="9" spans="1:11" s="16" customFormat="1" ht="39.75" customHeight="1" x14ac:dyDescent="0.15">
      <c r="A9" s="18" t="s">
        <v>86</v>
      </c>
      <c r="B9" s="19" t="s">
        <v>87</v>
      </c>
      <c r="C9" s="19" t="s">
        <v>88</v>
      </c>
      <c r="D9" s="19" t="s">
        <v>89</v>
      </c>
      <c r="E9" s="19" t="s">
        <v>90</v>
      </c>
      <c r="F9" s="19" t="s">
        <v>91</v>
      </c>
      <c r="G9" s="19" t="s">
        <v>92</v>
      </c>
      <c r="H9" s="19" t="s">
        <v>93</v>
      </c>
      <c r="I9" s="19" t="s">
        <v>94</v>
      </c>
      <c r="J9" s="19" t="s">
        <v>95</v>
      </c>
      <c r="K9" s="19" t="s">
        <v>96</v>
      </c>
    </row>
    <row r="10" spans="1:11" s="16" customFormat="1" ht="39.75" customHeight="1" x14ac:dyDescent="0.15">
      <c r="A10" s="15" t="s">
        <v>266</v>
      </c>
      <c r="B10" s="19">
        <v>-37.5</v>
      </c>
      <c r="C10" s="19">
        <v>-49.4</v>
      </c>
      <c r="D10" s="19">
        <v>-24</v>
      </c>
      <c r="E10" s="19">
        <v>-36.700000000000003</v>
      </c>
      <c r="F10" s="19">
        <v>-34</v>
      </c>
      <c r="G10" s="19">
        <v>-56.2</v>
      </c>
      <c r="H10" s="19">
        <v>-48.7</v>
      </c>
      <c r="I10" s="19">
        <v>14.8</v>
      </c>
      <c r="J10" s="19">
        <v>-38.700000000000003</v>
      </c>
      <c r="K10" s="19">
        <v>-56.9</v>
      </c>
    </row>
    <row r="11" spans="1:11" ht="39.75" customHeight="1" x14ac:dyDescent="0.15">
      <c r="A11" s="8" t="s">
        <v>97</v>
      </c>
      <c r="B11" s="11" t="s">
        <v>16</v>
      </c>
      <c r="C11" s="11" t="s">
        <v>16</v>
      </c>
      <c r="D11" s="11" t="s">
        <v>16</v>
      </c>
      <c r="E11" s="11" t="s">
        <v>16</v>
      </c>
      <c r="F11" s="11" t="s">
        <v>16</v>
      </c>
      <c r="G11" s="11">
        <v>122</v>
      </c>
      <c r="H11" s="11">
        <v>10</v>
      </c>
      <c r="I11" s="11">
        <v>10</v>
      </c>
      <c r="J11" s="11" t="s">
        <v>16</v>
      </c>
      <c r="K11" s="11" t="s">
        <v>16</v>
      </c>
    </row>
    <row r="12" spans="1:11" ht="39.75" customHeight="1" x14ac:dyDescent="0.15">
      <c r="A12" s="21" t="s">
        <v>98</v>
      </c>
      <c r="B12" s="14">
        <v>-4</v>
      </c>
      <c r="C12" s="14">
        <v>-4.4000000000000004</v>
      </c>
      <c r="D12" s="14">
        <v>-4.8</v>
      </c>
      <c r="E12" s="14">
        <v>-6</v>
      </c>
      <c r="F12" s="14">
        <v>-7.2</v>
      </c>
      <c r="G12" s="14">
        <v>-11</v>
      </c>
      <c r="H12" s="14">
        <v>-12.9</v>
      </c>
      <c r="I12" s="14">
        <v>-13.6</v>
      </c>
      <c r="J12" s="14">
        <v>-15.2</v>
      </c>
      <c r="K12" s="14">
        <v>-27.3</v>
      </c>
    </row>
    <row r="13" spans="1:11" s="16" customFormat="1" ht="39.75" customHeight="1" thickBot="1" x14ac:dyDescent="0.2">
      <c r="A13" s="25" t="s">
        <v>99</v>
      </c>
      <c r="B13" s="17">
        <v>41.6</v>
      </c>
      <c r="C13" s="17">
        <v>53.8</v>
      </c>
      <c r="D13" s="17">
        <v>28.8</v>
      </c>
      <c r="E13" s="17">
        <v>42.7</v>
      </c>
      <c r="F13" s="17">
        <v>41.2</v>
      </c>
      <c r="G13" s="17">
        <v>-54.8</v>
      </c>
      <c r="H13" s="17">
        <v>51.6</v>
      </c>
      <c r="I13" s="17">
        <v>-11.2</v>
      </c>
      <c r="J13" s="17">
        <v>53.9</v>
      </c>
      <c r="K13" s="17">
        <v>60.1</v>
      </c>
    </row>
    <row r="15" spans="1:11" x14ac:dyDescent="0.15">
      <c r="A15" t="s">
        <v>100</v>
      </c>
    </row>
    <row r="16" spans="1:11" x14ac:dyDescent="0.15">
      <c r="A16" t="s">
        <v>101</v>
      </c>
    </row>
  </sheetData>
  <phoneticPr fontId="0" type="noConversion"/>
  <printOptions horizontalCentered="1" verticalCentered="1"/>
  <pageMargins left="0.3" right="0.34" top="0.98425196850393704" bottom="0.98425196850393704" header="0.51181102362204722" footer="0.51181102362204722"/>
  <pageSetup paperSize="9" scale="84" orientation="landscape" horizontalDpi="4294967292" verticalDpi="0"/>
  <headerFooter>
    <oddHeader>&amp;C&amp;18A70 : Tableau de flux de trésorerie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K13"/>
  <sheetViews>
    <sheetView workbookViewId="0">
      <selection activeCell="B15" sqref="B15"/>
    </sheetView>
  </sheetViews>
  <sheetFormatPr baseColWidth="10" defaultColWidth="11.5" defaultRowHeight="13" x14ac:dyDescent="0.15"/>
  <cols>
    <col min="1" max="1" width="50.6640625" customWidth="1"/>
    <col min="2" max="11" width="10.6640625" customWidth="1"/>
  </cols>
  <sheetData>
    <row r="1" spans="1:11" s="23" customFormat="1" ht="39.75" customHeight="1" thickBot="1" x14ac:dyDescent="0.2">
      <c r="A1" s="22"/>
      <c r="B1" s="22">
        <v>1968</v>
      </c>
      <c r="C1" s="22">
        <v>1969</v>
      </c>
      <c r="D1" s="22">
        <v>1970</v>
      </c>
      <c r="E1" s="22">
        <v>1971</v>
      </c>
      <c r="F1" s="22">
        <v>1972</v>
      </c>
      <c r="G1" s="22">
        <v>1973</v>
      </c>
      <c r="H1" s="22">
        <v>1974</v>
      </c>
      <c r="I1" s="22">
        <v>1975</v>
      </c>
      <c r="J1" s="22">
        <v>1976</v>
      </c>
      <c r="K1" s="22">
        <v>1977</v>
      </c>
    </row>
    <row r="2" spans="1:11" ht="39.75" customHeight="1" x14ac:dyDescent="0.15">
      <c r="A2" s="1" t="s">
        <v>102</v>
      </c>
      <c r="B2" s="26">
        <v>8.7999999999999995E-2</v>
      </c>
      <c r="C2" s="26">
        <v>8.5000000000000006E-2</v>
      </c>
      <c r="D2" s="26">
        <v>9.7000000000000003E-2</v>
      </c>
      <c r="E2" s="26">
        <v>9.6000000000000002E-2</v>
      </c>
      <c r="F2" s="26">
        <v>0.11799999999999999</v>
      </c>
      <c r="G2" s="26">
        <v>0.111</v>
      </c>
      <c r="H2" s="26">
        <v>9.0999999999999998E-2</v>
      </c>
      <c r="I2" s="26">
        <v>9.1999999999999998E-2</v>
      </c>
      <c r="J2" s="26">
        <v>0.114</v>
      </c>
      <c r="K2" s="26">
        <v>0.109</v>
      </c>
    </row>
    <row r="3" spans="1:11" ht="39.75" customHeight="1" x14ac:dyDescent="0.15">
      <c r="A3" s="14" t="s">
        <v>103</v>
      </c>
      <c r="B3" s="67">
        <v>0.5</v>
      </c>
      <c r="C3" s="67">
        <v>0.5</v>
      </c>
      <c r="D3" s="67">
        <v>0.5</v>
      </c>
      <c r="E3" s="67">
        <v>0.5</v>
      </c>
      <c r="F3" s="67">
        <v>0.5</v>
      </c>
      <c r="G3" s="67">
        <v>0.5</v>
      </c>
      <c r="H3" s="67">
        <v>0.5</v>
      </c>
      <c r="I3" s="67">
        <v>0.5</v>
      </c>
      <c r="J3" s="67">
        <v>0.5</v>
      </c>
      <c r="K3" s="67">
        <v>0.5</v>
      </c>
    </row>
    <row r="4" spans="1:11" ht="39.75" customHeight="1" x14ac:dyDescent="0.15">
      <c r="A4" s="14" t="s">
        <v>104</v>
      </c>
      <c r="B4" s="14">
        <v>1.7</v>
      </c>
      <c r="C4" s="14">
        <v>1.4</v>
      </c>
      <c r="D4" s="14">
        <v>1.5</v>
      </c>
      <c r="E4" s="14">
        <v>1.5</v>
      </c>
      <c r="F4" s="14">
        <v>1.8</v>
      </c>
      <c r="G4" s="14">
        <v>1.8</v>
      </c>
      <c r="H4" s="14">
        <v>2</v>
      </c>
      <c r="I4" s="14">
        <v>2.2000000000000002</v>
      </c>
      <c r="J4" s="14">
        <v>2.2000000000000002</v>
      </c>
      <c r="K4" s="14">
        <v>1.9</v>
      </c>
    </row>
    <row r="5" spans="1:11" s="16" customFormat="1" ht="24.75" customHeight="1" x14ac:dyDescent="0.15">
      <c r="A5" s="18" t="s">
        <v>105</v>
      </c>
      <c r="B5" s="27">
        <v>7.4999999999999997E-2</v>
      </c>
      <c r="C5" s="27">
        <v>0.06</v>
      </c>
      <c r="D5" s="27">
        <v>7.2999999999999995E-2</v>
      </c>
      <c r="E5" s="27">
        <v>7.1999999999999995E-2</v>
      </c>
      <c r="F5" s="27">
        <v>0.106</v>
      </c>
      <c r="G5" s="27">
        <v>0.1</v>
      </c>
      <c r="H5" s="27">
        <v>9.0999999999999998E-2</v>
      </c>
      <c r="I5" s="27">
        <v>0.10100000000000001</v>
      </c>
      <c r="J5" s="27">
        <v>0.125</v>
      </c>
      <c r="K5" s="27">
        <v>0.104</v>
      </c>
    </row>
    <row r="6" spans="1:11" ht="50" customHeight="1" x14ac:dyDescent="0.15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9.75" customHeight="1" x14ac:dyDescent="0.15">
      <c r="A7" s="1" t="s">
        <v>106</v>
      </c>
      <c r="B7" s="26">
        <v>3.7999999999999999E-2</v>
      </c>
      <c r="C7" s="26">
        <v>5.3999999999999999E-2</v>
      </c>
      <c r="D7" s="26">
        <v>5.2999999999999999E-2</v>
      </c>
      <c r="E7" s="26">
        <v>5.0999999999999997E-2</v>
      </c>
      <c r="F7" s="26">
        <v>7.6999999999999999E-2</v>
      </c>
      <c r="G7" s="26">
        <v>3.1E-2</v>
      </c>
      <c r="H7" s="26">
        <v>3.3000000000000002E-2</v>
      </c>
      <c r="I7" s="26">
        <v>8.8999999999999996E-2</v>
      </c>
      <c r="J7" s="26">
        <v>0.09</v>
      </c>
      <c r="K7" s="26">
        <v>9.4E-2</v>
      </c>
    </row>
    <row r="8" spans="1:11" s="57" customFormat="1" ht="24.75" customHeight="1" x14ac:dyDescent="0.15">
      <c r="A8" s="14" t="s">
        <v>107</v>
      </c>
      <c r="B8" s="14">
        <v>1</v>
      </c>
      <c r="C8" s="14">
        <v>1.7</v>
      </c>
      <c r="D8" s="14">
        <v>1.9</v>
      </c>
      <c r="E8" s="14">
        <v>2.2000000000000002</v>
      </c>
      <c r="F8" s="14">
        <v>2.2000000000000002</v>
      </c>
      <c r="G8" s="14">
        <v>0.7</v>
      </c>
      <c r="H8" s="14">
        <v>0.8</v>
      </c>
      <c r="I8" s="14">
        <v>0.7</v>
      </c>
      <c r="J8" s="14">
        <v>0.7</v>
      </c>
      <c r="K8" s="14">
        <v>0.8</v>
      </c>
    </row>
    <row r="9" spans="1:11" s="66" customFormat="1" ht="39.75" customHeight="1" x14ac:dyDescent="0.15">
      <c r="A9" s="43" t="s">
        <v>108</v>
      </c>
      <c r="B9" s="68">
        <v>3.7999999999999999E-2</v>
      </c>
      <c r="C9" s="68">
        <v>9.1999999999999998E-2</v>
      </c>
      <c r="D9" s="68">
        <v>0.1</v>
      </c>
      <c r="E9" s="68">
        <v>0.112</v>
      </c>
      <c r="F9" s="68">
        <v>0.16900000000000001</v>
      </c>
      <c r="G9" s="68">
        <v>2.1999999999999999E-2</v>
      </c>
      <c r="H9" s="68">
        <v>2.5999999999999999E-2</v>
      </c>
      <c r="I9" s="68">
        <v>6.2E-2</v>
      </c>
      <c r="J9" s="68">
        <v>6.3E-2</v>
      </c>
      <c r="K9" s="68">
        <v>7.4999999999999997E-2</v>
      </c>
    </row>
    <row r="10" spans="1:11" ht="39.75" customHeight="1" x14ac:dyDescent="0.15">
      <c r="A10" s="8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s="16" customFormat="1" ht="39.75" customHeight="1" x14ac:dyDescent="0.15">
      <c r="A11" s="15" t="s">
        <v>109</v>
      </c>
      <c r="B11" s="27">
        <v>0.113</v>
      </c>
      <c r="C11" s="27">
        <v>0.152</v>
      </c>
      <c r="D11" s="27">
        <v>0.17299999999999999</v>
      </c>
      <c r="E11" s="27">
        <v>0.184</v>
      </c>
      <c r="F11" s="27">
        <v>0.27500000000000002</v>
      </c>
      <c r="G11" s="27">
        <v>0.122</v>
      </c>
      <c r="H11" s="27">
        <v>0.11700000000000001</v>
      </c>
      <c r="I11" s="27">
        <v>0.16300000000000001</v>
      </c>
      <c r="J11" s="27">
        <v>0.188</v>
      </c>
      <c r="K11" s="27">
        <v>0.17899999999999999</v>
      </c>
    </row>
    <row r="12" spans="1:11" ht="50" customHeight="1" x14ac:dyDescent="0.1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4.75" customHeight="1" thickBot="1" x14ac:dyDescent="0.2">
      <c r="A13" s="2" t="s">
        <v>110</v>
      </c>
      <c r="B13" s="28">
        <v>4.4999999999999998E-2</v>
      </c>
      <c r="C13" s="28">
        <v>0.06</v>
      </c>
      <c r="D13" s="28">
        <v>5.6000000000000001E-2</v>
      </c>
      <c r="E13" s="28">
        <v>5.5E-2</v>
      </c>
      <c r="F13" s="28">
        <v>0.06</v>
      </c>
      <c r="G13" s="28">
        <v>7.3999999999999996E-2</v>
      </c>
      <c r="H13" s="28">
        <v>0.13700000000000001</v>
      </c>
      <c r="I13" s="28">
        <v>0.11700000000000001</v>
      </c>
      <c r="J13" s="28">
        <v>9.6000000000000002E-2</v>
      </c>
      <c r="K13" s="28">
        <v>9.5000000000000001E-2</v>
      </c>
    </row>
  </sheetData>
  <phoneticPr fontId="0" type="noConversion"/>
  <printOptions horizontalCentered="1" verticalCentered="1"/>
  <pageMargins left="0.26" right="0.36" top="0.98425196850393704" bottom="0.98425196850393704" header="0.51181102362204722" footer="0.51181102362204722"/>
  <pageSetup paperSize="9" scale="91" orientation="landscape" horizontalDpi="4294967292" verticalDpi="0"/>
  <headerFooter>
    <oddHeader>&amp;C&amp;18A70 : Formation de la rentabilité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41"/>
  <sheetViews>
    <sheetView zoomScale="75" workbookViewId="0">
      <selection activeCell="L30" sqref="L30"/>
    </sheetView>
  </sheetViews>
  <sheetFormatPr baseColWidth="10" defaultColWidth="11.5" defaultRowHeight="13" x14ac:dyDescent="0.15"/>
  <cols>
    <col min="1" max="1" width="50.6640625" style="6" customWidth="1"/>
    <col min="2" max="9" width="8.6640625" customWidth="1"/>
  </cols>
  <sheetData>
    <row r="1" spans="1:10" s="23" customFormat="1" ht="21.75" customHeight="1" thickBot="1" x14ac:dyDescent="0.2">
      <c r="A1" s="29"/>
      <c r="B1" s="22">
        <v>1982</v>
      </c>
      <c r="C1" s="22">
        <v>1983</v>
      </c>
      <c r="D1" s="22">
        <v>1984</v>
      </c>
      <c r="E1" s="22">
        <v>1985</v>
      </c>
      <c r="F1" s="22">
        <v>1986</v>
      </c>
      <c r="G1" s="22">
        <v>1987</v>
      </c>
      <c r="H1" s="22">
        <v>1988</v>
      </c>
      <c r="I1" s="22">
        <v>1989</v>
      </c>
    </row>
    <row r="2" spans="1:10" ht="21.75" customHeight="1" x14ac:dyDescent="0.15">
      <c r="A2" s="13" t="s">
        <v>0</v>
      </c>
      <c r="B2" s="1"/>
      <c r="C2" s="1"/>
      <c r="D2" s="1"/>
      <c r="E2" s="1"/>
      <c r="F2" s="1"/>
      <c r="G2" s="1"/>
      <c r="H2" s="1"/>
      <c r="I2" s="1"/>
    </row>
    <row r="3" spans="1:10" s="57" customFormat="1" ht="21.75" customHeight="1" x14ac:dyDescent="0.15">
      <c r="A3" s="13" t="s">
        <v>1</v>
      </c>
      <c r="B3" s="14"/>
      <c r="C3" s="14"/>
      <c r="D3" s="14"/>
      <c r="E3" s="14"/>
      <c r="F3" s="14"/>
      <c r="G3" s="14"/>
      <c r="H3" s="14"/>
      <c r="I3" s="14"/>
    </row>
    <row r="4" spans="1:10" s="66" customFormat="1" ht="21.75" customHeight="1" x14ac:dyDescent="0.15">
      <c r="A4" s="71" t="s">
        <v>2</v>
      </c>
      <c r="B4" s="44">
        <v>79.099999999999994</v>
      </c>
      <c r="C4" s="44">
        <v>87.8</v>
      </c>
      <c r="D4" s="44">
        <v>94.3</v>
      </c>
      <c r="E4" s="44">
        <v>100.3</v>
      </c>
      <c r="F4" s="44">
        <v>105</v>
      </c>
      <c r="G4" s="66">
        <v>118.2</v>
      </c>
      <c r="H4" s="66">
        <v>138.5</v>
      </c>
      <c r="I4" s="66">
        <v>153.6</v>
      </c>
    </row>
    <row r="5" spans="1:10" s="57" customFormat="1" ht="21.75" customHeight="1" x14ac:dyDescent="0.15">
      <c r="A5" s="31" t="s">
        <v>3</v>
      </c>
    </row>
    <row r="6" spans="1:10" s="57" customFormat="1" ht="21.75" customHeight="1" x14ac:dyDescent="0.15">
      <c r="A6" s="31" t="s">
        <v>4</v>
      </c>
      <c r="B6" s="32">
        <v>50.9</v>
      </c>
      <c r="C6" s="32">
        <v>57.3</v>
      </c>
      <c r="D6" s="32">
        <v>61.1</v>
      </c>
      <c r="E6" s="14">
        <v>66.5</v>
      </c>
      <c r="F6" s="14">
        <v>69.8</v>
      </c>
      <c r="G6" s="14">
        <v>77.5</v>
      </c>
      <c r="H6" s="14">
        <v>89.4</v>
      </c>
      <c r="I6" s="14">
        <v>101.9</v>
      </c>
    </row>
    <row r="7" spans="1:10" ht="21.75" customHeight="1" x14ac:dyDescent="0.15">
      <c r="A7" s="7" t="s">
        <v>5</v>
      </c>
      <c r="B7">
        <v>28.2</v>
      </c>
      <c r="C7">
        <v>30.5</v>
      </c>
      <c r="D7">
        <v>33.200000000000003</v>
      </c>
      <c r="E7" s="1">
        <v>33.799999999999997</v>
      </c>
      <c r="F7" s="1">
        <v>35.200000000000003</v>
      </c>
      <c r="G7" s="1">
        <v>40.700000000000003</v>
      </c>
      <c r="H7" s="1">
        <v>49.1</v>
      </c>
      <c r="I7" s="1">
        <v>51.7</v>
      </c>
    </row>
    <row r="8" spans="1:10" ht="21.75" customHeight="1" x14ac:dyDescent="0.15">
      <c r="A8" s="7" t="s">
        <v>6</v>
      </c>
      <c r="B8" s="1">
        <v>-26</v>
      </c>
      <c r="C8" s="1">
        <v>-25.4</v>
      </c>
      <c r="D8" s="1">
        <v>-25.1</v>
      </c>
      <c r="E8" s="1">
        <v>-26</v>
      </c>
      <c r="F8" s="1">
        <v>-25.5</v>
      </c>
      <c r="G8" s="1">
        <v>-25.9</v>
      </c>
      <c r="H8" s="1">
        <v>-26.9</v>
      </c>
      <c r="I8" s="1">
        <v>-28.8</v>
      </c>
    </row>
    <row r="9" spans="1:10" s="57" customFormat="1" ht="21.75" customHeight="1" x14ac:dyDescent="0.15">
      <c r="A9" s="31" t="s">
        <v>7</v>
      </c>
      <c r="B9" s="14"/>
      <c r="C9" s="14"/>
      <c r="D9" s="14"/>
      <c r="E9" s="14"/>
      <c r="F9" s="14"/>
      <c r="G9" s="14"/>
      <c r="H9" s="14"/>
      <c r="I9" s="14"/>
    </row>
    <row r="10" spans="1:10" s="57" customFormat="1" ht="21.75" customHeight="1" x14ac:dyDescent="0.15">
      <c r="A10" s="31" t="s">
        <v>111</v>
      </c>
      <c r="B10" s="57">
        <v>0</v>
      </c>
      <c r="C10" s="69" t="s">
        <v>112</v>
      </c>
      <c r="D10" s="69" t="s">
        <v>113</v>
      </c>
      <c r="E10" s="70" t="s">
        <v>114</v>
      </c>
      <c r="F10" s="70" t="s">
        <v>115</v>
      </c>
      <c r="G10" s="70" t="s">
        <v>116</v>
      </c>
      <c r="H10" s="70" t="s">
        <v>117</v>
      </c>
      <c r="I10" s="70" t="s">
        <v>118</v>
      </c>
    </row>
    <row r="11" spans="1:10" ht="21.75" customHeight="1" x14ac:dyDescent="0.15">
      <c r="A11" s="7" t="s">
        <v>9</v>
      </c>
      <c r="B11" s="1">
        <v>2.2000000000000002</v>
      </c>
      <c r="C11" s="1">
        <v>5.5</v>
      </c>
      <c r="D11" s="1">
        <v>7.2</v>
      </c>
      <c r="E11" s="1">
        <v>9</v>
      </c>
      <c r="F11" s="1">
        <v>11.9</v>
      </c>
      <c r="G11" s="1">
        <v>17.3</v>
      </c>
      <c r="H11" s="1">
        <v>22.7</v>
      </c>
      <c r="I11" s="1">
        <v>25.7</v>
      </c>
    </row>
    <row r="12" spans="1:10" s="10" customFormat="1" ht="21.75" customHeight="1" x14ac:dyDescent="0.15">
      <c r="A12" s="34" t="s">
        <v>10</v>
      </c>
      <c r="B12" s="9">
        <v>3.1</v>
      </c>
      <c r="C12" s="9">
        <v>3</v>
      </c>
      <c r="D12" s="9">
        <v>4.2</v>
      </c>
      <c r="E12" s="9">
        <v>3.9</v>
      </c>
      <c r="F12" s="9">
        <v>4.8</v>
      </c>
      <c r="G12" s="9">
        <v>5.8</v>
      </c>
      <c r="H12" s="9">
        <v>6.8</v>
      </c>
      <c r="I12" s="9">
        <v>8</v>
      </c>
    </row>
    <row r="13" spans="1:10" ht="12.75" customHeight="1" x14ac:dyDescent="0.15">
      <c r="A13" s="13" t="s">
        <v>119</v>
      </c>
      <c r="B13" s="14"/>
      <c r="C13" s="14"/>
      <c r="D13" s="14"/>
      <c r="E13" s="14"/>
      <c r="F13" s="14"/>
      <c r="G13" s="14"/>
      <c r="H13" s="14"/>
      <c r="I13" s="14"/>
    </row>
    <row r="14" spans="1:10" s="76" customFormat="1" ht="21.75" customHeight="1" x14ac:dyDescent="0.15">
      <c r="A14" s="75" t="s">
        <v>12</v>
      </c>
      <c r="B14" s="118" t="s">
        <v>113</v>
      </c>
      <c r="C14" s="119">
        <v>2.5</v>
      </c>
      <c r="D14" s="119">
        <v>3</v>
      </c>
      <c r="E14" s="119">
        <v>5.0999999999999996</v>
      </c>
      <c r="F14" s="119">
        <v>7.1</v>
      </c>
      <c r="G14" s="119">
        <v>11.5</v>
      </c>
      <c r="H14" s="119">
        <v>15.9</v>
      </c>
      <c r="I14" s="119">
        <v>17.7</v>
      </c>
      <c r="J14"/>
    </row>
    <row r="15" spans="1:10" s="23" customFormat="1" ht="21.75" customHeight="1" x14ac:dyDescent="0.15">
      <c r="A15" s="35" t="s">
        <v>13</v>
      </c>
      <c r="B15" s="70" t="s">
        <v>120</v>
      </c>
      <c r="C15" s="70" t="s">
        <v>121</v>
      </c>
      <c r="D15" s="70" t="s">
        <v>122</v>
      </c>
      <c r="E15" s="70" t="s">
        <v>123</v>
      </c>
      <c r="F15" s="70" t="s">
        <v>124</v>
      </c>
      <c r="G15" s="70" t="s">
        <v>125</v>
      </c>
      <c r="H15" s="70" t="s">
        <v>126</v>
      </c>
      <c r="I15" s="70" t="s">
        <v>127</v>
      </c>
    </row>
    <row r="16" spans="1:10" ht="21.75" customHeight="1" x14ac:dyDescent="0.15">
      <c r="A16" s="31" t="s">
        <v>14</v>
      </c>
      <c r="B16" s="70" t="s">
        <v>122</v>
      </c>
      <c r="C16" s="70" t="s">
        <v>128</v>
      </c>
      <c r="D16" s="70" t="s">
        <v>126</v>
      </c>
      <c r="E16" s="14">
        <v>0.6</v>
      </c>
      <c r="F16" s="14">
        <v>3.8</v>
      </c>
      <c r="G16" s="14">
        <v>8.6</v>
      </c>
      <c r="H16" s="14">
        <v>14.9</v>
      </c>
      <c r="I16" s="14">
        <v>17.100000000000001</v>
      </c>
    </row>
    <row r="17" spans="1:9" s="10" customFormat="1" ht="21.75" customHeight="1" x14ac:dyDescent="0.15">
      <c r="A17" s="20" t="s">
        <v>15</v>
      </c>
      <c r="B17" s="63">
        <v>2</v>
      </c>
      <c r="C17" s="73" t="s">
        <v>129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</row>
    <row r="18" spans="1:9" s="10" customFormat="1" ht="21.75" customHeight="1" x14ac:dyDescent="0.15">
      <c r="A18" s="20" t="s">
        <v>130</v>
      </c>
      <c r="B18" s="63">
        <v>0</v>
      </c>
      <c r="C18" s="63">
        <v>0</v>
      </c>
      <c r="D18" s="63">
        <v>0</v>
      </c>
      <c r="E18" s="63">
        <v>0.3</v>
      </c>
      <c r="F18" s="63">
        <v>1.4</v>
      </c>
      <c r="G18" s="63">
        <v>3.4</v>
      </c>
      <c r="H18" s="63">
        <v>5.7</v>
      </c>
      <c r="I18" s="63">
        <v>6.5</v>
      </c>
    </row>
    <row r="19" spans="1:9" s="16" customFormat="1" ht="21.75" customHeight="1" thickBot="1" x14ac:dyDescent="0.2">
      <c r="A19" s="62" t="s">
        <v>18</v>
      </c>
      <c r="B19" s="74" t="s">
        <v>131</v>
      </c>
      <c r="C19" s="74" t="s">
        <v>125</v>
      </c>
      <c r="D19" s="74" t="s">
        <v>126</v>
      </c>
      <c r="E19" s="17">
        <v>0.3</v>
      </c>
      <c r="F19" s="17">
        <v>2.4</v>
      </c>
      <c r="G19" s="17">
        <v>5.2</v>
      </c>
      <c r="H19" s="17">
        <v>9.1999999999999993</v>
      </c>
      <c r="I19" s="17">
        <v>10.6</v>
      </c>
    </row>
    <row r="20" spans="1:9" s="16" customFormat="1" ht="21.75" customHeight="1" x14ac:dyDescent="0.15">
      <c r="A20" s="71"/>
      <c r="B20" s="117"/>
      <c r="C20" s="117"/>
      <c r="D20" s="117"/>
      <c r="E20" s="44"/>
      <c r="F20" s="44"/>
      <c r="G20" s="44"/>
      <c r="H20" s="44"/>
      <c r="I20" s="44"/>
    </row>
    <row r="21" spans="1:9" s="16" customFormat="1" ht="21.75" customHeight="1" x14ac:dyDescent="0.15">
      <c r="A21" s="71"/>
      <c r="B21" s="117"/>
      <c r="C21" s="117"/>
      <c r="D21" s="117"/>
      <c r="E21" s="44"/>
      <c r="F21" s="44"/>
      <c r="G21" s="44"/>
      <c r="H21" s="44"/>
      <c r="I21" s="44"/>
    </row>
    <row r="22" spans="1:9" ht="12.75" customHeight="1" thickBot="1" x14ac:dyDescent="0.2"/>
    <row r="23" spans="1:9" ht="21.75" customHeight="1" thickBot="1" x14ac:dyDescent="0.2">
      <c r="A23" s="29"/>
      <c r="B23" s="22">
        <v>1982</v>
      </c>
      <c r="C23" s="22">
        <v>1983</v>
      </c>
      <c r="D23" s="22">
        <v>1984</v>
      </c>
      <c r="E23" s="22">
        <v>1985</v>
      </c>
      <c r="F23" s="22">
        <v>1986</v>
      </c>
      <c r="G23" s="22">
        <v>1987</v>
      </c>
      <c r="H23" s="22">
        <v>1988</v>
      </c>
      <c r="I23" s="22">
        <v>1989</v>
      </c>
    </row>
    <row r="24" spans="1:9" ht="21.75" customHeight="1" x14ac:dyDescent="0.15">
      <c r="A24" s="13" t="s">
        <v>0</v>
      </c>
      <c r="B24" s="99"/>
      <c r="C24" s="99"/>
      <c r="D24" s="99"/>
      <c r="E24" s="99"/>
      <c r="F24" s="99"/>
      <c r="G24" s="99"/>
      <c r="H24" s="99"/>
      <c r="I24" s="99"/>
    </row>
    <row r="25" spans="1:9" ht="21.75" customHeight="1" x14ac:dyDescent="0.15">
      <c r="A25" s="13" t="s">
        <v>1</v>
      </c>
      <c r="B25" s="67"/>
      <c r="C25" s="67"/>
      <c r="D25" s="67"/>
      <c r="E25" s="67"/>
      <c r="F25" s="67"/>
      <c r="G25" s="67"/>
      <c r="H25" s="67"/>
      <c r="I25" s="67"/>
    </row>
    <row r="26" spans="1:9" ht="21.75" customHeight="1" x14ac:dyDescent="0.15">
      <c r="A26" s="71" t="s">
        <v>2</v>
      </c>
      <c r="B26" s="105">
        <f>B4/B4</f>
        <v>1</v>
      </c>
      <c r="C26" s="105">
        <f t="shared" ref="C26:I26" si="0">C4/C4</f>
        <v>1</v>
      </c>
      <c r="D26" s="105">
        <f t="shared" si="0"/>
        <v>1</v>
      </c>
      <c r="E26" s="105">
        <f t="shared" si="0"/>
        <v>1</v>
      </c>
      <c r="F26" s="105">
        <f t="shared" si="0"/>
        <v>1</v>
      </c>
      <c r="G26" s="105">
        <f t="shared" si="0"/>
        <v>1</v>
      </c>
      <c r="H26" s="105">
        <f t="shared" si="0"/>
        <v>1</v>
      </c>
      <c r="I26" s="105">
        <f t="shared" si="0"/>
        <v>1</v>
      </c>
    </row>
    <row r="27" spans="1:9" ht="21.75" customHeight="1" x14ac:dyDescent="0.15">
      <c r="A27" s="31" t="s">
        <v>3</v>
      </c>
      <c r="B27" s="106"/>
      <c r="C27" s="106"/>
      <c r="D27" s="106"/>
      <c r="E27" s="106"/>
      <c r="F27" s="106"/>
      <c r="G27" s="106"/>
      <c r="H27" s="106"/>
      <c r="I27" s="106"/>
    </row>
    <row r="28" spans="1:9" ht="21.75" customHeight="1" x14ac:dyDescent="0.15">
      <c r="A28" s="31" t="s">
        <v>4</v>
      </c>
      <c r="B28" s="107">
        <f>B6/B4</f>
        <v>0.64348925410872315</v>
      </c>
      <c r="C28" s="107">
        <f t="shared" ref="C28:I28" si="1">C6/C4</f>
        <v>0.65261958997722092</v>
      </c>
      <c r="D28" s="107">
        <f t="shared" si="1"/>
        <v>0.64793213149522799</v>
      </c>
      <c r="E28" s="107">
        <f t="shared" si="1"/>
        <v>0.66301096709870389</v>
      </c>
      <c r="F28" s="107">
        <f t="shared" si="1"/>
        <v>0.66476190476190478</v>
      </c>
      <c r="G28" s="107">
        <f t="shared" si="1"/>
        <v>0.65566835871404394</v>
      </c>
      <c r="H28" s="107">
        <f t="shared" si="1"/>
        <v>0.6454873646209387</v>
      </c>
      <c r="I28" s="107">
        <f t="shared" si="1"/>
        <v>0.66341145833333337</v>
      </c>
    </row>
    <row r="29" spans="1:9" ht="21.75" customHeight="1" x14ac:dyDescent="0.15">
      <c r="A29" s="7" t="s">
        <v>5</v>
      </c>
      <c r="B29" s="106">
        <f>B7/B4</f>
        <v>0.3565107458912769</v>
      </c>
      <c r="C29" s="106">
        <f t="shared" ref="C29:I29" si="2">C7/C4</f>
        <v>0.34738041002277903</v>
      </c>
      <c r="D29" s="106">
        <f t="shared" si="2"/>
        <v>0.35206786850477206</v>
      </c>
      <c r="E29" s="106">
        <f t="shared" si="2"/>
        <v>0.33698903290129611</v>
      </c>
      <c r="F29" s="106">
        <f t="shared" si="2"/>
        <v>0.33523809523809528</v>
      </c>
      <c r="G29" s="106">
        <f t="shared" si="2"/>
        <v>0.344331641285956</v>
      </c>
      <c r="H29" s="106">
        <f t="shared" si="2"/>
        <v>0.35451263537906136</v>
      </c>
      <c r="I29" s="106">
        <f t="shared" si="2"/>
        <v>0.33658854166666669</v>
      </c>
    </row>
    <row r="30" spans="1:9" ht="21.75" customHeight="1" x14ac:dyDescent="0.15">
      <c r="A30" s="7" t="s">
        <v>6</v>
      </c>
      <c r="B30" s="26">
        <f>B8/B4</f>
        <v>-0.32869785082174463</v>
      </c>
      <c r="C30" s="26">
        <f t="shared" ref="C30:I30" si="3">C8/C4</f>
        <v>-0.28929384965831434</v>
      </c>
      <c r="D30" s="26">
        <f t="shared" si="3"/>
        <v>-0.26617179215270415</v>
      </c>
      <c r="E30" s="26">
        <f t="shared" si="3"/>
        <v>-0.25922233300099701</v>
      </c>
      <c r="F30" s="26">
        <f t="shared" si="3"/>
        <v>-0.24285714285714285</v>
      </c>
      <c r="G30" s="26">
        <f t="shared" si="3"/>
        <v>-0.21912013536379016</v>
      </c>
      <c r="H30" s="26">
        <f t="shared" si="3"/>
        <v>-0.19422382671480143</v>
      </c>
      <c r="I30" s="26">
        <f t="shared" si="3"/>
        <v>-0.1875</v>
      </c>
    </row>
    <row r="31" spans="1:9" ht="21.75" customHeight="1" x14ac:dyDescent="0.15">
      <c r="A31" s="31" t="s">
        <v>7</v>
      </c>
      <c r="B31" s="108"/>
      <c r="C31" s="108"/>
      <c r="D31" s="108"/>
      <c r="E31" s="108"/>
      <c r="F31" s="108"/>
      <c r="G31" s="108"/>
      <c r="H31" s="108"/>
      <c r="I31" s="108"/>
    </row>
    <row r="32" spans="1:9" ht="21.75" customHeight="1" x14ac:dyDescent="0.15">
      <c r="A32" s="31" t="s">
        <v>111</v>
      </c>
      <c r="B32" s="107">
        <f>B10/B4</f>
        <v>0</v>
      </c>
      <c r="C32" s="107">
        <f t="shared" ref="C32:I32" si="4">C10/C4</f>
        <v>4.5558086560364471E-3</v>
      </c>
      <c r="D32" s="107">
        <f t="shared" si="4"/>
        <v>-9.5440084835630972E-3</v>
      </c>
      <c r="E32" s="107">
        <f t="shared" si="4"/>
        <v>1.1964107676969092E-2</v>
      </c>
      <c r="F32" s="107">
        <f t="shared" si="4"/>
        <v>2.0952380952380955E-2</v>
      </c>
      <c r="G32" s="107">
        <f t="shared" si="4"/>
        <v>2.1150592216582064E-2</v>
      </c>
      <c r="H32" s="107">
        <f t="shared" si="4"/>
        <v>3.6101083032490976E-3</v>
      </c>
      <c r="I32" s="107">
        <f t="shared" si="4"/>
        <v>1.8229166666666668E-2</v>
      </c>
    </row>
    <row r="33" spans="1:9" ht="21.75" customHeight="1" x14ac:dyDescent="0.15">
      <c r="A33" s="7" t="s">
        <v>9</v>
      </c>
      <c r="B33" s="26">
        <f>B11/B4</f>
        <v>2.7812895069532242E-2</v>
      </c>
      <c r="C33" s="26">
        <f t="shared" ref="C33:I33" si="5">C11/C4</f>
        <v>6.2642369020501146E-2</v>
      </c>
      <c r="D33" s="26">
        <f t="shared" si="5"/>
        <v>7.6352067868504778E-2</v>
      </c>
      <c r="E33" s="26">
        <f t="shared" si="5"/>
        <v>8.9730807577268201E-2</v>
      </c>
      <c r="F33" s="26">
        <f t="shared" si="5"/>
        <v>0.11333333333333334</v>
      </c>
      <c r="G33" s="26">
        <f t="shared" si="5"/>
        <v>0.1463620981387479</v>
      </c>
      <c r="H33" s="26">
        <f t="shared" si="5"/>
        <v>0.16389891696750902</v>
      </c>
      <c r="I33" s="26">
        <f t="shared" si="5"/>
        <v>0.16731770833333334</v>
      </c>
    </row>
    <row r="34" spans="1:9" x14ac:dyDescent="0.15">
      <c r="A34" s="34" t="s">
        <v>10</v>
      </c>
      <c r="B34" s="26">
        <f>B12/B4</f>
        <v>3.9190897597977246E-2</v>
      </c>
      <c r="C34" s="26">
        <f t="shared" ref="C34:I34" si="6">C12/C4</f>
        <v>3.4168564920273349E-2</v>
      </c>
      <c r="D34" s="26">
        <f t="shared" si="6"/>
        <v>4.4538706256627786E-2</v>
      </c>
      <c r="E34" s="26">
        <f t="shared" si="6"/>
        <v>3.8883349950149554E-2</v>
      </c>
      <c r="F34" s="26">
        <f t="shared" si="6"/>
        <v>4.5714285714285714E-2</v>
      </c>
      <c r="G34" s="26">
        <f t="shared" si="6"/>
        <v>4.9069373942470386E-2</v>
      </c>
      <c r="H34" s="26">
        <f t="shared" si="6"/>
        <v>4.9097472924187723E-2</v>
      </c>
      <c r="I34" s="26">
        <f t="shared" si="6"/>
        <v>5.2083333333333336E-2</v>
      </c>
    </row>
    <row r="35" spans="1:9" x14ac:dyDescent="0.15">
      <c r="A35" s="13" t="s">
        <v>119</v>
      </c>
      <c r="B35" s="108"/>
      <c r="C35" s="108"/>
      <c r="D35" s="108"/>
      <c r="E35" s="108"/>
      <c r="F35" s="108"/>
      <c r="G35" s="108"/>
      <c r="H35" s="108"/>
      <c r="I35" s="108"/>
    </row>
    <row r="36" spans="1:9" ht="21.75" customHeight="1" x14ac:dyDescent="0.15">
      <c r="A36" s="75" t="s">
        <v>12</v>
      </c>
      <c r="B36" s="120">
        <f>B14/B4</f>
        <v>-1.1378002528445008E-2</v>
      </c>
      <c r="C36" s="120">
        <f t="shared" ref="C36:I36" si="7">C14/C4</f>
        <v>2.847380410022779E-2</v>
      </c>
      <c r="D36" s="120">
        <f t="shared" si="7"/>
        <v>3.1813361611876992E-2</v>
      </c>
      <c r="E36" s="120">
        <f t="shared" si="7"/>
        <v>5.084745762711864E-2</v>
      </c>
      <c r="F36" s="120">
        <f t="shared" si="7"/>
        <v>6.761904761904762E-2</v>
      </c>
      <c r="G36" s="120">
        <f t="shared" si="7"/>
        <v>9.7292724196277491E-2</v>
      </c>
      <c r="H36" s="120">
        <f t="shared" si="7"/>
        <v>0.11480144404332131</v>
      </c>
      <c r="I36" s="120">
        <f t="shared" si="7"/>
        <v>0.115234375</v>
      </c>
    </row>
    <row r="37" spans="1:9" ht="21.75" customHeight="1" x14ac:dyDescent="0.15">
      <c r="A37" s="35" t="s">
        <v>13</v>
      </c>
      <c r="B37" s="109">
        <f>B15/B4</f>
        <v>-3.9190897597977246E-2</v>
      </c>
      <c r="C37" s="109">
        <f t="shared" ref="C37:I37" si="8">C15/C4</f>
        <v>-4.2141230068337136E-2</v>
      </c>
      <c r="D37" s="109">
        <f t="shared" si="8"/>
        <v>-4.2417815482502653E-2</v>
      </c>
      <c r="E37" s="109">
        <f t="shared" si="8"/>
        <v>-4.4865403788634101E-2</v>
      </c>
      <c r="F37" s="109">
        <f t="shared" si="8"/>
        <v>-3.1428571428571424E-2</v>
      </c>
      <c r="G37" s="109">
        <f t="shared" si="8"/>
        <v>-2.4534686971235193E-2</v>
      </c>
      <c r="H37" s="109">
        <f t="shared" si="8"/>
        <v>-7.2202166064981952E-3</v>
      </c>
      <c r="I37" s="109">
        <f t="shared" si="8"/>
        <v>-3.90625E-3</v>
      </c>
    </row>
    <row r="38" spans="1:9" ht="21.75" customHeight="1" x14ac:dyDescent="0.15">
      <c r="A38" s="31" t="s">
        <v>14</v>
      </c>
      <c r="B38" s="109">
        <f>B16/B4</f>
        <v>-5.0568900126422255E-2</v>
      </c>
      <c r="C38" s="109">
        <f t="shared" ref="C38:I38" si="9">C16/C4</f>
        <v>-1.366742596810934E-2</v>
      </c>
      <c r="D38" s="109">
        <f t="shared" si="9"/>
        <v>-1.0604453870625663E-2</v>
      </c>
      <c r="E38" s="109">
        <f t="shared" si="9"/>
        <v>5.9820538384845459E-3</v>
      </c>
      <c r="F38" s="109">
        <f t="shared" si="9"/>
        <v>3.619047619047619E-2</v>
      </c>
      <c r="G38" s="109">
        <f t="shared" si="9"/>
        <v>7.2758037225042302E-2</v>
      </c>
      <c r="H38" s="109">
        <f t="shared" si="9"/>
        <v>0.10758122743682311</v>
      </c>
      <c r="I38" s="109">
        <f t="shared" si="9"/>
        <v>0.11132812500000001</v>
      </c>
    </row>
    <row r="39" spans="1:9" ht="21.75" customHeight="1" x14ac:dyDescent="0.15">
      <c r="A39" s="20" t="s">
        <v>15</v>
      </c>
      <c r="B39" s="108">
        <f>B17/B4</f>
        <v>2.5284450063211127E-2</v>
      </c>
      <c r="C39" s="108">
        <f t="shared" ref="C39:I39" si="10">C17/C4</f>
        <v>-1.9362186788154899E-2</v>
      </c>
      <c r="D39" s="108">
        <f t="shared" si="10"/>
        <v>0</v>
      </c>
      <c r="E39" s="108">
        <f t="shared" si="10"/>
        <v>0</v>
      </c>
      <c r="F39" s="108">
        <f t="shared" si="10"/>
        <v>0</v>
      </c>
      <c r="G39" s="108">
        <f t="shared" si="10"/>
        <v>0</v>
      </c>
      <c r="H39" s="108">
        <f t="shared" si="10"/>
        <v>0</v>
      </c>
      <c r="I39" s="108">
        <f t="shared" si="10"/>
        <v>0</v>
      </c>
    </row>
    <row r="40" spans="1:9" ht="21.75" customHeight="1" x14ac:dyDescent="0.15">
      <c r="A40" s="20" t="s">
        <v>130</v>
      </c>
      <c r="B40" s="108">
        <f>B18/B4</f>
        <v>0</v>
      </c>
      <c r="C40" s="108">
        <f t="shared" ref="C40:I40" si="11">C18/C4</f>
        <v>0</v>
      </c>
      <c r="D40" s="108">
        <f t="shared" si="11"/>
        <v>0</v>
      </c>
      <c r="E40" s="108">
        <f t="shared" si="11"/>
        <v>2.9910269192422729E-3</v>
      </c>
      <c r="F40" s="108">
        <f t="shared" si="11"/>
        <v>1.3333333333333332E-2</v>
      </c>
      <c r="G40" s="108">
        <f t="shared" si="11"/>
        <v>2.8764805414551606E-2</v>
      </c>
      <c r="H40" s="108">
        <f t="shared" si="11"/>
        <v>4.1155234657039713E-2</v>
      </c>
      <c r="I40" s="108">
        <f t="shared" si="11"/>
        <v>4.2317708333333336E-2</v>
      </c>
    </row>
    <row r="41" spans="1:9" ht="21.75" customHeight="1" thickBot="1" x14ac:dyDescent="0.2">
      <c r="A41" s="62" t="s">
        <v>18</v>
      </c>
      <c r="B41" s="110">
        <f>B19/B4</f>
        <v>-2.5284450063211127E-2</v>
      </c>
      <c r="C41" s="110">
        <f t="shared" ref="C41:I41" si="12">C19/C4</f>
        <v>-3.3029612756264239E-2</v>
      </c>
      <c r="D41" s="110">
        <f t="shared" si="12"/>
        <v>-1.0604453870625663E-2</v>
      </c>
      <c r="E41" s="110">
        <f t="shared" si="12"/>
        <v>2.9910269192422729E-3</v>
      </c>
      <c r="F41" s="110">
        <f t="shared" si="12"/>
        <v>2.2857142857142857E-2</v>
      </c>
      <c r="G41" s="110">
        <f t="shared" si="12"/>
        <v>4.3993231810490696E-2</v>
      </c>
      <c r="H41" s="110">
        <f t="shared" si="12"/>
        <v>6.6425992779783394E-2</v>
      </c>
      <c r="I41" s="110">
        <f t="shared" si="12"/>
        <v>6.9010416666666671E-2</v>
      </c>
    </row>
  </sheetData>
  <phoneticPr fontId="0" type="noConversion"/>
  <printOptions horizontalCentered="1" verticalCentered="1"/>
  <pageMargins left="0.27559055118110237" right="0.27559055118110237" top="0.98425196850393704" bottom="0.98425196850393704" header="0.51181102362204722" footer="0.51181102362204722"/>
  <pageSetup paperSize="9" scale="102" orientation="landscape" horizontalDpi="4294967292" verticalDpi="0"/>
  <headerFooter>
    <oddHeader>&amp;C&amp;18B80 : Compte de résultat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M21"/>
  <sheetViews>
    <sheetView workbookViewId="0"/>
  </sheetViews>
  <sheetFormatPr baseColWidth="10" defaultColWidth="11.5" defaultRowHeight="13" x14ac:dyDescent="0.15"/>
  <cols>
    <col min="1" max="1" width="43.6640625" customWidth="1"/>
    <col min="2" max="9" width="10.6640625" customWidth="1"/>
  </cols>
  <sheetData>
    <row r="1" spans="1:13" s="23" customFormat="1" ht="20" customHeight="1" thickBot="1" x14ac:dyDescent="0.2">
      <c r="A1" s="22"/>
      <c r="B1" s="22">
        <v>1982</v>
      </c>
      <c r="C1" s="22">
        <v>1983</v>
      </c>
      <c r="D1" s="22">
        <v>1984</v>
      </c>
      <c r="E1" s="22">
        <v>1985</v>
      </c>
      <c r="F1" s="22">
        <v>1986</v>
      </c>
      <c r="G1" s="22">
        <v>1987</v>
      </c>
      <c r="H1" s="22">
        <v>1988</v>
      </c>
      <c r="I1" s="22">
        <v>1989</v>
      </c>
    </row>
    <row r="2" spans="1:13" ht="20" customHeight="1" x14ac:dyDescent="0.15">
      <c r="A2" s="94" t="s">
        <v>19</v>
      </c>
      <c r="B2" s="97">
        <v>10.3</v>
      </c>
      <c r="C2" s="97">
        <v>7.4</v>
      </c>
      <c r="D2" s="97">
        <v>6.4</v>
      </c>
      <c r="E2" s="97">
        <v>7</v>
      </c>
      <c r="F2" s="97">
        <v>10.9</v>
      </c>
      <c r="G2" s="97">
        <v>21.2</v>
      </c>
      <c r="H2" s="97">
        <v>30.3</v>
      </c>
      <c r="I2" s="97">
        <v>39.6</v>
      </c>
      <c r="J2" s="98"/>
      <c r="K2" s="98"/>
      <c r="L2" s="98"/>
      <c r="M2" s="98"/>
    </row>
    <row r="3" spans="1:13" s="57" customFormat="1" ht="20" customHeight="1" x14ac:dyDescent="0.15">
      <c r="A3" s="14" t="s">
        <v>20</v>
      </c>
      <c r="B3" s="77">
        <v>17.2</v>
      </c>
      <c r="C3" s="77">
        <v>19.399999999999999</v>
      </c>
      <c r="D3" s="77">
        <v>23</v>
      </c>
      <c r="E3" s="77">
        <v>25.4</v>
      </c>
      <c r="F3" s="77">
        <v>25.1</v>
      </c>
      <c r="G3" s="77">
        <v>19.7</v>
      </c>
      <c r="H3" s="77">
        <v>20.7</v>
      </c>
      <c r="I3" s="77">
        <v>16.399999999999999</v>
      </c>
    </row>
    <row r="4" spans="1:13" s="78" customFormat="1" ht="20" customHeight="1" x14ac:dyDescent="0.15">
      <c r="A4" s="20" t="s">
        <v>132</v>
      </c>
      <c r="B4" s="77">
        <v>16</v>
      </c>
      <c r="C4" s="77">
        <v>15.3</v>
      </c>
      <c r="D4" s="77">
        <v>13.7</v>
      </c>
      <c r="E4" s="77">
        <v>11.9</v>
      </c>
      <c r="F4" s="77">
        <v>9.1999999999999993</v>
      </c>
      <c r="G4" s="77">
        <v>5.6</v>
      </c>
      <c r="H4" s="77">
        <v>8.6</v>
      </c>
      <c r="I4" s="77">
        <v>10.4</v>
      </c>
    </row>
    <row r="5" spans="1:13" s="57" customFormat="1" ht="20" customHeight="1" x14ac:dyDescent="0.15">
      <c r="A5" s="21" t="s">
        <v>22</v>
      </c>
      <c r="B5" s="77">
        <v>0.7</v>
      </c>
      <c r="C5" s="77">
        <v>0.6</v>
      </c>
      <c r="D5" s="77">
        <v>0.9</v>
      </c>
      <c r="E5" s="77">
        <v>1.7</v>
      </c>
      <c r="F5" s="77">
        <v>1.4</v>
      </c>
      <c r="G5" s="77">
        <v>2.4</v>
      </c>
      <c r="H5" s="77">
        <v>16.3</v>
      </c>
      <c r="I5" s="77">
        <v>14.4</v>
      </c>
    </row>
    <row r="6" spans="1:13" s="57" customFormat="1" ht="20" customHeight="1" x14ac:dyDescent="0.15">
      <c r="A6" s="21" t="s">
        <v>133</v>
      </c>
      <c r="B6" s="77">
        <v>1.1000000000000001</v>
      </c>
      <c r="C6" s="77">
        <v>1.2</v>
      </c>
      <c r="D6" s="77">
        <v>1.1000000000000001</v>
      </c>
      <c r="E6" s="77">
        <v>1.8</v>
      </c>
      <c r="F6" s="77">
        <v>1.5</v>
      </c>
      <c r="G6" s="77">
        <v>1.4</v>
      </c>
      <c r="H6" s="77">
        <v>1.2</v>
      </c>
      <c r="I6" s="77">
        <v>2.2000000000000002</v>
      </c>
    </row>
    <row r="7" spans="1:13" ht="20" customHeight="1" x14ac:dyDescent="0.15">
      <c r="A7" s="8" t="s">
        <v>24</v>
      </c>
      <c r="B7" s="37">
        <v>31.4</v>
      </c>
      <c r="C7" s="37">
        <v>32.9</v>
      </c>
      <c r="D7" s="37">
        <v>34.700000000000003</v>
      </c>
      <c r="E7" s="37">
        <v>33.799999999999997</v>
      </c>
      <c r="F7" s="37">
        <v>31.4</v>
      </c>
      <c r="G7" s="37">
        <v>21.5</v>
      </c>
      <c r="H7" s="37">
        <v>11.8</v>
      </c>
      <c r="I7" s="37">
        <v>10.199999999999999</v>
      </c>
    </row>
    <row r="8" spans="1:13" s="16" customFormat="1" ht="20" customHeight="1" x14ac:dyDescent="0.15">
      <c r="A8" s="79" t="s">
        <v>25</v>
      </c>
      <c r="B8" s="80">
        <v>41.7</v>
      </c>
      <c r="C8" s="80">
        <v>40.299999999999997</v>
      </c>
      <c r="D8" s="80">
        <v>41.1</v>
      </c>
      <c r="E8" s="80">
        <v>40.799999999999997</v>
      </c>
      <c r="F8" s="80">
        <v>42.3</v>
      </c>
      <c r="G8" s="80">
        <v>42.7</v>
      </c>
      <c r="H8" s="80">
        <v>42.1</v>
      </c>
      <c r="I8" s="80">
        <v>49.8</v>
      </c>
    </row>
    <row r="9" spans="1:13" s="16" customFormat="1" ht="20" customHeight="1" x14ac:dyDescent="0.15">
      <c r="A9" s="15"/>
      <c r="B9" s="96"/>
      <c r="C9" s="96"/>
      <c r="D9" s="96"/>
      <c r="E9" s="96"/>
      <c r="F9" s="96"/>
      <c r="G9" s="96"/>
      <c r="H9" s="96"/>
      <c r="I9" s="96"/>
    </row>
    <row r="10" spans="1:13" ht="20" customHeight="1" x14ac:dyDescent="0.15">
      <c r="A10" s="1" t="s">
        <v>26</v>
      </c>
      <c r="B10" s="37">
        <v>19.100000000000001</v>
      </c>
      <c r="C10" s="37">
        <v>22.8</v>
      </c>
      <c r="D10" s="37">
        <v>24.9</v>
      </c>
      <c r="E10" s="37">
        <v>26.5</v>
      </c>
      <c r="F10" s="37">
        <v>29.6</v>
      </c>
      <c r="G10" s="37">
        <v>33.700000000000003</v>
      </c>
      <c r="H10" s="37">
        <v>40</v>
      </c>
      <c r="I10" s="37">
        <v>45.3</v>
      </c>
    </row>
    <row r="11" spans="1:13" s="57" customFormat="1" ht="20" customHeight="1" x14ac:dyDescent="0.15">
      <c r="A11" s="21" t="s">
        <v>134</v>
      </c>
      <c r="B11" s="77">
        <v>10.1</v>
      </c>
      <c r="C11" s="77">
        <v>8.1999999999999993</v>
      </c>
      <c r="D11" s="77">
        <v>7</v>
      </c>
      <c r="E11" s="77">
        <v>7.7</v>
      </c>
      <c r="F11" s="77">
        <v>8.4</v>
      </c>
      <c r="G11" s="77">
        <v>7.5</v>
      </c>
      <c r="H11" s="77">
        <v>8.4</v>
      </c>
      <c r="I11" s="77">
        <v>8.8000000000000007</v>
      </c>
    </row>
    <row r="12" spans="1:13" s="57" customFormat="1" ht="20" customHeight="1" x14ac:dyDescent="0.15">
      <c r="A12" s="21" t="s">
        <v>29</v>
      </c>
      <c r="B12" s="77">
        <v>29.2</v>
      </c>
      <c r="C12" s="77">
        <v>31</v>
      </c>
      <c r="D12" s="77">
        <v>31.9</v>
      </c>
      <c r="E12" s="77">
        <v>34.200000000000003</v>
      </c>
      <c r="F12" s="77">
        <v>38</v>
      </c>
      <c r="G12" s="77">
        <v>41.2</v>
      </c>
      <c r="H12" s="77">
        <v>48.4</v>
      </c>
      <c r="I12" s="77">
        <v>54.1</v>
      </c>
    </row>
    <row r="13" spans="1:13" ht="20" customHeight="1" x14ac:dyDescent="0.15">
      <c r="A13" s="1" t="s">
        <v>30</v>
      </c>
      <c r="B13" s="37">
        <v>17.100000000000001</v>
      </c>
      <c r="C13" s="37">
        <v>18.2</v>
      </c>
      <c r="D13" s="37">
        <v>19.3</v>
      </c>
      <c r="E13" s="37">
        <v>17.899999999999999</v>
      </c>
      <c r="F13" s="37">
        <v>17.399999999999999</v>
      </c>
      <c r="G13" s="37">
        <v>17.8</v>
      </c>
      <c r="H13" s="37">
        <v>17.5</v>
      </c>
      <c r="I13" s="37">
        <v>19.8</v>
      </c>
    </row>
    <row r="14" spans="1:13" s="57" customFormat="1" ht="20" customHeight="1" x14ac:dyDescent="0.15">
      <c r="A14" s="21" t="s">
        <v>31</v>
      </c>
      <c r="B14" s="77">
        <v>9.6999999999999993</v>
      </c>
      <c r="C14" s="77">
        <v>9.9</v>
      </c>
      <c r="D14" s="77">
        <v>8.9</v>
      </c>
      <c r="E14" s="77">
        <v>10.4</v>
      </c>
      <c r="F14" s="77">
        <v>9.5</v>
      </c>
      <c r="G14" s="77">
        <v>9.1999999999999993</v>
      </c>
      <c r="H14" s="77">
        <v>10.199999999999999</v>
      </c>
      <c r="I14" s="77">
        <v>10.9</v>
      </c>
    </row>
    <row r="15" spans="1:13" s="57" customFormat="1" ht="20" customHeight="1" x14ac:dyDescent="0.15">
      <c r="A15" s="21" t="s">
        <v>32</v>
      </c>
      <c r="B15" s="77">
        <v>10.7</v>
      </c>
      <c r="C15" s="77">
        <v>11.8</v>
      </c>
      <c r="D15" s="77">
        <v>13.9</v>
      </c>
      <c r="E15" s="77">
        <v>15.8</v>
      </c>
      <c r="F15" s="77">
        <v>16.2</v>
      </c>
      <c r="G15" s="77">
        <v>18.600000000000001</v>
      </c>
      <c r="H15" s="77">
        <v>21.2</v>
      </c>
      <c r="I15" s="77">
        <v>24.3</v>
      </c>
    </row>
    <row r="16" spans="1:13" s="57" customFormat="1" ht="20" customHeight="1" x14ac:dyDescent="0.15">
      <c r="A16" s="14" t="s">
        <v>33</v>
      </c>
      <c r="B16" s="77">
        <v>16.100000000000001</v>
      </c>
      <c r="C16" s="77">
        <v>16.3</v>
      </c>
      <c r="D16" s="77">
        <v>14.3</v>
      </c>
      <c r="E16" s="77">
        <v>12.5</v>
      </c>
      <c r="F16" s="77">
        <v>10.7</v>
      </c>
      <c r="G16" s="77">
        <v>8.4</v>
      </c>
      <c r="H16" s="77">
        <v>6.5</v>
      </c>
      <c r="I16" s="77">
        <v>6.4</v>
      </c>
    </row>
    <row r="17" spans="1:9" ht="20" customHeight="1" x14ac:dyDescent="0.15">
      <c r="A17" s="1" t="s">
        <v>135</v>
      </c>
      <c r="B17" s="37">
        <v>3.7</v>
      </c>
      <c r="C17" s="37">
        <v>1.9</v>
      </c>
      <c r="D17" s="37">
        <v>4</v>
      </c>
      <c r="E17" s="37">
        <v>4.4000000000000004</v>
      </c>
      <c r="F17" s="37">
        <v>4.3</v>
      </c>
      <c r="G17" s="37">
        <v>5.0999999999999996</v>
      </c>
      <c r="H17" s="37">
        <v>4.3</v>
      </c>
      <c r="I17" s="37">
        <v>5.9</v>
      </c>
    </row>
    <row r="18" spans="1:9" s="57" customFormat="1" ht="20" customHeight="1" x14ac:dyDescent="0.15">
      <c r="A18" s="21" t="s">
        <v>136</v>
      </c>
      <c r="B18" s="77">
        <v>7.3</v>
      </c>
      <c r="C18" s="77">
        <v>8.9</v>
      </c>
      <c r="D18" s="77">
        <v>9.1</v>
      </c>
      <c r="E18" s="77">
        <v>10.3</v>
      </c>
      <c r="F18" s="77">
        <v>10.7</v>
      </c>
      <c r="G18" s="95">
        <v>12</v>
      </c>
      <c r="H18" s="77">
        <v>17.100000000000001</v>
      </c>
      <c r="I18" s="77">
        <v>16.600000000000001</v>
      </c>
    </row>
    <row r="19" spans="1:9" ht="20" customHeight="1" x14ac:dyDescent="0.15">
      <c r="A19" s="8" t="s">
        <v>137</v>
      </c>
      <c r="B19" s="36" t="s">
        <v>138</v>
      </c>
      <c r="C19" s="36" t="s">
        <v>139</v>
      </c>
      <c r="D19" s="36" t="s">
        <v>140</v>
      </c>
      <c r="E19" s="36" t="s">
        <v>141</v>
      </c>
      <c r="F19" s="36" t="s">
        <v>142</v>
      </c>
      <c r="G19" s="39" t="s">
        <v>143</v>
      </c>
      <c r="H19" s="36" t="s">
        <v>144</v>
      </c>
      <c r="I19" s="36" t="s">
        <v>145</v>
      </c>
    </row>
    <row r="20" spans="1:9" s="32" customFormat="1" ht="20" customHeight="1" x14ac:dyDescent="0.15">
      <c r="A20" s="30" t="s">
        <v>35</v>
      </c>
      <c r="B20" s="38">
        <v>12.5</v>
      </c>
      <c r="C20" s="38">
        <v>9.3000000000000007</v>
      </c>
      <c r="D20" s="38">
        <v>9.1999999999999993</v>
      </c>
      <c r="E20" s="38">
        <v>6.6</v>
      </c>
      <c r="F20" s="38">
        <v>4.3</v>
      </c>
      <c r="G20" s="38">
        <v>1.5</v>
      </c>
      <c r="H20" s="82" t="s">
        <v>146</v>
      </c>
      <c r="I20" s="82" t="s">
        <v>147</v>
      </c>
    </row>
    <row r="21" spans="1:9" s="81" customFormat="1" ht="20" customHeight="1" thickBot="1" x14ac:dyDescent="0.2">
      <c r="A21" s="17" t="s">
        <v>25</v>
      </c>
      <c r="B21" s="45">
        <v>41.7</v>
      </c>
      <c r="C21" s="45">
        <v>40.299999999999997</v>
      </c>
      <c r="D21" s="45">
        <v>41.1</v>
      </c>
      <c r="E21" s="45">
        <v>40.799999999999997</v>
      </c>
      <c r="F21" s="45">
        <v>42.3</v>
      </c>
      <c r="G21" s="45">
        <v>42.7</v>
      </c>
      <c r="H21" s="45">
        <v>42.1</v>
      </c>
      <c r="I21" s="45">
        <v>49.8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0"/>
  <headerFooter>
    <oddHeader>&amp;C&amp;18B80 : Bilan au 31 décembre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I7"/>
  <sheetViews>
    <sheetView zoomScale="75" workbookViewId="0">
      <selection activeCell="A5" sqref="A5"/>
    </sheetView>
  </sheetViews>
  <sheetFormatPr baseColWidth="10" defaultColWidth="11.5" defaultRowHeight="13" x14ac:dyDescent="0.15"/>
  <cols>
    <col min="1" max="1" width="40.6640625" customWidth="1"/>
    <col min="2" max="9" width="10.6640625" customWidth="1"/>
  </cols>
  <sheetData>
    <row r="1" spans="1:9" s="23" customFormat="1" ht="39.75" customHeight="1" thickBot="1" x14ac:dyDescent="0.2">
      <c r="A1" s="22"/>
      <c r="B1" s="22">
        <v>1982</v>
      </c>
      <c r="C1" s="22">
        <v>1983</v>
      </c>
      <c r="D1" s="22">
        <v>1984</v>
      </c>
      <c r="E1" s="22">
        <v>1985</v>
      </c>
      <c r="F1" s="22">
        <v>1986</v>
      </c>
      <c r="G1" s="22">
        <v>1987</v>
      </c>
      <c r="H1" s="22">
        <v>1988</v>
      </c>
      <c r="I1" s="22">
        <v>1989</v>
      </c>
    </row>
    <row r="2" spans="1:9" ht="39.75" customHeight="1" x14ac:dyDescent="0.15">
      <c r="A2" s="1" t="s">
        <v>36</v>
      </c>
      <c r="B2" s="1">
        <v>79.099999999999994</v>
      </c>
      <c r="C2" s="1">
        <v>87.8</v>
      </c>
      <c r="D2" s="1">
        <v>94.3</v>
      </c>
      <c r="E2" s="1">
        <v>100.3</v>
      </c>
      <c r="F2" s="1">
        <v>105</v>
      </c>
      <c r="G2" s="1">
        <v>118.2</v>
      </c>
      <c r="H2" s="1">
        <v>138.5</v>
      </c>
      <c r="I2" s="1">
        <v>153.6</v>
      </c>
    </row>
    <row r="3" spans="1:9" ht="39.75" customHeight="1" x14ac:dyDescent="0.15">
      <c r="A3" s="1" t="s">
        <v>37</v>
      </c>
      <c r="B3" s="1">
        <v>16.100000000000001</v>
      </c>
      <c r="C3" s="1">
        <v>16.3</v>
      </c>
      <c r="D3" s="1">
        <v>14.3</v>
      </c>
      <c r="E3" s="1">
        <v>12.5</v>
      </c>
      <c r="F3" s="1">
        <v>10.7</v>
      </c>
      <c r="G3" s="1">
        <v>8.4</v>
      </c>
      <c r="H3" s="1">
        <v>6.5</v>
      </c>
      <c r="I3" s="1">
        <v>6.4</v>
      </c>
    </row>
    <row r="4" spans="1:9" ht="39.75" customHeight="1" x14ac:dyDescent="0.15">
      <c r="A4" s="1" t="s">
        <v>38</v>
      </c>
      <c r="B4" s="11" t="s">
        <v>148</v>
      </c>
      <c r="C4" s="11" t="s">
        <v>149</v>
      </c>
      <c r="D4" s="11" t="s">
        <v>150</v>
      </c>
      <c r="E4" s="11" t="s">
        <v>72</v>
      </c>
      <c r="F4" s="11" t="s">
        <v>54</v>
      </c>
      <c r="G4" s="11" t="s">
        <v>151</v>
      </c>
      <c r="H4" s="11" t="s">
        <v>152</v>
      </c>
      <c r="I4" s="11" t="s">
        <v>153</v>
      </c>
    </row>
    <row r="5" spans="1:9" ht="39.75" customHeight="1" x14ac:dyDescent="0.15">
      <c r="A5" s="1" t="s">
        <v>49</v>
      </c>
      <c r="B5" s="11" t="s">
        <v>154</v>
      </c>
      <c r="C5" s="11" t="s">
        <v>155</v>
      </c>
      <c r="D5" s="11" t="s">
        <v>156</v>
      </c>
      <c r="E5" s="11" t="s">
        <v>74</v>
      </c>
      <c r="F5" s="11" t="s">
        <v>157</v>
      </c>
      <c r="G5" s="11" t="s">
        <v>150</v>
      </c>
      <c r="H5" s="11" t="s">
        <v>158</v>
      </c>
      <c r="I5" s="11" t="s">
        <v>53</v>
      </c>
    </row>
    <row r="6" spans="1:9" ht="39.75" customHeight="1" x14ac:dyDescent="0.15">
      <c r="A6" s="1" t="s">
        <v>59</v>
      </c>
      <c r="B6" s="11" t="s">
        <v>72</v>
      </c>
      <c r="C6" s="11" t="s">
        <v>55</v>
      </c>
      <c r="D6" s="11" t="s">
        <v>159</v>
      </c>
      <c r="E6" s="11" t="s">
        <v>50</v>
      </c>
      <c r="F6" s="11" t="s">
        <v>160</v>
      </c>
      <c r="G6" s="11" t="s">
        <v>161</v>
      </c>
      <c r="H6" s="11" t="s">
        <v>162</v>
      </c>
      <c r="I6" s="11" t="s">
        <v>151</v>
      </c>
    </row>
    <row r="7" spans="1:9" ht="39.75" customHeight="1" thickBot="1" x14ac:dyDescent="0.2">
      <c r="A7" s="2" t="s">
        <v>70</v>
      </c>
      <c r="B7" s="12" t="s">
        <v>163</v>
      </c>
      <c r="C7" s="12" t="s">
        <v>163</v>
      </c>
      <c r="D7" s="12" t="s">
        <v>52</v>
      </c>
      <c r="E7" s="12" t="s">
        <v>71</v>
      </c>
      <c r="F7" s="12" t="s">
        <v>56</v>
      </c>
      <c r="G7" s="12" t="s">
        <v>71</v>
      </c>
      <c r="H7" s="12" t="s">
        <v>56</v>
      </c>
      <c r="I7" s="12" t="s">
        <v>164</v>
      </c>
    </row>
  </sheetData>
  <phoneticPr fontId="0" type="noConversion"/>
  <printOptions horizontalCentered="1" verticalCentered="1"/>
  <pageMargins left="0.32" right="0.34" top="0.98425196850393704" bottom="0.98425196850393704" header="0.51181102362204722" footer="0.51181102362204722"/>
  <pageSetup paperSize="9" orientation="landscape" horizontalDpi="4294967292" verticalDpi="0"/>
  <headerFooter>
    <oddHeader>&amp;C&amp;14B80 : Tableau de besoin en fonds de roulement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I16"/>
  <sheetViews>
    <sheetView zoomScale="75" workbookViewId="0">
      <selection activeCell="A10" sqref="A10"/>
    </sheetView>
  </sheetViews>
  <sheetFormatPr baseColWidth="10" defaultColWidth="11.5" defaultRowHeight="13" x14ac:dyDescent="0.15"/>
  <cols>
    <col min="1" max="1" width="43.5" customWidth="1"/>
    <col min="2" max="9" width="15.6640625" customWidth="1"/>
  </cols>
  <sheetData>
    <row r="1" spans="1:9" s="23" customFormat="1" ht="39.75" customHeight="1" thickBot="1" x14ac:dyDescent="0.2">
      <c r="A1" s="22"/>
      <c r="B1" s="22">
        <v>1982</v>
      </c>
      <c r="C1" s="22">
        <v>1983</v>
      </c>
      <c r="D1" s="22">
        <v>1984</v>
      </c>
      <c r="E1" s="22">
        <v>1985</v>
      </c>
      <c r="F1" s="22">
        <v>1986</v>
      </c>
      <c r="G1" s="22">
        <v>1987</v>
      </c>
      <c r="H1" s="22">
        <v>1988</v>
      </c>
      <c r="I1" s="22">
        <v>1989</v>
      </c>
    </row>
    <row r="2" spans="1:9" ht="39.75" customHeight="1" x14ac:dyDescent="0.15">
      <c r="A2" s="1" t="s">
        <v>79</v>
      </c>
      <c r="B2" s="33" t="s">
        <v>131</v>
      </c>
      <c r="C2" s="33" t="s">
        <v>125</v>
      </c>
      <c r="D2" s="33" t="s">
        <v>126</v>
      </c>
      <c r="E2" s="11">
        <v>0.3</v>
      </c>
      <c r="F2" s="11">
        <v>2.4</v>
      </c>
      <c r="G2" s="11">
        <v>5.2</v>
      </c>
      <c r="H2" s="11">
        <v>9.1999999999999993</v>
      </c>
      <c r="I2" s="11">
        <v>10.6</v>
      </c>
    </row>
    <row r="3" spans="1:9" s="57" customFormat="1" ht="39.75" customHeight="1" x14ac:dyDescent="0.15">
      <c r="A3" s="14" t="s">
        <v>80</v>
      </c>
      <c r="B3" s="72">
        <v>3.1</v>
      </c>
      <c r="C3" s="72">
        <v>3</v>
      </c>
      <c r="D3" s="72">
        <v>4.2</v>
      </c>
      <c r="E3" s="72">
        <v>3.9</v>
      </c>
      <c r="F3" s="72">
        <v>4.8</v>
      </c>
      <c r="G3" s="72">
        <v>5.8</v>
      </c>
      <c r="H3" s="72">
        <v>6.8</v>
      </c>
      <c r="I3" s="72">
        <v>8</v>
      </c>
    </row>
    <row r="4" spans="1:9" s="57" customFormat="1" ht="39.75" customHeight="1" x14ac:dyDescent="0.15">
      <c r="A4" s="14" t="s">
        <v>81</v>
      </c>
      <c r="B4" s="77">
        <v>1.1000000000000001</v>
      </c>
      <c r="C4" s="77">
        <v>0.1</v>
      </c>
      <c r="D4" s="77">
        <v>3.2</v>
      </c>
      <c r="E4" s="77">
        <v>4.2</v>
      </c>
      <c r="F4" s="77">
        <v>7.2</v>
      </c>
      <c r="G4" s="77">
        <v>11</v>
      </c>
      <c r="H4" s="77">
        <v>16</v>
      </c>
      <c r="I4" s="77">
        <v>18.600000000000001</v>
      </c>
    </row>
    <row r="5" spans="1:9" s="32" customFormat="1" ht="39.75" customHeight="1" x14ac:dyDescent="0.15">
      <c r="A5" s="65" t="s">
        <v>82</v>
      </c>
      <c r="B5" s="83" t="s">
        <v>165</v>
      </c>
      <c r="C5" s="84">
        <v>3.2</v>
      </c>
      <c r="D5" s="84">
        <v>0.1</v>
      </c>
      <c r="E5" s="84">
        <v>2.6</v>
      </c>
      <c r="F5" s="84">
        <v>2.2999999999999998</v>
      </c>
      <c r="G5" s="84">
        <v>2.8</v>
      </c>
      <c r="H5" s="84">
        <v>7.8</v>
      </c>
      <c r="I5" s="83" t="s">
        <v>131</v>
      </c>
    </row>
    <row r="6" spans="1:9" s="42" customFormat="1" ht="39.75" customHeight="1" x14ac:dyDescent="0.15">
      <c r="A6" s="85" t="s">
        <v>83</v>
      </c>
      <c r="B6" s="40" t="s">
        <v>166</v>
      </c>
      <c r="C6" s="41">
        <v>3.3</v>
      </c>
      <c r="D6" s="41">
        <v>3.3</v>
      </c>
      <c r="E6" s="41">
        <v>6.8</v>
      </c>
      <c r="F6" s="41">
        <v>9.5</v>
      </c>
      <c r="G6" s="41">
        <v>13.8</v>
      </c>
      <c r="H6" s="41">
        <v>23.8</v>
      </c>
      <c r="I6" s="41">
        <v>16.600000000000001</v>
      </c>
    </row>
    <row r="7" spans="1:9" ht="39.75" customHeight="1" x14ac:dyDescent="0.15">
      <c r="A7" s="1" t="s">
        <v>84</v>
      </c>
      <c r="B7" s="37">
        <v>4</v>
      </c>
      <c r="C7" s="37" t="s">
        <v>16</v>
      </c>
      <c r="D7" s="37" t="s">
        <v>16</v>
      </c>
      <c r="E7" s="37" t="s">
        <v>16</v>
      </c>
      <c r="F7" s="37" t="s">
        <v>16</v>
      </c>
      <c r="G7" s="37" t="s">
        <v>16</v>
      </c>
      <c r="H7" s="37" t="s">
        <v>16</v>
      </c>
      <c r="I7" s="37" t="s">
        <v>16</v>
      </c>
    </row>
    <row r="8" spans="1:9" s="57" customFormat="1" ht="39.75" customHeight="1" x14ac:dyDescent="0.15">
      <c r="A8" s="21" t="s">
        <v>167</v>
      </c>
      <c r="B8" s="70" t="s">
        <v>168</v>
      </c>
      <c r="C8" s="70" t="s">
        <v>169</v>
      </c>
      <c r="D8" s="70" t="s">
        <v>140</v>
      </c>
      <c r="E8" s="70" t="s">
        <v>170</v>
      </c>
      <c r="F8" s="83" t="s">
        <v>171</v>
      </c>
      <c r="G8" s="70" t="s">
        <v>172</v>
      </c>
      <c r="H8" s="70" t="s">
        <v>173</v>
      </c>
      <c r="I8" s="70" t="s">
        <v>174</v>
      </c>
    </row>
    <row r="9" spans="1:9" s="16" customFormat="1" ht="39.75" customHeight="1" x14ac:dyDescent="0.15">
      <c r="A9" s="86" t="s">
        <v>175</v>
      </c>
      <c r="B9" s="19" t="s">
        <v>176</v>
      </c>
      <c r="C9" s="19" t="s">
        <v>169</v>
      </c>
      <c r="D9" s="19" t="s">
        <v>140</v>
      </c>
      <c r="E9" s="19" t="s">
        <v>170</v>
      </c>
      <c r="F9" s="87">
        <v>-8.6</v>
      </c>
      <c r="G9" s="19" t="s">
        <v>172</v>
      </c>
      <c r="H9" s="19" t="s">
        <v>173</v>
      </c>
      <c r="I9" s="19" t="s">
        <v>174</v>
      </c>
    </row>
    <row r="10" spans="1:9" s="16" customFormat="1" ht="39.75" customHeight="1" x14ac:dyDescent="0.15">
      <c r="A10" s="44" t="s">
        <v>266</v>
      </c>
      <c r="B10" s="19" t="s">
        <v>126</v>
      </c>
      <c r="C10" s="19" t="s">
        <v>177</v>
      </c>
      <c r="D10" s="19" t="s">
        <v>178</v>
      </c>
      <c r="E10" s="19">
        <v>0.6</v>
      </c>
      <c r="F10" s="16">
        <v>0.9</v>
      </c>
      <c r="G10" s="19">
        <v>4.8</v>
      </c>
      <c r="H10" s="19">
        <v>9.6999999999999993</v>
      </c>
      <c r="I10" s="19">
        <v>2.9</v>
      </c>
    </row>
    <row r="11" spans="1:9" ht="39.75" customHeight="1" x14ac:dyDescent="0.15">
      <c r="A11" s="1" t="s">
        <v>179</v>
      </c>
      <c r="B11" s="11" t="s">
        <v>16</v>
      </c>
      <c r="C11" s="11" t="s">
        <v>16</v>
      </c>
      <c r="D11" s="11" t="s">
        <v>16</v>
      </c>
      <c r="E11" s="11">
        <v>0.3</v>
      </c>
      <c r="F11" s="11">
        <v>1.5</v>
      </c>
      <c r="G11" s="11">
        <v>5.0999999999999996</v>
      </c>
      <c r="H11" s="11" t="s">
        <v>16</v>
      </c>
      <c r="I11" s="11" t="s">
        <v>16</v>
      </c>
    </row>
    <row r="12" spans="1:9" s="57" customFormat="1" ht="39.75" customHeight="1" x14ac:dyDescent="0.15">
      <c r="A12" s="14" t="s">
        <v>180</v>
      </c>
      <c r="B12" s="72" t="s">
        <v>16</v>
      </c>
      <c r="C12" s="72" t="s">
        <v>16</v>
      </c>
      <c r="D12" s="72" t="s">
        <v>16</v>
      </c>
      <c r="E12" s="72" t="s">
        <v>16</v>
      </c>
      <c r="F12" s="72" t="s">
        <v>16</v>
      </c>
      <c r="G12" s="72" t="s">
        <v>16</v>
      </c>
      <c r="H12" s="70" t="s">
        <v>181</v>
      </c>
      <c r="I12" s="70" t="s">
        <v>182</v>
      </c>
    </row>
    <row r="13" spans="1:9" s="66" customFormat="1" ht="39.75" customHeight="1" thickBot="1" x14ac:dyDescent="0.2">
      <c r="A13" s="90" t="s">
        <v>183</v>
      </c>
      <c r="B13" s="88">
        <v>1</v>
      </c>
      <c r="C13" s="88">
        <v>1.5</v>
      </c>
      <c r="D13" s="88">
        <v>1.8</v>
      </c>
      <c r="E13" s="89" t="s">
        <v>113</v>
      </c>
      <c r="F13" s="89" t="s">
        <v>184</v>
      </c>
      <c r="G13" s="89" t="s">
        <v>185</v>
      </c>
      <c r="H13" s="89" t="s">
        <v>186</v>
      </c>
      <c r="I13" s="89" t="s">
        <v>187</v>
      </c>
    </row>
    <row r="15" spans="1:9" x14ac:dyDescent="0.15">
      <c r="A15" s="46" t="s">
        <v>100</v>
      </c>
    </row>
    <row r="16" spans="1:9" x14ac:dyDescent="0.15">
      <c r="A16" t="s">
        <v>101</v>
      </c>
    </row>
  </sheetData>
  <phoneticPr fontId="0" type="noConversion"/>
  <printOptions horizontalCentered="1" verticalCentered="1"/>
  <pageMargins left="0.36" right="0.32" top="0.98425196850393704" bottom="0.98425196850393704" header="0.51181102362204722" footer="0.51181102362204722"/>
  <pageSetup paperSize="9" scale="84" orientation="landscape" horizontalDpi="4294967292" verticalDpi="0"/>
  <headerFooter>
    <oddHeader>&amp;C&amp;18B80 : Tableau de flux de trésorerie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28</vt:i4>
      </vt:variant>
      <vt:variant>
        <vt:lpstr>Plages nommées</vt:lpstr>
      </vt:variant>
      <vt:variant>
        <vt:i4>1</vt:i4>
      </vt:variant>
    </vt:vector>
  </HeadingPairs>
  <TitlesOfParts>
    <vt:vector size="29" baseType="lpstr">
      <vt:lpstr>a70 résultat</vt:lpstr>
      <vt:lpstr>a70 bilan</vt:lpstr>
      <vt:lpstr>a70 fdr</vt:lpstr>
      <vt:lpstr>a70 trésorerie</vt:lpstr>
      <vt:lpstr>a70 rentabilité</vt:lpstr>
      <vt:lpstr>b80 résultat</vt:lpstr>
      <vt:lpstr>b80 bilan</vt:lpstr>
      <vt:lpstr>b80 fdr</vt:lpstr>
      <vt:lpstr>b80 trésorerie</vt:lpstr>
      <vt:lpstr>b80 rentabilité</vt:lpstr>
      <vt:lpstr>c90 résultat</vt:lpstr>
      <vt:lpstr>c90 bilan</vt:lpstr>
      <vt:lpstr>c90 fdr</vt:lpstr>
      <vt:lpstr>c90 trésorerie</vt:lpstr>
      <vt:lpstr>c90 rentabilité</vt:lpstr>
      <vt:lpstr>d00 résultat </vt:lpstr>
      <vt:lpstr>d00 bilan</vt:lpstr>
      <vt:lpstr>d00 fdr</vt:lpstr>
      <vt:lpstr>d00 trésorerie</vt:lpstr>
      <vt:lpstr>d00 rentabilité</vt:lpstr>
      <vt:lpstr>e10 résultat</vt:lpstr>
      <vt:lpstr>e10 bilan</vt:lpstr>
      <vt:lpstr>e10 fdr</vt:lpstr>
      <vt:lpstr>e10 trésorerie</vt:lpstr>
      <vt:lpstr>e10 rentabilité</vt:lpstr>
      <vt:lpstr>graphique</vt:lpstr>
      <vt:lpstr>Annexe</vt:lpstr>
      <vt:lpstr>DS</vt:lpstr>
      <vt:lpstr>'c90 bilan'!Zone_d_impression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Arcène Corinne</dc:creator>
  <cp:lastModifiedBy>Microsoft Office User</cp:lastModifiedBy>
  <cp:lastPrinted>2010-09-23T11:36:21Z</cp:lastPrinted>
  <dcterms:created xsi:type="dcterms:W3CDTF">2003-01-26T21:46:02Z</dcterms:created>
  <dcterms:modified xsi:type="dcterms:W3CDTF">2022-01-22T08:06:58Z</dcterms:modified>
</cp:coreProperties>
</file>