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9.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0.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1.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2.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3.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4.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5.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6.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7.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8.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21.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22.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4.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25.xml" ContentType="application/vnd.openxmlformats-officedocument.drawing+xml"/>
  <Override PartName="/xl/charts/chart47.xml" ContentType="application/vnd.openxmlformats-officedocument.drawingml.chart+xml"/>
  <Override PartName="/xl/charts/chart48.xml" ContentType="application/vnd.openxmlformats-officedocument.drawingml.chart+xml"/>
  <Override PartName="/xl/drawings/drawing26.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drawings/drawing27.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8.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9.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drawings/drawing30.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drawings/drawing31.xml" ContentType="application/vnd.openxmlformats-officedocument.drawing+xml"/>
  <Override PartName="/xl/charts/chart59.xml" ContentType="application/vnd.openxmlformats-officedocument.drawingml.chart+xml"/>
  <Override PartName="/xl/charts/chart60.xml" ContentType="application/vnd.openxmlformats-officedocument.drawingml.chart+xml"/>
  <Override PartName="/xl/drawings/drawing32.xml" ContentType="application/vnd.openxmlformats-officedocument.drawing+xml"/>
  <Override PartName="/xl/charts/chart61.xml" ContentType="application/vnd.openxmlformats-officedocument.drawingml.chart+xml"/>
  <Override PartName="/xl/charts/chart62.xml" ContentType="application/vnd.openxmlformats-officedocument.drawingml.chart+xml"/>
  <Override PartName="/xl/drawings/drawing33.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codeName="ThisWorkbook" autoCompressPictures="0"/>
  <mc:AlternateContent xmlns:mc="http://schemas.openxmlformats.org/markup-compatibility/2006">
    <mc:Choice Requires="x15">
      <x15ac:absPath xmlns:x15ac="http://schemas.microsoft.com/office/spreadsheetml/2010/11/ac" url="/Users/quiry/Library/Mobile Documents/com~apple~CloudDocs/Vernimmen/Edition 2027/"/>
    </mc:Choice>
  </mc:AlternateContent>
  <xr:revisionPtr revIDLastSave="0" documentId="8_{D894C370-8B81-8D4F-A4BE-9ADCB5DA0BDA}" xr6:coauthVersionLast="47" xr6:coauthVersionMax="47" xr10:uidLastSave="{00000000-0000-0000-0000-000000000000}"/>
  <bookViews>
    <workbookView xWindow="0" yWindow="660" windowWidth="29400" windowHeight="16420" tabRatio="930" firstSheet="9" activeTab="10" xr2:uid="{00000000-000D-0000-FFFF-FFFF00000000}"/>
  </bookViews>
  <sheets>
    <sheet name="Chapitre 2" sheetId="1" r:id="rId1"/>
    <sheet name="Chapitre 3" sheetId="4" r:id="rId2"/>
    <sheet name="Chapitre 4" sheetId="5" r:id="rId3"/>
    <sheet name="Chapitre 5" sheetId="6" r:id="rId4"/>
    <sheet name="Chapitre 7" sheetId="8" r:id="rId5"/>
    <sheet name="Chapitre 9" sheetId="14" r:id="rId6"/>
    <sheet name="Chapitre 10" sheetId="49" r:id="rId7"/>
    <sheet name="Chapitre 11" sheetId="15" r:id="rId8"/>
    <sheet name=" Chapitre 12" sheetId="16" r:id="rId9"/>
    <sheet name="Chapitre 13" sheetId="17" r:id="rId10"/>
    <sheet name="Chapitre 14" sheetId="18" r:id="rId11"/>
    <sheet name="Chapitre 15" sheetId="57" r:id="rId12"/>
    <sheet name=" Chapitre 17" sheetId="21" r:id="rId13"/>
    <sheet name="Chapitre 18" sheetId="23" r:id="rId14"/>
    <sheet name="Chapitre 19" sheetId="24" r:id="rId15"/>
    <sheet name="Chapitre 20" sheetId="25" r:id="rId16"/>
    <sheet name="Chapitre 21" sheetId="26" r:id="rId17"/>
    <sheet name="Chapitre 22" sheetId="60" r:id="rId18"/>
    <sheet name="Chapitre 24" sheetId="29" r:id="rId19"/>
    <sheet name="Chapitre 25" sheetId="30" r:id="rId20"/>
    <sheet name="Chapitre 26" sheetId="41" r:id="rId21"/>
    <sheet name=" Chapitre 27" sheetId="51" r:id="rId22"/>
    <sheet name=" Chapitre 28" sheetId="31" r:id="rId23"/>
    <sheet name="Chapitre 29" sheetId="52" r:id="rId24"/>
    <sheet name="Chapitre 30" sheetId="35" r:id="rId25"/>
    <sheet name=" Chapitre 31" sheetId="36" r:id="rId26"/>
    <sheet name="Chapitre 32" sheetId="37" r:id="rId27"/>
    <sheet name="Chapitre 33" sheetId="44" r:id="rId28"/>
    <sheet name="Chapitre 34" sheetId="32" r:id="rId29"/>
    <sheet name=" Chapitre 35" sheetId="33" r:id="rId30"/>
    <sheet name="Chapitre 36" sheetId="34" r:id="rId31"/>
    <sheet name="Chapitre 37" sheetId="43" r:id="rId32"/>
    <sheet name="Chapitre 38" sheetId="38" r:id="rId33"/>
    <sheet name="Chapitre 39" sheetId="39" r:id="rId34"/>
    <sheet name=" Chapitre 40" sheetId="40" r:id="rId35"/>
    <sheet name=" Chapitre 41" sheetId="68" r:id="rId36"/>
    <sheet name=" Chapitre 42" sheetId="69" r:id="rId37"/>
    <sheet name="Chapitre 43" sheetId="53" r:id="rId38"/>
    <sheet name="Chapitre 48" sheetId="45" r:id="rId39"/>
    <sheet name="Chapitre 50" sheetId="54" r:id="rId40"/>
    <sheet name="Chapitre 51" sheetId="67" r:id="rId41"/>
    <sheet name=" Chapitre 53" sheetId="46" r:id="rId42"/>
    <sheet name="Chapitre 54" sheetId="70" r:id="rId43"/>
  </sheets>
  <definedNames>
    <definedName name="IS">'Chapitre 15'!#REF!</definedName>
    <definedName name="Jours">' Chapitre 12'!$D$11</definedName>
    <definedName name="solver_adj" localSheetId="12" hidden="1">' Chapitre 17'!#REF!</definedName>
    <definedName name="solver_adj" localSheetId="24" hidden="1">'Chapitre 30'!$B$78</definedName>
    <definedName name="solver_cvg" localSheetId="12" hidden="1">0.0001</definedName>
    <definedName name="solver_cvg" localSheetId="24" hidden="1">0.0001</definedName>
    <definedName name="solver_drv" localSheetId="12" hidden="1">1</definedName>
    <definedName name="solver_drv" localSheetId="24" hidden="1">1</definedName>
    <definedName name="solver_est" localSheetId="12" hidden="1">1</definedName>
    <definedName name="solver_est" localSheetId="24" hidden="1">1</definedName>
    <definedName name="solver_itr" localSheetId="12" hidden="1">100</definedName>
    <definedName name="solver_itr" localSheetId="24" hidden="1">100</definedName>
    <definedName name="solver_lhs1" localSheetId="12" hidden="1">' Chapitre 17'!#REF!</definedName>
    <definedName name="solver_lhs1" localSheetId="24" hidden="1">'Chapitre 30'!$B$79</definedName>
    <definedName name="solver_lin" localSheetId="12" hidden="1">2</definedName>
    <definedName name="solver_lin" localSheetId="24" hidden="1">2</definedName>
    <definedName name="solver_neg" localSheetId="12" hidden="1">2</definedName>
    <definedName name="solver_neg" localSheetId="24" hidden="1">2</definedName>
    <definedName name="solver_num" localSheetId="12" hidden="1">1</definedName>
    <definedName name="solver_num" localSheetId="24" hidden="1">1</definedName>
    <definedName name="solver_nwt" localSheetId="12" hidden="1">1</definedName>
    <definedName name="solver_nwt" localSheetId="24" hidden="1">1</definedName>
    <definedName name="solver_opt" localSheetId="12" hidden="1">' Chapitre 17'!#REF!</definedName>
    <definedName name="solver_opt" localSheetId="24" hidden="1">'Chapitre 30'!$C$80</definedName>
    <definedName name="solver_pre" localSheetId="12" hidden="1">0.000001</definedName>
    <definedName name="solver_pre" localSheetId="24" hidden="1">0.000001</definedName>
    <definedName name="solver_rel1" localSheetId="12" hidden="1">2</definedName>
    <definedName name="solver_rel1" localSheetId="24" hidden="1">2</definedName>
    <definedName name="solver_rhs1" localSheetId="12" hidden="1">' Chapitre 17'!#REF!</definedName>
    <definedName name="solver_rhs1" localSheetId="24" hidden="1">0</definedName>
    <definedName name="solver_scl" localSheetId="12" hidden="1">2</definedName>
    <definedName name="solver_scl" localSheetId="24" hidden="1">2</definedName>
    <definedName name="solver_sho" localSheetId="12" hidden="1">2</definedName>
    <definedName name="solver_sho" localSheetId="24" hidden="1">2</definedName>
    <definedName name="solver_tim" localSheetId="12" hidden="1">100</definedName>
    <definedName name="solver_tim" localSheetId="24" hidden="1">100</definedName>
    <definedName name="solver_tol" localSheetId="12" hidden="1">0.05</definedName>
    <definedName name="solver_tol" localSheetId="24" hidden="1">0.05</definedName>
    <definedName name="solver_typ" localSheetId="12" hidden="1">1</definedName>
    <definedName name="solver_typ" localSheetId="24" hidden="1">1</definedName>
    <definedName name="solver_val" localSheetId="24" hidden="1">0</definedName>
    <definedName name="TVA">' Chapitre 12'!$B$65</definedName>
    <definedName name="_xlnm.Print_Area" localSheetId="0">'Chapitre 2'!$A$1:$I$39</definedName>
    <definedName name="_xlnm.Print_Area" localSheetId="24">'Chapitre 30'!$A:$G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2" i="44" l="1"/>
  <c r="L92" i="44"/>
  <c r="M92" i="44"/>
  <c r="K93" i="44"/>
  <c r="L93" i="44"/>
  <c r="M93" i="44"/>
  <c r="B31" i="52"/>
  <c r="B26" i="52"/>
  <c r="G32" i="29"/>
  <c r="J23" i="29"/>
  <c r="H23" i="29"/>
  <c r="F23" i="29"/>
  <c r="G23" i="29" s="1"/>
  <c r="J22" i="29"/>
  <c r="H22" i="29"/>
  <c r="F22" i="29"/>
  <c r="G22" i="29" s="1"/>
  <c r="J21" i="29"/>
  <c r="H21" i="29"/>
  <c r="G21" i="29"/>
  <c r="D80" i="57"/>
  <c r="E80" i="57" s="1"/>
  <c r="F80" i="57" s="1"/>
  <c r="G80" i="57" s="1"/>
  <c r="H80" i="57" s="1"/>
  <c r="F73" i="57"/>
  <c r="F76" i="57" s="1"/>
  <c r="E73" i="57"/>
  <c r="E76" i="57" s="1"/>
  <c r="D73" i="57"/>
  <c r="D76" i="57" s="1"/>
  <c r="C73" i="57"/>
  <c r="C76" i="57" s="1"/>
  <c r="C45" i="57" s="1"/>
  <c r="C46" i="57" s="1"/>
  <c r="F72" i="57"/>
  <c r="E72" i="57"/>
  <c r="D72" i="57"/>
  <c r="C72" i="57"/>
  <c r="C77" i="57" s="1"/>
  <c r="F65" i="57"/>
  <c r="F66" i="57" s="1"/>
  <c r="E65" i="57"/>
  <c r="E66" i="57" s="1"/>
  <c r="D65" i="57"/>
  <c r="D66" i="57" s="1"/>
  <c r="C65" i="57"/>
  <c r="C66" i="57" s="1"/>
  <c r="F58" i="57"/>
  <c r="E58" i="57"/>
  <c r="D58" i="57"/>
  <c r="C58" i="57"/>
  <c r="F52" i="57"/>
  <c r="E52" i="57"/>
  <c r="D52" i="57"/>
  <c r="D44" i="57"/>
  <c r="F38" i="57"/>
  <c r="E38" i="57"/>
  <c r="D38" i="57"/>
  <c r="C38" i="57"/>
  <c r="F27" i="57"/>
  <c r="E27" i="57"/>
  <c r="D27" i="57"/>
  <c r="C27" i="57"/>
  <c r="C52" i="57" s="1"/>
  <c r="F17" i="57"/>
  <c r="E17" i="57"/>
  <c r="F16" i="57"/>
  <c r="F19" i="57" s="1"/>
  <c r="F21" i="57" s="1"/>
  <c r="E16" i="57"/>
  <c r="E19" i="57" s="1"/>
  <c r="E21" i="57" s="1"/>
  <c r="D16" i="57"/>
  <c r="D19" i="57" s="1"/>
  <c r="D21" i="57" s="1"/>
  <c r="F11" i="57"/>
  <c r="E11" i="57"/>
  <c r="D11" i="57"/>
  <c r="C11" i="57"/>
  <c r="C16" i="57" s="1"/>
  <c r="C19" i="57" s="1"/>
  <c r="C21" i="57" s="1"/>
  <c r="F9" i="57"/>
  <c r="F10" i="57" s="1"/>
  <c r="E9" i="57"/>
  <c r="E10" i="57" s="1"/>
  <c r="D9" i="57"/>
  <c r="D10" i="57" s="1"/>
  <c r="C9" i="57"/>
  <c r="C10" i="57" s="1"/>
  <c r="F8" i="57"/>
  <c r="E8" i="57"/>
  <c r="D8" i="57"/>
  <c r="F7" i="57"/>
  <c r="E7" i="57"/>
  <c r="D7" i="57"/>
  <c r="C7" i="57"/>
  <c r="C8" i="57" s="1"/>
  <c r="F5" i="57"/>
  <c r="E5" i="57"/>
  <c r="D5" i="57"/>
  <c r="C5" i="57"/>
  <c r="E32" i="57" l="1"/>
  <c r="E67" i="57"/>
  <c r="C28" i="57"/>
  <c r="C31" i="57" s="1"/>
  <c r="C33" i="57" s="1"/>
  <c r="C39" i="57" s="1"/>
  <c r="C43" i="57" s="1"/>
  <c r="C23" i="57"/>
  <c r="D23" i="57"/>
  <c r="D28" i="57"/>
  <c r="D31" i="57" s="1"/>
  <c r="F77" i="57"/>
  <c r="F45" i="57"/>
  <c r="F46" i="57"/>
  <c r="F28" i="57"/>
  <c r="F31" i="57" s="1"/>
  <c r="F23" i="57"/>
  <c r="D32" i="57"/>
  <c r="D67" i="57"/>
  <c r="F32" i="57"/>
  <c r="F67" i="57"/>
  <c r="C47" i="57"/>
  <c r="D77" i="57"/>
  <c r="D45" i="57"/>
  <c r="E45" i="57"/>
  <c r="F44" i="57" s="1"/>
  <c r="E77" i="57"/>
  <c r="E46" i="57"/>
  <c r="E23" i="57"/>
  <c r="E28" i="57"/>
  <c r="E31" i="57" s="1"/>
  <c r="E33" i="57" s="1"/>
  <c r="E39" i="57" s="1"/>
  <c r="E43" i="57" s="1"/>
  <c r="C67" i="57"/>
  <c r="F33" i="57" l="1"/>
  <c r="F39" i="57" s="1"/>
  <c r="F43" i="57" s="1"/>
  <c r="F47" i="57"/>
  <c r="D33" i="57"/>
  <c r="D39" i="57" s="1"/>
  <c r="D43" i="57" s="1"/>
  <c r="E47" i="57"/>
  <c r="D46" i="57"/>
  <c r="E44" i="57"/>
  <c r="D47" i="57" l="1"/>
  <c r="E31" i="18" l="1"/>
  <c r="C31" i="18" l="1"/>
  <c r="C50" i="18" s="1"/>
  <c r="C36" i="18"/>
  <c r="C40" i="18"/>
  <c r="C48" i="18" s="1"/>
  <c r="E7" i="18"/>
  <c r="E13" i="18" s="1"/>
  <c r="E17" i="18" s="1"/>
  <c r="E21" i="18" s="1"/>
  <c r="C7" i="18"/>
  <c r="C13" i="18" s="1"/>
  <c r="C17" i="18" s="1"/>
  <c r="C21" i="18" s="1"/>
  <c r="C37" i="18" l="1"/>
  <c r="B76" i="21"/>
  <c r="C51" i="18" l="1"/>
  <c r="C37" i="5"/>
  <c r="K90" i="44"/>
  <c r="B125" i="44" s="1"/>
  <c r="B126" i="44" s="1"/>
  <c r="K95" i="44"/>
  <c r="K94" i="44"/>
  <c r="K91" i="44"/>
  <c r="L95" i="44"/>
  <c r="M95" i="44" s="1"/>
  <c r="L94" i="44"/>
  <c r="M94" i="44" s="1"/>
  <c r="E51" i="18" l="1"/>
  <c r="B78" i="21"/>
  <c r="C54" i="18" l="1"/>
  <c r="E54" i="18"/>
  <c r="B45" i="5"/>
  <c r="B43" i="5"/>
  <c r="B41" i="5"/>
  <c r="B34" i="5"/>
  <c r="B31" i="5"/>
  <c r="B28" i="5"/>
  <c r="B37" i="53"/>
  <c r="B39" i="53" s="1"/>
  <c r="B80" i="40"/>
  <c r="B9" i="39"/>
  <c r="B128" i="44"/>
  <c r="L91" i="44"/>
  <c r="M91" i="44" s="1"/>
  <c r="E16" i="26" l="1"/>
  <c r="B79" i="6"/>
  <c r="D88" i="6"/>
  <c r="C88" i="6"/>
  <c r="B88" i="6"/>
  <c r="B85" i="44"/>
  <c r="D3" i="5"/>
  <c r="E40" i="18" l="1"/>
  <c r="D65" i="18" s="1"/>
  <c r="H13" i="45"/>
  <c r="G53" i="29"/>
  <c r="G52" i="29"/>
  <c r="B53" i="29"/>
  <c r="D53" i="29" s="1"/>
  <c r="D51" i="29"/>
  <c r="F51" i="29"/>
  <c r="H52" i="29"/>
  <c r="C50" i="29"/>
  <c r="I50" i="29"/>
  <c r="L53" i="29"/>
  <c r="L50" i="29"/>
  <c r="J52" i="29"/>
  <c r="K52" i="29" s="1"/>
  <c r="J51" i="29"/>
  <c r="L51" i="29" s="1"/>
  <c r="H50" i="29"/>
  <c r="D52" i="29"/>
  <c r="E36" i="18"/>
  <c r="F105" i="18"/>
  <c r="E105" i="18"/>
  <c r="D105" i="18"/>
  <c r="C105" i="18"/>
  <c r="B105" i="18"/>
  <c r="F100" i="18"/>
  <c r="F101" i="18" s="1"/>
  <c r="E100" i="18"/>
  <c r="E101" i="18" s="1"/>
  <c r="D100" i="18"/>
  <c r="D101" i="18" s="1"/>
  <c r="B100" i="18"/>
  <c r="B101" i="18" s="1"/>
  <c r="C98" i="18"/>
  <c r="D98" i="18" s="1"/>
  <c r="E98" i="18" s="1"/>
  <c r="F98" i="18" s="1"/>
  <c r="B83" i="18"/>
  <c r="B88" i="18" s="1"/>
  <c r="B87" i="18" s="1"/>
  <c r="B81" i="18"/>
  <c r="B59" i="18"/>
  <c r="F17" i="17"/>
  <c r="E17" i="17"/>
  <c r="D17" i="17"/>
  <c r="C17" i="17"/>
  <c r="F15" i="17"/>
  <c r="E15" i="17"/>
  <c r="D15" i="17"/>
  <c r="C15" i="17"/>
  <c r="F13" i="17"/>
  <c r="E13" i="17"/>
  <c r="D13" i="17"/>
  <c r="C13" i="17"/>
  <c r="F12" i="17"/>
  <c r="E12" i="17"/>
  <c r="D12" i="17"/>
  <c r="C12" i="17"/>
  <c r="F11" i="17"/>
  <c r="E11" i="17"/>
  <c r="D11" i="17"/>
  <c r="C11" i="17"/>
  <c r="C88" i="16"/>
  <c r="D88" i="16" s="1"/>
  <c r="C87" i="16"/>
  <c r="D87" i="16" s="1"/>
  <c r="C86" i="16"/>
  <c r="D86" i="16" s="1"/>
  <c r="C73" i="16"/>
  <c r="B73" i="16"/>
  <c r="C72" i="16"/>
  <c r="B72" i="16"/>
  <c r="C71" i="16"/>
  <c r="D71" i="16" s="1"/>
  <c r="C70" i="16"/>
  <c r="B70" i="16"/>
  <c r="B69" i="16"/>
  <c r="D69" i="16" s="1"/>
  <c r="C68" i="16"/>
  <c r="B68" i="16"/>
  <c r="F56" i="16"/>
  <c r="E56" i="16"/>
  <c r="D56" i="16"/>
  <c r="C56" i="16"/>
  <c r="B56" i="16"/>
  <c r="F55" i="16"/>
  <c r="E55" i="16"/>
  <c r="D55" i="16"/>
  <c r="C55" i="16"/>
  <c r="B55" i="16"/>
  <c r="F54" i="16"/>
  <c r="E54" i="16"/>
  <c r="D54" i="16"/>
  <c r="C54" i="16"/>
  <c r="B54" i="16"/>
  <c r="F52" i="16"/>
  <c r="F53" i="16" s="1"/>
  <c r="E52" i="16"/>
  <c r="E53" i="16" s="1"/>
  <c r="D52" i="16"/>
  <c r="D53" i="16" s="1"/>
  <c r="C52" i="16"/>
  <c r="C53" i="16" s="1"/>
  <c r="B52" i="16"/>
  <c r="B53" i="16" s="1"/>
  <c r="B37" i="16"/>
  <c r="C27" i="16"/>
  <c r="B27" i="16"/>
  <c r="C26" i="16"/>
  <c r="B26" i="16"/>
  <c r="C25" i="16"/>
  <c r="B25" i="16"/>
  <c r="C24" i="16"/>
  <c r="B24" i="16"/>
  <c r="C23" i="16"/>
  <c r="B23" i="16"/>
  <c r="C21" i="16"/>
  <c r="B21" i="16"/>
  <c r="C115" i="15"/>
  <c r="C109" i="15"/>
  <c r="C116" i="15" s="1"/>
  <c r="E100" i="15"/>
  <c r="D100" i="15"/>
  <c r="C100" i="15"/>
  <c r="E95" i="15"/>
  <c r="D95" i="15"/>
  <c r="C95" i="15"/>
  <c r="B95" i="15"/>
  <c r="E94" i="15"/>
  <c r="D94" i="15"/>
  <c r="C94" i="15"/>
  <c r="B94" i="15"/>
  <c r="E93" i="15"/>
  <c r="D93" i="15"/>
  <c r="C93" i="15"/>
  <c r="B93" i="15"/>
  <c r="E92" i="15"/>
  <c r="D92" i="15"/>
  <c r="C92" i="15"/>
  <c r="B92" i="15"/>
  <c r="E90" i="15"/>
  <c r="D90" i="15"/>
  <c r="C90" i="15"/>
  <c r="B90" i="15"/>
  <c r="E89" i="15"/>
  <c r="D89" i="15"/>
  <c r="C89" i="15"/>
  <c r="B89" i="15"/>
  <c r="E88" i="15"/>
  <c r="D88" i="15"/>
  <c r="C88" i="15"/>
  <c r="B88" i="15"/>
  <c r="D55" i="15"/>
  <c r="C55" i="15"/>
  <c r="B55" i="15"/>
  <c r="D54" i="15"/>
  <c r="C54" i="15"/>
  <c r="B54" i="15"/>
  <c r="D53" i="15"/>
  <c r="C53" i="15"/>
  <c r="B53" i="15"/>
  <c r="D51" i="15"/>
  <c r="C51" i="15"/>
  <c r="B51" i="15"/>
  <c r="D49" i="15"/>
  <c r="C49" i="15"/>
  <c r="B49" i="15"/>
  <c r="D48" i="15"/>
  <c r="C48" i="15"/>
  <c r="B48" i="15"/>
  <c r="D47" i="15"/>
  <c r="C47" i="15"/>
  <c r="B47" i="15"/>
  <c r="D46" i="15"/>
  <c r="C46" i="15"/>
  <c r="B46" i="15"/>
  <c r="D44" i="15"/>
  <c r="C44" i="15"/>
  <c r="B44" i="15"/>
  <c r="D43" i="15"/>
  <c r="D60" i="15" s="1"/>
  <c r="C43" i="15"/>
  <c r="C60" i="15" s="1"/>
  <c r="B43" i="15"/>
  <c r="B60" i="15" s="1"/>
  <c r="D36" i="15"/>
  <c r="C36" i="15"/>
  <c r="B36" i="15"/>
  <c r="D32" i="15"/>
  <c r="C32" i="15"/>
  <c r="B32" i="15"/>
  <c r="D24" i="15"/>
  <c r="C24" i="15"/>
  <c r="B24" i="15"/>
  <c r="E16" i="15"/>
  <c r="E17" i="15" s="1"/>
  <c r="D16" i="15"/>
  <c r="D17" i="15" s="1"/>
  <c r="C16" i="15"/>
  <c r="C17" i="15" s="1"/>
  <c r="B16" i="15"/>
  <c r="B17" i="15" s="1"/>
  <c r="E13" i="15"/>
  <c r="E14" i="15" s="1"/>
  <c r="D13" i="15"/>
  <c r="D14" i="15" s="1"/>
  <c r="C13" i="15"/>
  <c r="C14" i="15" s="1"/>
  <c r="B13" i="15"/>
  <c r="B14" i="15" s="1"/>
  <c r="E7" i="15"/>
  <c r="E9" i="15" s="1"/>
  <c r="E11" i="15" s="1"/>
  <c r="D7" i="15"/>
  <c r="D9" i="15" s="1"/>
  <c r="D11" i="15" s="1"/>
  <c r="C7" i="15"/>
  <c r="C9" i="15" s="1"/>
  <c r="C11" i="15" s="1"/>
  <c r="B7" i="15"/>
  <c r="B9" i="15" s="1"/>
  <c r="B11" i="15" s="1"/>
  <c r="B56" i="49"/>
  <c r="B51" i="49"/>
  <c r="B53" i="49" s="1"/>
  <c r="B49" i="49"/>
  <c r="B47" i="49"/>
  <c r="B44" i="49"/>
  <c r="B42" i="49"/>
  <c r="B37" i="49"/>
  <c r="B39" i="49" s="1"/>
  <c r="B41" i="49" s="1"/>
  <c r="F27" i="49"/>
  <c r="E27" i="49"/>
  <c r="D27" i="49"/>
  <c r="C27" i="49"/>
  <c r="B27" i="49"/>
  <c r="C21" i="49"/>
  <c r="D21" i="49" s="1"/>
  <c r="E21" i="49" s="1"/>
  <c r="F21" i="49" s="1"/>
  <c r="B12" i="49"/>
  <c r="C3" i="49"/>
  <c r="D3" i="49" s="1"/>
  <c r="E3" i="49" s="1"/>
  <c r="F3" i="49" s="1"/>
  <c r="F60" i="14"/>
  <c r="E60" i="14"/>
  <c r="D60" i="14"/>
  <c r="C60" i="14"/>
  <c r="B60" i="14"/>
  <c r="F56" i="14"/>
  <c r="E56" i="14"/>
  <c r="D56" i="14"/>
  <c r="C56" i="14"/>
  <c r="B56" i="14"/>
  <c r="C51" i="14"/>
  <c r="D51" i="14" s="1"/>
  <c r="E51" i="14" s="1"/>
  <c r="F51" i="14" s="1"/>
  <c r="B39" i="14"/>
  <c r="B40" i="14" s="1"/>
  <c r="B38" i="14"/>
  <c r="C38" i="14" s="1"/>
  <c r="D38" i="14" s="1"/>
  <c r="B37" i="14"/>
  <c r="C37" i="14" s="1"/>
  <c r="D37" i="14" s="1"/>
  <c r="B36" i="14"/>
  <c r="C36" i="14" s="1"/>
  <c r="D23" i="14"/>
  <c r="D25" i="14" s="1"/>
  <c r="C23" i="14"/>
  <c r="C24" i="14" s="1"/>
  <c r="B23" i="14"/>
  <c r="B24" i="14" s="1"/>
  <c r="D18" i="14"/>
  <c r="C18" i="14"/>
  <c r="B18" i="14"/>
  <c r="D17" i="14"/>
  <c r="C17" i="14"/>
  <c r="B17" i="14"/>
  <c r="D16" i="14"/>
  <c r="C16" i="14"/>
  <c r="B16" i="14"/>
  <c r="D15" i="14"/>
  <c r="C15" i="14"/>
  <c r="B15" i="14"/>
  <c r="D14" i="14"/>
  <c r="C14" i="14"/>
  <c r="B14" i="14"/>
  <c r="D13" i="14"/>
  <c r="C13" i="14"/>
  <c r="D48" i="8"/>
  <c r="C48" i="8"/>
  <c r="B48" i="8"/>
  <c r="D47" i="8"/>
  <c r="C47" i="8"/>
  <c r="B47" i="8"/>
  <c r="D46" i="8"/>
  <c r="C46" i="8"/>
  <c r="B46" i="8"/>
  <c r="D44" i="8"/>
  <c r="C44" i="8"/>
  <c r="B44" i="8"/>
  <c r="D43" i="8"/>
  <c r="C43" i="8"/>
  <c r="B43" i="8"/>
  <c r="D42" i="8"/>
  <c r="C42" i="8"/>
  <c r="B42" i="8"/>
  <c r="D41" i="8"/>
  <c r="C41" i="8"/>
  <c r="B41" i="8"/>
  <c r="D40" i="8"/>
  <c r="C40" i="8"/>
  <c r="B40" i="8"/>
  <c r="D39" i="8"/>
  <c r="C39" i="8"/>
  <c r="B39" i="8"/>
  <c r="D38" i="8"/>
  <c r="C38" i="8"/>
  <c r="B38" i="8"/>
  <c r="I33" i="8"/>
  <c r="H33" i="8"/>
  <c r="G33" i="8"/>
  <c r="G32" i="8"/>
  <c r="I31" i="8"/>
  <c r="H31" i="8"/>
  <c r="G31" i="8"/>
  <c r="D30" i="8"/>
  <c r="C30" i="8"/>
  <c r="B30" i="8"/>
  <c r="G29" i="8"/>
  <c r="G28" i="8" s="1"/>
  <c r="D29" i="8"/>
  <c r="C29" i="8"/>
  <c r="C27" i="8" s="1"/>
  <c r="B29" i="8"/>
  <c r="B27" i="8" s="1"/>
  <c r="I28" i="8"/>
  <c r="H28" i="8"/>
  <c r="D28" i="8"/>
  <c r="I26" i="8"/>
  <c r="H26" i="8"/>
  <c r="G26" i="8"/>
  <c r="D26" i="8"/>
  <c r="C26" i="8"/>
  <c r="B26" i="8"/>
  <c r="C21" i="8"/>
  <c r="B50" i="8" s="1"/>
  <c r="B21" i="8"/>
  <c r="H8" i="8"/>
  <c r="G8" i="8"/>
  <c r="C8" i="8"/>
  <c r="B8" i="8"/>
  <c r="C68" i="6"/>
  <c r="B68" i="6"/>
  <c r="K66" i="6"/>
  <c r="J66" i="6"/>
  <c r="K64" i="6"/>
  <c r="J64" i="6"/>
  <c r="I64" i="6"/>
  <c r="C62" i="6"/>
  <c r="B62" i="6"/>
  <c r="J60" i="6"/>
  <c r="K60" i="6" s="1"/>
  <c r="F49" i="6"/>
  <c r="F50" i="6" s="1"/>
  <c r="F51" i="6" s="1"/>
  <c r="F52" i="6" s="1"/>
  <c r="E49" i="6"/>
  <c r="E50" i="6" s="1"/>
  <c r="E51" i="6" s="1"/>
  <c r="E52" i="6" s="1"/>
  <c r="D49" i="6"/>
  <c r="D50" i="6" s="1"/>
  <c r="D51" i="6" s="1"/>
  <c r="D52" i="6" s="1"/>
  <c r="C49" i="6"/>
  <c r="C50" i="6" s="1"/>
  <c r="C51" i="6" s="1"/>
  <c r="C52" i="6" s="1"/>
  <c r="B49" i="6"/>
  <c r="B50" i="6" s="1"/>
  <c r="B51" i="6" s="1"/>
  <c r="B52" i="6" s="1"/>
  <c r="F44" i="6"/>
  <c r="F46" i="6" s="1"/>
  <c r="F47" i="6" s="1"/>
  <c r="F48" i="6" s="1"/>
  <c r="E44" i="6"/>
  <c r="E46" i="6" s="1"/>
  <c r="E47" i="6" s="1"/>
  <c r="E48" i="6" s="1"/>
  <c r="D44" i="6"/>
  <c r="D46" i="6" s="1"/>
  <c r="D47" i="6" s="1"/>
  <c r="D48" i="6" s="1"/>
  <c r="C44" i="6"/>
  <c r="C46" i="6" s="1"/>
  <c r="C47" i="6" s="1"/>
  <c r="C48" i="6" s="1"/>
  <c r="B44" i="6"/>
  <c r="B46" i="6" s="1"/>
  <c r="B47" i="6" s="1"/>
  <c r="B48" i="6" s="1"/>
  <c r="F39" i="6"/>
  <c r="E39" i="6"/>
  <c r="D39" i="6"/>
  <c r="C39" i="6"/>
  <c r="B39" i="6"/>
  <c r="F32" i="6"/>
  <c r="E32" i="6"/>
  <c r="D32" i="6"/>
  <c r="C32" i="6"/>
  <c r="B32" i="6"/>
  <c r="F16" i="6"/>
  <c r="F45" i="6" s="1"/>
  <c r="E16" i="6"/>
  <c r="E45" i="6" s="1"/>
  <c r="D16" i="6"/>
  <c r="D45" i="6" s="1"/>
  <c r="C16" i="6"/>
  <c r="C45" i="6" s="1"/>
  <c r="B16" i="6"/>
  <c r="B45" i="6" s="1"/>
  <c r="C45" i="5"/>
  <c r="C44" i="5"/>
  <c r="C43" i="5"/>
  <c r="C42" i="5"/>
  <c r="C34" i="5"/>
  <c r="C33" i="5"/>
  <c r="C31" i="5"/>
  <c r="C30" i="5"/>
  <c r="C29" i="5"/>
  <c r="C19" i="5"/>
  <c r="C20" i="5" s="1"/>
  <c r="E7" i="5"/>
  <c r="F7" i="5" s="1"/>
  <c r="C4" i="5"/>
  <c r="C9" i="5" s="1"/>
  <c r="C11" i="5" s="1"/>
  <c r="C12" i="5" s="1"/>
  <c r="C107" i="4"/>
  <c r="B107" i="4"/>
  <c r="C106" i="4"/>
  <c r="B106" i="4"/>
  <c r="C101" i="4"/>
  <c r="B101" i="4"/>
  <c r="C100" i="4"/>
  <c r="B100" i="4"/>
  <c r="C99" i="4"/>
  <c r="B99" i="4"/>
  <c r="B85" i="4"/>
  <c r="D74" i="4"/>
  <c r="D79" i="6" s="1"/>
  <c r="C74" i="4"/>
  <c r="C79" i="6" s="1"/>
  <c r="B70" i="4"/>
  <c r="B69" i="4" s="1"/>
  <c r="D69" i="4"/>
  <c r="C69" i="4"/>
  <c r="B68" i="4"/>
  <c r="B49" i="4"/>
  <c r="B53" i="4" s="1"/>
  <c r="D22" i="4" s="1"/>
  <c r="B46" i="4"/>
  <c r="B44" i="4" s="1"/>
  <c r="B9" i="4" s="1"/>
  <c r="G39" i="4"/>
  <c r="I39" i="4" s="1"/>
  <c r="J39" i="4" s="1"/>
  <c r="F39" i="4"/>
  <c r="D39" i="4"/>
  <c r="G38" i="4"/>
  <c r="I38" i="4" s="1"/>
  <c r="J38" i="4" s="1"/>
  <c r="F38" i="4"/>
  <c r="D38" i="4"/>
  <c r="G37" i="4"/>
  <c r="I37" i="4" s="1"/>
  <c r="J37" i="4" s="1"/>
  <c r="F37" i="4"/>
  <c r="D37" i="4"/>
  <c r="G36" i="4"/>
  <c r="I36" i="4" s="1"/>
  <c r="J36" i="4" s="1"/>
  <c r="F36" i="4"/>
  <c r="D36" i="4"/>
  <c r="G35" i="4"/>
  <c r="I35" i="4" s="1"/>
  <c r="J35" i="4" s="1"/>
  <c r="F35" i="4"/>
  <c r="D35" i="4"/>
  <c r="G34" i="4"/>
  <c r="I34" i="4" s="1"/>
  <c r="J34" i="4" s="1"/>
  <c r="F34" i="4"/>
  <c r="D34" i="4"/>
  <c r="G33" i="4"/>
  <c r="I33" i="4" s="1"/>
  <c r="J33" i="4" s="1"/>
  <c r="F33" i="4"/>
  <c r="D33" i="4"/>
  <c r="G32" i="4"/>
  <c r="I32" i="4" s="1"/>
  <c r="J32" i="4" s="1"/>
  <c r="F32" i="4"/>
  <c r="D32" i="4"/>
  <c r="I30" i="4"/>
  <c r="G3" i="4" s="1"/>
  <c r="G30" i="4"/>
  <c r="B30" i="4"/>
  <c r="F30" i="4" s="1"/>
  <c r="D19" i="4"/>
  <c r="D18" i="4" s="1"/>
  <c r="B15" i="4"/>
  <c r="G11" i="4" s="1"/>
  <c r="B5" i="1"/>
  <c r="B7" i="1" s="1"/>
  <c r="C5" i="1"/>
  <c r="C7" i="1" s="1"/>
  <c r="D5" i="1"/>
  <c r="D7" i="1" s="1"/>
  <c r="E5" i="1"/>
  <c r="E7" i="1" s="1"/>
  <c r="F5" i="1"/>
  <c r="F7" i="1" s="1"/>
  <c r="G5" i="1"/>
  <c r="G7" i="1" s="1"/>
  <c r="B8" i="1"/>
  <c r="D8" i="1" s="1"/>
  <c r="B9" i="1"/>
  <c r="F13" i="1"/>
  <c r="F12" i="1" s="1"/>
  <c r="G13" i="1"/>
  <c r="G12" i="1" s="1"/>
  <c r="H13" i="1"/>
  <c r="H12" i="1" s="1"/>
  <c r="I13" i="1"/>
  <c r="I12" i="1" s="1"/>
  <c r="J13" i="1"/>
  <c r="J12" i="1" s="1"/>
  <c r="K13" i="1"/>
  <c r="K12" i="1" s="1"/>
  <c r="L13" i="1"/>
  <c r="L12" i="1" s="1"/>
  <c r="M13" i="1"/>
  <c r="M12" i="1" s="1"/>
  <c r="N13" i="1"/>
  <c r="N12" i="1" s="1"/>
  <c r="O13" i="1"/>
  <c r="O12" i="1" s="1"/>
  <c r="P13" i="1"/>
  <c r="P12" i="1" s="1"/>
  <c r="Q13" i="1"/>
  <c r="Q12" i="1" s="1"/>
  <c r="R13" i="1"/>
  <c r="R12" i="1" s="1"/>
  <c r="S13" i="1"/>
  <c r="S12" i="1" s="1"/>
  <c r="T13" i="1"/>
  <c r="T12" i="1" s="1"/>
  <c r="U13" i="1"/>
  <c r="U12" i="1" s="1"/>
  <c r="V13" i="1"/>
  <c r="V12" i="1" s="1"/>
  <c r="W13" i="1"/>
  <c r="W12" i="1" s="1"/>
  <c r="X13" i="1"/>
  <c r="X12" i="1" s="1"/>
  <c r="Y13" i="1"/>
  <c r="Y12" i="1" s="1"/>
  <c r="Z13" i="1"/>
  <c r="Z12" i="1" s="1"/>
  <c r="AA13" i="1"/>
  <c r="AA12" i="1" s="1"/>
  <c r="AB13" i="1"/>
  <c r="AB12" i="1" s="1"/>
  <c r="AC13" i="1"/>
  <c r="AC12" i="1" s="1"/>
  <c r="AD13" i="1"/>
  <c r="AD12" i="1" s="1"/>
  <c r="AE13" i="1"/>
  <c r="AE12" i="1" s="1"/>
  <c r="AF13" i="1"/>
  <c r="AF12" i="1" s="1"/>
  <c r="AG13" i="1"/>
  <c r="AG12" i="1" s="1"/>
  <c r="AH13" i="1"/>
  <c r="AH12" i="1" s="1"/>
  <c r="AI13" i="1"/>
  <c r="AI12" i="1" s="1"/>
  <c r="AJ13" i="1"/>
  <c r="AJ12" i="1" s="1"/>
  <c r="AK13" i="1"/>
  <c r="AK12" i="1" s="1"/>
  <c r="AL13" i="1"/>
  <c r="AL12" i="1" s="1"/>
  <c r="AM13" i="1"/>
  <c r="AM12" i="1" s="1"/>
  <c r="AN13" i="1"/>
  <c r="AN12" i="1" s="1"/>
  <c r="AO13" i="1"/>
  <c r="AO12" i="1" s="1"/>
  <c r="B14" i="1"/>
  <c r="C14" i="1"/>
  <c r="D14" i="1"/>
  <c r="E14" i="1"/>
  <c r="F15" i="1"/>
  <c r="G15" i="1"/>
  <c r="G19" i="1" s="1"/>
  <c r="G21" i="1" s="1"/>
  <c r="H15" i="1"/>
  <c r="H19" i="1" s="1"/>
  <c r="H21" i="1" s="1"/>
  <c r="I15" i="1"/>
  <c r="I19" i="1" s="1"/>
  <c r="I21" i="1" s="1"/>
  <c r="J15" i="1"/>
  <c r="J19" i="1" s="1"/>
  <c r="J21" i="1" s="1"/>
  <c r="K15" i="1"/>
  <c r="K19" i="1" s="1"/>
  <c r="K21" i="1" s="1"/>
  <c r="L15" i="1"/>
  <c r="L19" i="1" s="1"/>
  <c r="L21" i="1" s="1"/>
  <c r="M15" i="1"/>
  <c r="M19" i="1" s="1"/>
  <c r="M21" i="1" s="1"/>
  <c r="N15" i="1"/>
  <c r="N19" i="1" s="1"/>
  <c r="N21" i="1" s="1"/>
  <c r="O15" i="1"/>
  <c r="O19" i="1" s="1"/>
  <c r="O21" i="1" s="1"/>
  <c r="P15" i="1"/>
  <c r="P19" i="1" s="1"/>
  <c r="P21" i="1" s="1"/>
  <c r="Q15" i="1"/>
  <c r="Q19" i="1" s="1"/>
  <c r="Q21" i="1" s="1"/>
  <c r="R15" i="1"/>
  <c r="R19" i="1" s="1"/>
  <c r="S15" i="1"/>
  <c r="T15" i="1"/>
  <c r="T19" i="1" s="1"/>
  <c r="T21" i="1" s="1"/>
  <c r="U15" i="1"/>
  <c r="U19" i="1" s="1"/>
  <c r="U21" i="1" s="1"/>
  <c r="V15" i="1"/>
  <c r="V19" i="1" s="1"/>
  <c r="V21" i="1" s="1"/>
  <c r="W15" i="1"/>
  <c r="W19" i="1" s="1"/>
  <c r="W21" i="1" s="1"/>
  <c r="X15" i="1"/>
  <c r="X19" i="1" s="1"/>
  <c r="X21" i="1" s="1"/>
  <c r="Y15" i="1"/>
  <c r="Y19" i="1" s="1"/>
  <c r="Y21" i="1" s="1"/>
  <c r="Z15" i="1"/>
  <c r="Z19" i="1" s="1"/>
  <c r="Z21" i="1" s="1"/>
  <c r="AA15" i="1"/>
  <c r="AA19" i="1" s="1"/>
  <c r="AA21" i="1" s="1"/>
  <c r="AB15" i="1"/>
  <c r="AB19" i="1" s="1"/>
  <c r="AB21" i="1" s="1"/>
  <c r="AC15" i="1"/>
  <c r="AC19" i="1" s="1"/>
  <c r="AC21" i="1" s="1"/>
  <c r="AD15" i="1"/>
  <c r="AE15" i="1"/>
  <c r="AE19" i="1" s="1"/>
  <c r="AE21" i="1" s="1"/>
  <c r="AF15" i="1"/>
  <c r="AF19" i="1" s="1"/>
  <c r="AF21" i="1" s="1"/>
  <c r="AG15" i="1"/>
  <c r="AG19" i="1" s="1"/>
  <c r="AG21" i="1" s="1"/>
  <c r="AH15" i="1"/>
  <c r="AH19" i="1" s="1"/>
  <c r="AH21" i="1" s="1"/>
  <c r="AI15" i="1"/>
  <c r="AI19" i="1" s="1"/>
  <c r="AI21" i="1" s="1"/>
  <c r="AJ15" i="1"/>
  <c r="AJ19" i="1" s="1"/>
  <c r="AJ21" i="1" s="1"/>
  <c r="AK15" i="1"/>
  <c r="AK19" i="1" s="1"/>
  <c r="AK21" i="1" s="1"/>
  <c r="AL15" i="1"/>
  <c r="AL19" i="1" s="1"/>
  <c r="AL21" i="1" s="1"/>
  <c r="AM15" i="1"/>
  <c r="AM19" i="1" s="1"/>
  <c r="AM21" i="1" s="1"/>
  <c r="AN15" i="1"/>
  <c r="AN19" i="1" s="1"/>
  <c r="AN21" i="1" s="1"/>
  <c r="AO15" i="1"/>
  <c r="AO19" i="1" s="1"/>
  <c r="AO21" i="1" s="1"/>
  <c r="B16" i="1"/>
  <c r="C16" i="1"/>
  <c r="D16" i="1"/>
  <c r="E16" i="1"/>
  <c r="B17" i="1"/>
  <c r="C17" i="1"/>
  <c r="D17" i="1"/>
  <c r="E17" i="1"/>
  <c r="B18" i="1"/>
  <c r="C18" i="1"/>
  <c r="D18" i="1"/>
  <c r="E18" i="1"/>
  <c r="B20" i="1"/>
  <c r="C20" i="1"/>
  <c r="D20" i="1"/>
  <c r="E20" i="1"/>
  <c r="G22" i="1"/>
  <c r="H22" i="1"/>
  <c r="I22" i="1"/>
  <c r="J22" i="1"/>
  <c r="K22" i="1"/>
  <c r="L22" i="1"/>
  <c r="M22" i="1"/>
  <c r="N22" i="1"/>
  <c r="O22" i="1"/>
  <c r="P22" i="1"/>
  <c r="Q22" i="1"/>
  <c r="R22" i="1"/>
  <c r="S22" i="1"/>
  <c r="T22" i="1"/>
  <c r="U22" i="1"/>
  <c r="V22" i="1"/>
  <c r="W22" i="1"/>
  <c r="X22" i="1"/>
  <c r="Y22" i="1"/>
  <c r="Z22" i="1"/>
  <c r="AA22" i="1"/>
  <c r="AB22" i="1"/>
  <c r="AC22" i="1"/>
  <c r="AD22" i="1"/>
  <c r="AE22" i="1"/>
  <c r="AF22" i="1"/>
  <c r="AG22" i="1"/>
  <c r="AH22" i="1"/>
  <c r="AI22" i="1"/>
  <c r="AJ22" i="1"/>
  <c r="AK22" i="1"/>
  <c r="AL22" i="1"/>
  <c r="AM22" i="1"/>
  <c r="AN22" i="1"/>
  <c r="AO22" i="1"/>
  <c r="D23" i="1"/>
  <c r="E23" i="1"/>
  <c r="F23" i="1"/>
  <c r="F22" i="1" s="1"/>
  <c r="B24" i="1"/>
  <c r="C24" i="1"/>
  <c r="D24" i="1"/>
  <c r="E24" i="1"/>
  <c r="E101" i="33"/>
  <c r="D48" i="33" s="1"/>
  <c r="B72" i="15" l="1"/>
  <c r="Y25" i="1"/>
  <c r="AG25" i="1"/>
  <c r="B108" i="4"/>
  <c r="C25" i="14"/>
  <c r="F44" i="15"/>
  <c r="C72" i="15"/>
  <c r="B87" i="15"/>
  <c r="B68" i="15"/>
  <c r="B70" i="15"/>
  <c r="B63" i="15"/>
  <c r="C64" i="15"/>
  <c r="G54" i="15"/>
  <c r="B14" i="4"/>
  <c r="G47" i="15"/>
  <c r="F51" i="15"/>
  <c r="G44" i="15"/>
  <c r="B6" i="4"/>
  <c r="G46" i="15"/>
  <c r="H38" i="4"/>
  <c r="AL25" i="1"/>
  <c r="V25" i="1"/>
  <c r="N25" i="1"/>
  <c r="C102" i="4"/>
  <c r="B43" i="49"/>
  <c r="B48" i="49" s="1"/>
  <c r="B50" i="49" s="1"/>
  <c r="B54" i="49" s="1"/>
  <c r="B58" i="49" s="1"/>
  <c r="M25" i="1"/>
  <c r="H34" i="4"/>
  <c r="AO25" i="1"/>
  <c r="Q25" i="1"/>
  <c r="I25" i="1"/>
  <c r="K67" i="6"/>
  <c r="C63" i="6" s="1"/>
  <c r="C64" i="6" s="1"/>
  <c r="C71" i="6" s="1"/>
  <c r="B66" i="15"/>
  <c r="C87" i="15"/>
  <c r="AK25" i="1"/>
  <c r="U25" i="1"/>
  <c r="D27" i="8"/>
  <c r="D34" i="8" s="1"/>
  <c r="C66" i="15"/>
  <c r="B71" i="15"/>
  <c r="AH25" i="1"/>
  <c r="Z25" i="1"/>
  <c r="J25" i="1"/>
  <c r="B102" i="4"/>
  <c r="E87" i="15"/>
  <c r="D73" i="16"/>
  <c r="B25" i="14"/>
  <c r="D33" i="15"/>
  <c r="D39" i="15" s="1"/>
  <c r="E91" i="15"/>
  <c r="D25" i="16"/>
  <c r="H25" i="1"/>
  <c r="AC25" i="1"/>
  <c r="G8" i="1"/>
  <c r="G9" i="1" s="1"/>
  <c r="C8" i="1"/>
  <c r="C9" i="1" s="1"/>
  <c r="J67" i="6"/>
  <c r="B63" i="6" s="1"/>
  <c r="B64" i="6" s="1"/>
  <c r="B71" i="6" s="1"/>
  <c r="G34" i="8"/>
  <c r="D45" i="8"/>
  <c r="D49" i="8" s="1"/>
  <c r="F47" i="15"/>
  <c r="D21" i="16"/>
  <c r="D26" i="16"/>
  <c r="I34" i="8"/>
  <c r="B5" i="4"/>
  <c r="H36" i="4"/>
  <c r="C86" i="4"/>
  <c r="C108" i="4"/>
  <c r="D23" i="16"/>
  <c r="C14" i="17"/>
  <c r="C19" i="17" s="1"/>
  <c r="AN25" i="1"/>
  <c r="AF25" i="1"/>
  <c r="X25" i="1"/>
  <c r="P25" i="1"/>
  <c r="F31" i="4"/>
  <c r="C91" i="15"/>
  <c r="D14" i="17"/>
  <c r="D19" i="17" s="1"/>
  <c r="AE25" i="1"/>
  <c r="W25" i="1"/>
  <c r="O25" i="1"/>
  <c r="G25" i="1"/>
  <c r="B86" i="4"/>
  <c r="B89" i="4" s="1"/>
  <c r="C34" i="8"/>
  <c r="H34" i="8"/>
  <c r="C33" i="15"/>
  <c r="C39" i="15" s="1"/>
  <c r="F46" i="15"/>
  <c r="C70" i="15"/>
  <c r="D87" i="15"/>
  <c r="D70" i="16"/>
  <c r="C76" i="4"/>
  <c r="C90" i="4" s="1"/>
  <c r="B76" i="4"/>
  <c r="B90" i="4" s="1"/>
  <c r="D76" i="4"/>
  <c r="D90" i="4" s="1"/>
  <c r="D65" i="15"/>
  <c r="B91" i="15"/>
  <c r="D27" i="16"/>
  <c r="D68" i="16"/>
  <c r="C52" i="18"/>
  <c r="C58" i="18" s="1"/>
  <c r="B58" i="18"/>
  <c r="E50" i="18"/>
  <c r="E52" i="18" s="1"/>
  <c r="E58" i="18" s="1"/>
  <c r="D58" i="18"/>
  <c r="D30" i="4"/>
  <c r="H30" i="4" s="1"/>
  <c r="H35" i="4"/>
  <c r="H37" i="4"/>
  <c r="C39" i="14"/>
  <c r="D39" i="14" s="1"/>
  <c r="F55" i="15"/>
  <c r="D9" i="1"/>
  <c r="H39" i="4"/>
  <c r="C23" i="1"/>
  <c r="F8" i="1"/>
  <c r="F9" i="1" s="1"/>
  <c r="AJ25" i="1"/>
  <c r="AB25" i="1"/>
  <c r="T25" i="1"/>
  <c r="L25" i="1"/>
  <c r="E8" i="1"/>
  <c r="E9" i="1" s="1"/>
  <c r="G10" i="4"/>
  <c r="H33" i="4"/>
  <c r="B66" i="4"/>
  <c r="B73" i="4" s="1"/>
  <c r="B75" i="4" s="1"/>
  <c r="D5" i="5"/>
  <c r="D4" i="5" s="1"/>
  <c r="B49" i="8"/>
  <c r="B51" i="8" s="1"/>
  <c r="B45" i="15"/>
  <c r="B62" i="15" s="1"/>
  <c r="D70" i="15"/>
  <c r="G55" i="15"/>
  <c r="D24" i="16"/>
  <c r="D22" i="1"/>
  <c r="E15" i="1"/>
  <c r="C29" i="1"/>
  <c r="AI25" i="1"/>
  <c r="AA25" i="1"/>
  <c r="D15" i="1"/>
  <c r="K25" i="1"/>
  <c r="C45" i="15"/>
  <c r="C62" i="15" s="1"/>
  <c r="G49" i="15"/>
  <c r="C61" i="15"/>
  <c r="E14" i="17"/>
  <c r="E19" i="17" s="1"/>
  <c r="AM25" i="1"/>
  <c r="B33" i="15"/>
  <c r="B39" i="15" s="1"/>
  <c r="C71" i="15"/>
  <c r="B64" i="15"/>
  <c r="F14" i="17"/>
  <c r="F19" i="17" s="1"/>
  <c r="E22" i="1"/>
  <c r="J30" i="4"/>
  <c r="B3" i="4" s="1"/>
  <c r="D86" i="4"/>
  <c r="F43" i="15"/>
  <c r="C63" i="15"/>
  <c r="B65" i="15"/>
  <c r="C68" i="15"/>
  <c r="D71" i="15"/>
  <c r="D91" i="15"/>
  <c r="B58" i="6"/>
  <c r="C58" i="6" s="1"/>
  <c r="D31" i="4"/>
  <c r="C46" i="5"/>
  <c r="C49" i="8"/>
  <c r="D24" i="14"/>
  <c r="B61" i="15"/>
  <c r="D63" i="15"/>
  <c r="C65" i="15"/>
  <c r="D68" i="15"/>
  <c r="F54" i="15"/>
  <c r="D72" i="16"/>
  <c r="E3" i="5"/>
  <c r="F3" i="5" s="1"/>
  <c r="E53" i="18"/>
  <c r="E65" i="18" s="1"/>
  <c r="D66" i="18"/>
  <c r="E59" i="18"/>
  <c r="C59" i="18"/>
  <c r="C35" i="5"/>
  <c r="E48" i="18"/>
  <c r="E37" i="18"/>
  <c r="B82" i="18"/>
  <c r="B86" i="18" s="1"/>
  <c r="B85" i="18" s="1"/>
  <c r="B84" i="18" s="1"/>
  <c r="C100" i="18"/>
  <c r="C101" i="18" s="1"/>
  <c r="C103" i="18" s="1"/>
  <c r="C32" i="5"/>
  <c r="E104" i="18"/>
  <c r="E103" i="18"/>
  <c r="B103" i="18"/>
  <c r="B104" i="18"/>
  <c r="D104" i="18"/>
  <c r="D103" i="18"/>
  <c r="F103" i="18"/>
  <c r="F104" i="18"/>
  <c r="D89" i="16"/>
  <c r="D61" i="15"/>
  <c r="G43" i="15"/>
  <c r="D45" i="15"/>
  <c r="F48" i="15"/>
  <c r="G51" i="15"/>
  <c r="D64" i="15"/>
  <c r="D72" i="15"/>
  <c r="G48" i="15"/>
  <c r="F53" i="15"/>
  <c r="D66" i="15"/>
  <c r="G53" i="15"/>
  <c r="F49" i="15"/>
  <c r="B44" i="14"/>
  <c r="B46" i="14"/>
  <c r="B43" i="14"/>
  <c r="B45" i="14"/>
  <c r="B34" i="8"/>
  <c r="C28" i="5"/>
  <c r="C41" i="5"/>
  <c r="G9" i="4"/>
  <c r="J31" i="4"/>
  <c r="B10" i="4" s="1"/>
  <c r="H32" i="4"/>
  <c r="C28" i="1"/>
  <c r="D30" i="1"/>
  <c r="C37" i="1"/>
  <c r="D28" i="1"/>
  <c r="C67" i="4" s="1"/>
  <c r="C66" i="4" s="1"/>
  <c r="C73" i="4" s="1"/>
  <c r="C75" i="4" s="1"/>
  <c r="E30" i="1"/>
  <c r="D37" i="1"/>
  <c r="C31" i="1"/>
  <c r="E37" i="1"/>
  <c r="E28" i="1"/>
  <c r="D67" i="4" s="1"/>
  <c r="D66" i="4" s="1"/>
  <c r="D73" i="4" s="1"/>
  <c r="D75" i="4" s="1"/>
  <c r="D31" i="1"/>
  <c r="C38" i="1"/>
  <c r="E34" i="1"/>
  <c r="D84" i="6" s="1"/>
  <c r="E31" i="1"/>
  <c r="D38" i="1"/>
  <c r="E36" i="1"/>
  <c r="D29" i="1"/>
  <c r="C32" i="1"/>
  <c r="C34" i="1"/>
  <c r="B84" i="6" s="1"/>
  <c r="E38" i="1"/>
  <c r="E32" i="1"/>
  <c r="E29" i="1"/>
  <c r="D32" i="1"/>
  <c r="D34" i="1"/>
  <c r="C84" i="6" s="1"/>
  <c r="D36" i="1"/>
  <c r="C30" i="1"/>
  <c r="D8" i="5" s="1"/>
  <c r="E8" i="5" s="1"/>
  <c r="F8" i="5" s="1"/>
  <c r="C36" i="1"/>
  <c r="B22" i="1"/>
  <c r="C22" i="1"/>
  <c r="B23" i="1"/>
  <c r="R21" i="1"/>
  <c r="AD19" i="1"/>
  <c r="F19" i="1"/>
  <c r="B15" i="1"/>
  <c r="C15" i="1"/>
  <c r="S19" i="1"/>
  <c r="S21" i="1" s="1"/>
  <c r="S25" i="1" s="1"/>
  <c r="E55" i="18" l="1"/>
  <c r="E66" i="18"/>
  <c r="C50" i="15"/>
  <c r="D102" i="15"/>
  <c r="D103" i="15" s="1"/>
  <c r="B97" i="15"/>
  <c r="B98" i="15" s="1"/>
  <c r="C43" i="14"/>
  <c r="B77" i="4"/>
  <c r="B79" i="4" s="1"/>
  <c r="B78" i="6" s="1"/>
  <c r="D28" i="16"/>
  <c r="B4" i="4"/>
  <c r="B7" i="4" s="1"/>
  <c r="D97" i="15"/>
  <c r="D98" i="15" s="1"/>
  <c r="C97" i="15"/>
  <c r="C98" i="15" s="1"/>
  <c r="G8" i="4"/>
  <c r="D17" i="4" s="1"/>
  <c r="D20" i="4" s="1"/>
  <c r="D23" i="4" s="1"/>
  <c r="D24" i="4" s="1"/>
  <c r="D26" i="4" s="1"/>
  <c r="H31" i="4"/>
  <c r="B11" i="4" s="1"/>
  <c r="B8" i="4" s="1"/>
  <c r="C77" i="4"/>
  <c r="C79" i="4" s="1"/>
  <c r="C78" i="6" s="1"/>
  <c r="C81" i="6" s="1"/>
  <c r="D77" i="4"/>
  <c r="D79" i="4" s="1"/>
  <c r="D78" i="6" s="1"/>
  <c r="D81" i="6" s="1"/>
  <c r="C45" i="14"/>
  <c r="B102" i="15"/>
  <c r="B103" i="15" s="1"/>
  <c r="D74" i="16"/>
  <c r="B29" i="1"/>
  <c r="C85" i="4"/>
  <c r="C89" i="4" s="1"/>
  <c r="C91" i="4" s="1"/>
  <c r="C93" i="4" s="1"/>
  <c r="C102" i="15"/>
  <c r="C103" i="15" s="1"/>
  <c r="B91" i="4"/>
  <c r="B93" i="4" s="1"/>
  <c r="E102" i="15"/>
  <c r="E103" i="15" s="1"/>
  <c r="D85" i="4"/>
  <c r="D89" i="4" s="1"/>
  <c r="D91" i="4" s="1"/>
  <c r="D93" i="4" s="1"/>
  <c r="C40" i="14"/>
  <c r="C44" i="14" s="1"/>
  <c r="H9" i="1"/>
  <c r="H8" i="1"/>
  <c r="E97" i="15"/>
  <c r="E98" i="15" s="1"/>
  <c r="E5" i="5"/>
  <c r="E4" i="5" s="1"/>
  <c r="E9" i="5" s="1"/>
  <c r="B66" i="18"/>
  <c r="C66" i="18"/>
  <c r="E16" i="5"/>
  <c r="D16" i="5"/>
  <c r="F16" i="5"/>
  <c r="B36" i="1"/>
  <c r="F45" i="15"/>
  <c r="D9" i="5"/>
  <c r="E67" i="18"/>
  <c r="B50" i="15"/>
  <c r="B52" i="15" s="1"/>
  <c r="B65" i="18"/>
  <c r="C53" i="18"/>
  <c r="C65" i="18" s="1"/>
  <c r="C61" i="18"/>
  <c r="C36" i="5"/>
  <c r="C38" i="5" s="1"/>
  <c r="C47" i="5"/>
  <c r="E61" i="18"/>
  <c r="C104" i="18"/>
  <c r="C106" i="18" s="1"/>
  <c r="C108" i="18" s="1"/>
  <c r="B89" i="18"/>
  <c r="F106" i="18"/>
  <c r="F108" i="18" s="1"/>
  <c r="E106" i="18"/>
  <c r="E108" i="18" s="1"/>
  <c r="B106" i="18"/>
  <c r="B108" i="18" s="1"/>
  <c r="D106" i="18"/>
  <c r="D108" i="18" s="1"/>
  <c r="C52" i="15"/>
  <c r="C67" i="15"/>
  <c r="D62" i="15"/>
  <c r="G45" i="15"/>
  <c r="D50" i="15"/>
  <c r="AD21" i="1"/>
  <c r="E19" i="1"/>
  <c r="D21" i="1"/>
  <c r="R25" i="1"/>
  <c r="D35" i="1"/>
  <c r="D33" i="1"/>
  <c r="B28" i="1"/>
  <c r="B34" i="1"/>
  <c r="D19" i="1"/>
  <c r="E33" i="1"/>
  <c r="C33" i="1"/>
  <c r="F21" i="1"/>
  <c r="B19" i="1"/>
  <c r="C19" i="1"/>
  <c r="C84" i="36"/>
  <c r="C83" i="36"/>
  <c r="D14" i="5" l="1"/>
  <c r="D40" i="14"/>
  <c r="F5" i="5"/>
  <c r="F4" i="5" s="1"/>
  <c r="F9" i="5" s="1"/>
  <c r="F11" i="5" s="1"/>
  <c r="F12" i="5" s="1"/>
  <c r="C46" i="14"/>
  <c r="C85" i="36"/>
  <c r="C91" i="6"/>
  <c r="F50" i="15"/>
  <c r="B67" i="15"/>
  <c r="B91" i="6"/>
  <c r="E11" i="5"/>
  <c r="E12" i="5" s="1"/>
  <c r="C82" i="6"/>
  <c r="D11" i="5"/>
  <c r="D12" i="5" s="1"/>
  <c r="B82" i="6"/>
  <c r="B89" i="6" s="1"/>
  <c r="E14" i="5"/>
  <c r="F14" i="5" s="1"/>
  <c r="B81" i="6"/>
  <c r="B13" i="4"/>
  <c r="D91" i="6"/>
  <c r="E62" i="18"/>
  <c r="D62" i="18"/>
  <c r="C62" i="18"/>
  <c r="B62" i="18"/>
  <c r="C67" i="18"/>
  <c r="C55" i="18"/>
  <c r="C39" i="5"/>
  <c r="D52" i="15"/>
  <c r="G50" i="15"/>
  <c r="D67" i="15"/>
  <c r="C56" i="15"/>
  <c r="F52" i="15"/>
  <c r="C69" i="15"/>
  <c r="B69" i="15"/>
  <c r="B56" i="15"/>
  <c r="B73" i="15" s="1"/>
  <c r="C35" i="1"/>
  <c r="F25" i="1"/>
  <c r="C21" i="1"/>
  <c r="B21" i="1"/>
  <c r="D25" i="1"/>
  <c r="D39" i="1"/>
  <c r="B33" i="1"/>
  <c r="E21" i="1"/>
  <c r="AD25" i="1"/>
  <c r="E35" i="1"/>
  <c r="D82" i="6" l="1"/>
  <c r="D89" i="6" s="1"/>
  <c r="B35" i="1"/>
  <c r="C83" i="6"/>
  <c r="C86" i="6" s="1"/>
  <c r="C89" i="6"/>
  <c r="D83" i="6"/>
  <c r="D86" i="6" s="1"/>
  <c r="B83" i="6"/>
  <c r="B86" i="6" s="1"/>
  <c r="C73" i="15"/>
  <c r="F56" i="15"/>
  <c r="G52" i="15"/>
  <c r="D69" i="15"/>
  <c r="D56" i="15"/>
  <c r="E25" i="1"/>
  <c r="E39" i="1"/>
  <c r="C25" i="1"/>
  <c r="C39" i="1"/>
  <c r="B25" i="1"/>
  <c r="B39" i="1" l="1"/>
  <c r="D18" i="5"/>
  <c r="D73" i="15"/>
  <c r="G56" i="15"/>
  <c r="B94" i="6" l="1"/>
  <c r="B95" i="6" s="1"/>
  <c r="E18" i="5"/>
  <c r="D19" i="5"/>
  <c r="D20" i="5" s="1"/>
  <c r="C94" i="6" l="1"/>
  <c r="C95" i="6" s="1"/>
  <c r="F18" i="5"/>
  <c r="E19" i="5"/>
  <c r="E20" i="5" s="1"/>
  <c r="D94" i="6" l="1"/>
  <c r="D95" i="6" s="1"/>
  <c r="F19" i="5"/>
  <c r="F20" i="5" s="1"/>
  <c r="B236" i="21" l="1"/>
  <c r="B83" i="36"/>
  <c r="B60" i="36"/>
  <c r="H30" i="29"/>
  <c r="G31" i="29"/>
  <c r="G30" i="29"/>
  <c r="F16" i="26"/>
  <c r="F17" i="26" s="1"/>
  <c r="E17" i="26"/>
  <c r="D16" i="26"/>
  <c r="D17" i="26" s="1"/>
  <c r="C16" i="26"/>
  <c r="C17" i="26" s="1"/>
  <c r="B16" i="26"/>
  <c r="B17" i="26" s="1"/>
  <c r="C77" i="33"/>
  <c r="F48" i="33" s="1"/>
  <c r="F101" i="33"/>
  <c r="F108" i="33" s="1"/>
  <c r="F111" i="33" s="1"/>
  <c r="F112" i="33" s="1"/>
  <c r="E108" i="33"/>
  <c r="D101" i="33"/>
  <c r="D108" i="33" s="1"/>
  <c r="C101" i="33"/>
  <c r="C108" i="33" s="1"/>
  <c r="C100" i="33"/>
  <c r="C47" i="33" s="1"/>
  <c r="F96" i="33"/>
  <c r="E96" i="33"/>
  <c r="D96" i="33"/>
  <c r="C96" i="33"/>
  <c r="F77" i="33"/>
  <c r="F84" i="33" s="1"/>
  <c r="F87" i="33" s="1"/>
  <c r="E77" i="33"/>
  <c r="G48" i="33" s="1"/>
  <c r="D77" i="33"/>
  <c r="D84" i="33" s="1"/>
  <c r="D87" i="33" s="1"/>
  <c r="D76" i="33"/>
  <c r="E76" i="33" s="1"/>
  <c r="F72" i="33"/>
  <c r="E72" i="33"/>
  <c r="D72" i="33"/>
  <c r="C72" i="33"/>
  <c r="F59" i="33"/>
  <c r="C59" i="33"/>
  <c r="F47" i="33"/>
  <c r="F213" i="23"/>
  <c r="E213" i="23"/>
  <c r="D213" i="23"/>
  <c r="C213" i="23"/>
  <c r="E209" i="23"/>
  <c r="E208" i="23"/>
  <c r="D209" i="23"/>
  <c r="D208" i="23"/>
  <c r="B16" i="41"/>
  <c r="C2" i="24"/>
  <c r="D2" i="24" s="1"/>
  <c r="E2" i="24" s="1"/>
  <c r="F2" i="24" s="1"/>
  <c r="G2" i="24" s="1"/>
  <c r="H2" i="24" s="1"/>
  <c r="I2" i="24" s="1"/>
  <c r="J2" i="24" s="1"/>
  <c r="K2" i="24" s="1"/>
  <c r="L2" i="24" s="1"/>
  <c r="M2" i="24" s="1"/>
  <c r="N2" i="24" s="1"/>
  <c r="D62" i="46"/>
  <c r="B63" i="46" s="1"/>
  <c r="F63" i="46" s="1"/>
  <c r="B64" i="46"/>
  <c r="F64" i="46" s="1"/>
  <c r="F49" i="67"/>
  <c r="F86" i="67" s="1"/>
  <c r="F83" i="67"/>
  <c r="B49" i="67"/>
  <c r="B86" i="67" s="1"/>
  <c r="C49" i="67"/>
  <c r="C86" i="67" s="1"/>
  <c r="C83" i="67"/>
  <c r="B83" i="67"/>
  <c r="D49" i="67"/>
  <c r="D86" i="67" s="1"/>
  <c r="D89" i="67" s="1"/>
  <c r="D83" i="67"/>
  <c r="E49" i="67"/>
  <c r="E50" i="67" s="1"/>
  <c r="E83" i="67"/>
  <c r="B76" i="40"/>
  <c r="B77" i="40" s="1"/>
  <c r="B78" i="40" s="1"/>
  <c r="B71" i="40"/>
  <c r="D76" i="40" s="1"/>
  <c r="D77" i="40"/>
  <c r="B65" i="40"/>
  <c r="B36" i="30"/>
  <c r="B41" i="30" s="1"/>
  <c r="B51" i="30"/>
  <c r="B40" i="30"/>
  <c r="C11" i="24"/>
  <c r="J11" i="24"/>
  <c r="D11" i="24"/>
  <c r="E11" i="24"/>
  <c r="F11" i="24"/>
  <c r="G11" i="24"/>
  <c r="H11" i="24"/>
  <c r="I11" i="24"/>
  <c r="K11" i="24"/>
  <c r="L11" i="24"/>
  <c r="M11" i="24"/>
  <c r="N11" i="24"/>
  <c r="C10" i="24"/>
  <c r="D10" i="24"/>
  <c r="E10" i="24"/>
  <c r="F10" i="24"/>
  <c r="G10" i="24"/>
  <c r="H10" i="24"/>
  <c r="I10" i="24"/>
  <c r="J10" i="24"/>
  <c r="K10" i="24"/>
  <c r="L10" i="24"/>
  <c r="M10" i="24"/>
  <c r="N10" i="24"/>
  <c r="B99" i="21"/>
  <c r="B100" i="21"/>
  <c r="B101" i="21"/>
  <c r="B102" i="21"/>
  <c r="B103" i="21"/>
  <c r="B118" i="21"/>
  <c r="B122" i="21"/>
  <c r="B128" i="21"/>
  <c r="B132" i="21"/>
  <c r="C136" i="21"/>
  <c r="D136" i="21" s="1"/>
  <c r="B151" i="21"/>
  <c r="B154" i="21"/>
  <c r="C151" i="21"/>
  <c r="C154" i="21"/>
  <c r="B164" i="21"/>
  <c r="B169" i="21"/>
  <c r="B180" i="21"/>
  <c r="B194" i="21"/>
  <c r="B195" i="21"/>
  <c r="C204" i="21"/>
  <c r="D204" i="21" s="1"/>
  <c r="E204" i="21" s="1"/>
  <c r="F204" i="21" s="1"/>
  <c r="G204" i="21" s="1"/>
  <c r="H204" i="21" s="1"/>
  <c r="I204" i="21" s="1"/>
  <c r="J204" i="21" s="1"/>
  <c r="K204" i="21" s="1"/>
  <c r="L204" i="21" s="1"/>
  <c r="M204" i="21" s="1"/>
  <c r="N204" i="21" s="1"/>
  <c r="O204" i="21" s="1"/>
  <c r="P204" i="21" s="1"/>
  <c r="Q204" i="21" s="1"/>
  <c r="R204" i="21" s="1"/>
  <c r="S204" i="21" s="1"/>
  <c r="T204" i="21" s="1"/>
  <c r="U204" i="21" s="1"/>
  <c r="V204" i="21" s="1"/>
  <c r="W204" i="21" s="1"/>
  <c r="X204" i="21" s="1"/>
  <c r="Y204" i="21" s="1"/>
  <c r="Z204" i="21" s="1"/>
  <c r="AA204" i="21" s="1"/>
  <c r="AB204" i="21" s="1"/>
  <c r="AC204" i="21" s="1"/>
  <c r="AD204" i="21" s="1"/>
  <c r="AE204" i="21" s="1"/>
  <c r="AF204" i="21" s="1"/>
  <c r="AG204" i="21" s="1"/>
  <c r="AH204" i="21" s="1"/>
  <c r="AI204" i="21" s="1"/>
  <c r="AJ204" i="21" s="1"/>
  <c r="AK204" i="21" s="1"/>
  <c r="AL204" i="21" s="1"/>
  <c r="AM204" i="21" s="1"/>
  <c r="AN204" i="21" s="1"/>
  <c r="AO204" i="21" s="1"/>
  <c r="AP204" i="21" s="1"/>
  <c r="B205" i="21"/>
  <c r="C219" i="21"/>
  <c r="D219" i="21" s="1"/>
  <c r="E219" i="21" s="1"/>
  <c r="F219" i="21" s="1"/>
  <c r="G219" i="21" s="1"/>
  <c r="H219" i="21" s="1"/>
  <c r="I219" i="21" s="1"/>
  <c r="J219" i="21" s="1"/>
  <c r="K219" i="21" s="1"/>
  <c r="L219" i="21" s="1"/>
  <c r="M219" i="21" s="1"/>
  <c r="N219" i="21" s="1"/>
  <c r="O219" i="21" s="1"/>
  <c r="P219" i="21" s="1"/>
  <c r="Q219" i="21" s="1"/>
  <c r="R219" i="21" s="1"/>
  <c r="S219" i="21" s="1"/>
  <c r="T219" i="21" s="1"/>
  <c r="U219" i="21" s="1"/>
  <c r="V219" i="21" s="1"/>
  <c r="W219" i="21" s="1"/>
  <c r="X219" i="21" s="1"/>
  <c r="Y219" i="21" s="1"/>
  <c r="Z219" i="21" s="1"/>
  <c r="AA219" i="21" s="1"/>
  <c r="AB219" i="21" s="1"/>
  <c r="AC219" i="21" s="1"/>
  <c r="AD219" i="21" s="1"/>
  <c r="AE219" i="21" s="1"/>
  <c r="AF219" i="21" s="1"/>
  <c r="AG219" i="21" s="1"/>
  <c r="AH219" i="21" s="1"/>
  <c r="AI219" i="21" s="1"/>
  <c r="AJ219" i="21" s="1"/>
  <c r="AK219" i="21" s="1"/>
  <c r="AL219" i="21" s="1"/>
  <c r="AM219" i="21" s="1"/>
  <c r="AN219" i="21" s="1"/>
  <c r="AO219" i="21" s="1"/>
  <c r="AP219" i="21" s="1"/>
  <c r="B220" i="21"/>
  <c r="B32" i="52"/>
  <c r="F76" i="21"/>
  <c r="F78" i="21" s="1"/>
  <c r="H78" i="21" s="1"/>
  <c r="B6" i="24"/>
  <c r="B117" i="70"/>
  <c r="B130" i="70" s="1"/>
  <c r="C84" i="70"/>
  <c r="C86" i="70" s="1"/>
  <c r="C88" i="70" s="1"/>
  <c r="C113" i="70"/>
  <c r="C115" i="70"/>
  <c r="D86" i="70"/>
  <c r="D87" i="70"/>
  <c r="D113" i="70" s="1"/>
  <c r="D115" i="70"/>
  <c r="E86" i="70"/>
  <c r="E115" i="70"/>
  <c r="F86" i="70"/>
  <c r="F115" i="70"/>
  <c r="G86" i="70"/>
  <c r="G115" i="70"/>
  <c r="H86" i="70"/>
  <c r="H115" i="70"/>
  <c r="I81" i="70"/>
  <c r="J81" i="70" s="1"/>
  <c r="K81" i="70" s="1"/>
  <c r="L81" i="70" s="1"/>
  <c r="I82" i="70"/>
  <c r="I83" i="70"/>
  <c r="J83" i="70" s="1"/>
  <c r="K83" i="70" s="1"/>
  <c r="L83" i="70" s="1"/>
  <c r="M83" i="70" s="1"/>
  <c r="N83" i="70" s="1"/>
  <c r="O83" i="70" s="1"/>
  <c r="P83" i="70" s="1"/>
  <c r="Q83" i="70" s="1"/>
  <c r="R83" i="70" s="1"/>
  <c r="S83" i="70" s="1"/>
  <c r="T83" i="70" s="1"/>
  <c r="U83" i="70" s="1"/>
  <c r="V83" i="70" s="1"/>
  <c r="I84" i="70"/>
  <c r="J84" i="70" s="1"/>
  <c r="K84" i="70" s="1"/>
  <c r="L84" i="70" s="1"/>
  <c r="M84" i="70" s="1"/>
  <c r="N84" i="70" s="1"/>
  <c r="O84" i="70" s="1"/>
  <c r="P84" i="70" s="1"/>
  <c r="Q84" i="70" s="1"/>
  <c r="R84" i="70" s="1"/>
  <c r="S84" i="70" s="1"/>
  <c r="T84" i="70" s="1"/>
  <c r="U84" i="70" s="1"/>
  <c r="V84" i="70" s="1"/>
  <c r="I115" i="70"/>
  <c r="J115" i="70"/>
  <c r="K115" i="70"/>
  <c r="L115" i="70"/>
  <c r="M115" i="70"/>
  <c r="N115" i="70"/>
  <c r="O115" i="70"/>
  <c r="P115" i="70"/>
  <c r="Q115" i="70"/>
  <c r="R113" i="70"/>
  <c r="R115" i="70"/>
  <c r="S87" i="70"/>
  <c r="S115" i="70"/>
  <c r="T115" i="70"/>
  <c r="U115" i="70"/>
  <c r="V115" i="70"/>
  <c r="I12" i="70"/>
  <c r="J12" i="70" s="1"/>
  <c r="K12" i="70" s="1"/>
  <c r="L12" i="70" s="1"/>
  <c r="M12" i="70" s="1"/>
  <c r="N12" i="70" s="1"/>
  <c r="O12" i="70" s="1"/>
  <c r="P12" i="70" s="1"/>
  <c r="Q12" i="70" s="1"/>
  <c r="R12" i="70" s="1"/>
  <c r="S12" i="70" s="1"/>
  <c r="T12" i="70" s="1"/>
  <c r="U12" i="70" s="1"/>
  <c r="V12" i="70" s="1"/>
  <c r="I11" i="70"/>
  <c r="J11" i="70" s="1"/>
  <c r="K11" i="70" s="1"/>
  <c r="L11" i="70" s="1"/>
  <c r="M11" i="70" s="1"/>
  <c r="N11" i="70" s="1"/>
  <c r="O11" i="70" s="1"/>
  <c r="P11" i="70" s="1"/>
  <c r="Q11" i="70" s="1"/>
  <c r="R11" i="70" s="1"/>
  <c r="S11" i="70" s="1"/>
  <c r="T11" i="70" s="1"/>
  <c r="U11" i="70" s="1"/>
  <c r="V11" i="70" s="1"/>
  <c r="I10" i="70"/>
  <c r="J10" i="70" s="1"/>
  <c r="K10" i="70" s="1"/>
  <c r="L10" i="70" s="1"/>
  <c r="M10" i="70" s="1"/>
  <c r="N10" i="70" s="1"/>
  <c r="O10" i="70" s="1"/>
  <c r="P10" i="70" s="1"/>
  <c r="Q10" i="70" s="1"/>
  <c r="R10" i="70" s="1"/>
  <c r="S10" i="70" s="1"/>
  <c r="T10" i="70" s="1"/>
  <c r="U10" i="70" s="1"/>
  <c r="V10" i="70" s="1"/>
  <c r="I9" i="70"/>
  <c r="I8" i="70"/>
  <c r="J8" i="70" s="1"/>
  <c r="K8" i="70" s="1"/>
  <c r="L8" i="70" s="1"/>
  <c r="M8" i="70" s="1"/>
  <c r="N8" i="70" s="1"/>
  <c r="O8" i="70" s="1"/>
  <c r="P8" i="70" s="1"/>
  <c r="Q8" i="70" s="1"/>
  <c r="R8" i="70" s="1"/>
  <c r="S8" i="70" s="1"/>
  <c r="T8" i="70" s="1"/>
  <c r="U8" i="70" s="1"/>
  <c r="V8" i="70" s="1"/>
  <c r="B30" i="70"/>
  <c r="V110" i="70"/>
  <c r="U110" i="70"/>
  <c r="T110" i="70"/>
  <c r="S110" i="70"/>
  <c r="R110" i="70"/>
  <c r="Q110" i="70"/>
  <c r="P110" i="70"/>
  <c r="O110" i="70"/>
  <c r="N110" i="70"/>
  <c r="M110" i="70"/>
  <c r="L110" i="70"/>
  <c r="K110" i="70"/>
  <c r="J110" i="70"/>
  <c r="I110" i="70"/>
  <c r="H110" i="70"/>
  <c r="G110" i="70"/>
  <c r="F110" i="70"/>
  <c r="E110" i="70"/>
  <c r="D110" i="70"/>
  <c r="C110" i="70"/>
  <c r="B110" i="70"/>
  <c r="B103" i="70"/>
  <c r="B104" i="70" s="1"/>
  <c r="C99" i="70"/>
  <c r="C101" i="70" s="1"/>
  <c r="B101" i="70"/>
  <c r="V97" i="70"/>
  <c r="U97" i="70"/>
  <c r="T97" i="70"/>
  <c r="S97" i="70"/>
  <c r="R97" i="70"/>
  <c r="Q97" i="70"/>
  <c r="P97" i="70"/>
  <c r="O97" i="70"/>
  <c r="N97" i="70"/>
  <c r="M97" i="70"/>
  <c r="L97" i="70"/>
  <c r="K97" i="70"/>
  <c r="J97" i="70"/>
  <c r="I97" i="70"/>
  <c r="H97" i="70"/>
  <c r="G97" i="70"/>
  <c r="F97" i="70"/>
  <c r="E97" i="70"/>
  <c r="D97" i="70"/>
  <c r="C97" i="70"/>
  <c r="B97" i="70"/>
  <c r="B44" i="70"/>
  <c r="C14" i="70"/>
  <c r="C40" i="70" s="1"/>
  <c r="C11" i="70"/>
  <c r="C13" i="70" s="1"/>
  <c r="C42" i="70"/>
  <c r="D13" i="70"/>
  <c r="D42" i="70"/>
  <c r="E13" i="70"/>
  <c r="E42" i="70"/>
  <c r="F13" i="70"/>
  <c r="F42" i="70"/>
  <c r="G13" i="70"/>
  <c r="G42" i="70"/>
  <c r="H13" i="70"/>
  <c r="H42" i="70"/>
  <c r="I42" i="70"/>
  <c r="J42" i="70"/>
  <c r="K42" i="70"/>
  <c r="L42" i="70"/>
  <c r="M42" i="70"/>
  <c r="N42" i="70"/>
  <c r="O42" i="70"/>
  <c r="P42" i="70"/>
  <c r="Q42" i="70"/>
  <c r="R40" i="70"/>
  <c r="R42" i="70"/>
  <c r="S14" i="70"/>
  <c r="S42" i="70"/>
  <c r="T42" i="70"/>
  <c r="U42" i="70"/>
  <c r="V42" i="70"/>
  <c r="V37" i="70"/>
  <c r="U37" i="70"/>
  <c r="T37" i="70"/>
  <c r="S37" i="70"/>
  <c r="R37" i="70"/>
  <c r="Q37" i="70"/>
  <c r="P37" i="70"/>
  <c r="O37" i="70"/>
  <c r="N37" i="70"/>
  <c r="M37" i="70"/>
  <c r="L37" i="70"/>
  <c r="K37" i="70"/>
  <c r="J37" i="70"/>
  <c r="I37" i="70"/>
  <c r="H37" i="70"/>
  <c r="G37" i="70"/>
  <c r="F37" i="70"/>
  <c r="E37" i="70"/>
  <c r="D37" i="70"/>
  <c r="C37" i="70"/>
  <c r="B37" i="70"/>
  <c r="IV31" i="70"/>
  <c r="B28" i="70"/>
  <c r="V24" i="70"/>
  <c r="U24" i="70"/>
  <c r="T24" i="70"/>
  <c r="S24" i="70"/>
  <c r="R24" i="70"/>
  <c r="Q24" i="70"/>
  <c r="P24" i="70"/>
  <c r="O24" i="70"/>
  <c r="N24" i="70"/>
  <c r="M24" i="70"/>
  <c r="L24" i="70"/>
  <c r="K24" i="70"/>
  <c r="J24" i="70"/>
  <c r="I24" i="70"/>
  <c r="H24" i="70"/>
  <c r="G24" i="70"/>
  <c r="F24" i="70"/>
  <c r="E24" i="70"/>
  <c r="D24" i="70"/>
  <c r="C24" i="70"/>
  <c r="B24" i="70"/>
  <c r="C36" i="30"/>
  <c r="C41" i="30" s="1"/>
  <c r="J3" i="46"/>
  <c r="B4" i="46"/>
  <c r="C11" i="46" s="1"/>
  <c r="B6" i="46"/>
  <c r="B13" i="46" s="1"/>
  <c r="C6" i="46"/>
  <c r="I7" i="46" s="1"/>
  <c r="B11" i="46"/>
  <c r="B15" i="46"/>
  <c r="C15" i="46"/>
  <c r="B31" i="46"/>
  <c r="C31" i="46"/>
  <c r="B33" i="46"/>
  <c r="C33" i="46"/>
  <c r="B35" i="46"/>
  <c r="C35" i="46"/>
  <c r="D46" i="46"/>
  <c r="B47" i="46" s="1"/>
  <c r="F47" i="46" s="1"/>
  <c r="F46" i="46"/>
  <c r="H47" i="46"/>
  <c r="F59" i="46"/>
  <c r="F60" i="46"/>
  <c r="F61" i="46"/>
  <c r="F62" i="46"/>
  <c r="C18" i="67"/>
  <c r="B24" i="67"/>
  <c r="B25" i="67"/>
  <c r="B127" i="67"/>
  <c r="B79" i="54"/>
  <c r="C79" i="54"/>
  <c r="B83" i="54"/>
  <c r="B84" i="54"/>
  <c r="B88" i="54"/>
  <c r="D4" i="54"/>
  <c r="E4" i="54" s="1"/>
  <c r="C9" i="54"/>
  <c r="D9" i="54"/>
  <c r="E9" i="54"/>
  <c r="B31" i="54"/>
  <c r="B32" i="54"/>
  <c r="B33" i="54"/>
  <c r="B40" i="54"/>
  <c r="B54" i="54"/>
  <c r="B60" i="54"/>
  <c r="B7" i="45"/>
  <c r="C7" i="45"/>
  <c r="B8" i="45"/>
  <c r="C8" i="45"/>
  <c r="B9" i="45"/>
  <c r="C9" i="45"/>
  <c r="G13" i="45"/>
  <c r="G14" i="45"/>
  <c r="H14" i="45"/>
  <c r="B18" i="45"/>
  <c r="E17" i="45" s="1"/>
  <c r="B21" i="45" s="1"/>
  <c r="B19" i="45"/>
  <c r="B27" i="45"/>
  <c r="B29" i="45" s="1"/>
  <c r="B30" i="45" s="1"/>
  <c r="C27" i="45"/>
  <c r="C29" i="45" s="1"/>
  <c r="C31" i="45" s="1"/>
  <c r="B28" i="45"/>
  <c r="C28" i="45"/>
  <c r="B39" i="45"/>
  <c r="B41" i="45" s="1"/>
  <c r="D41" i="45" s="1"/>
  <c r="B49" i="45"/>
  <c r="B53" i="45" s="1"/>
  <c r="B54" i="45"/>
  <c r="B5" i="53"/>
  <c r="B13" i="53"/>
  <c r="D12" i="53" s="1"/>
  <c r="D13" i="53" s="1"/>
  <c r="B44" i="53"/>
  <c r="B42" i="53" s="1"/>
  <c r="B5" i="69"/>
  <c r="B6" i="69" s="1"/>
  <c r="B13" i="69"/>
  <c r="B23" i="69" s="1"/>
  <c r="B22" i="69" s="1"/>
  <c r="B18" i="69"/>
  <c r="B36" i="69"/>
  <c r="B37" i="69"/>
  <c r="B41" i="69"/>
  <c r="B44" i="69"/>
  <c r="B49" i="69"/>
  <c r="B61" i="69"/>
  <c r="B66" i="69" s="1"/>
  <c r="C61" i="69"/>
  <c r="C62" i="69"/>
  <c r="D62" i="69" s="1"/>
  <c r="D61" i="69"/>
  <c r="B65" i="69"/>
  <c r="B69" i="69"/>
  <c r="C3" i="40"/>
  <c r="C4" i="40"/>
  <c r="C55" i="40" s="1"/>
  <c r="C6" i="40"/>
  <c r="C7" i="40"/>
  <c r="C15" i="40" s="1"/>
  <c r="B9" i="40"/>
  <c r="B11" i="40" s="1"/>
  <c r="B26" i="40" s="1"/>
  <c r="B14" i="40"/>
  <c r="B48" i="40" s="1"/>
  <c r="B15" i="40"/>
  <c r="B32" i="40"/>
  <c r="B18" i="40"/>
  <c r="B40" i="40"/>
  <c r="B52" i="40" s="1"/>
  <c r="B56" i="40" s="1"/>
  <c r="B41" i="40"/>
  <c r="C41" i="40"/>
  <c r="B55" i="40"/>
  <c r="B8" i="39"/>
  <c r="C17" i="39"/>
  <c r="D17" i="39" s="1"/>
  <c r="C18" i="39"/>
  <c r="D18" i="39" s="1"/>
  <c r="C19" i="39"/>
  <c r="D19" i="39" s="1"/>
  <c r="C20" i="39"/>
  <c r="D20" i="39" s="1"/>
  <c r="D25" i="39"/>
  <c r="B27" i="39"/>
  <c r="B29" i="39"/>
  <c r="A42" i="39"/>
  <c r="A43" i="39" s="1"/>
  <c r="A53" i="39"/>
  <c r="B53" i="39"/>
  <c r="C53" i="39"/>
  <c r="B54" i="39"/>
  <c r="C54" i="39"/>
  <c r="B55" i="39"/>
  <c r="C55" i="39"/>
  <c r="B56" i="39"/>
  <c r="C56" i="39"/>
  <c r="B57" i="39"/>
  <c r="C57" i="39"/>
  <c r="B58" i="39"/>
  <c r="C58" i="39"/>
  <c r="B62" i="39"/>
  <c r="B63" i="39"/>
  <c r="B64" i="39"/>
  <c r="B65" i="39"/>
  <c r="B66" i="39"/>
  <c r="B6" i="38"/>
  <c r="B19" i="38" s="1"/>
  <c r="B13" i="38"/>
  <c r="D28" i="38"/>
  <c r="G28" i="38"/>
  <c r="I28" i="38" s="1"/>
  <c r="J28" i="38" s="1"/>
  <c r="B29" i="38" s="1"/>
  <c r="G29" i="38"/>
  <c r="I29" i="38" s="1"/>
  <c r="A29" i="38"/>
  <c r="A30" i="38" s="1"/>
  <c r="A31" i="38" s="1"/>
  <c r="A32" i="38" s="1"/>
  <c r="A33" i="38" s="1"/>
  <c r="G30" i="38"/>
  <c r="I30" i="38" s="1"/>
  <c r="G31" i="38"/>
  <c r="I31" i="38" s="1"/>
  <c r="G32" i="38"/>
  <c r="I32" i="38" s="1"/>
  <c r="G33" i="38"/>
  <c r="I33" i="38" s="1"/>
  <c r="C9" i="43"/>
  <c r="D9" i="43"/>
  <c r="E9" i="43"/>
  <c r="F9" i="43"/>
  <c r="G9" i="43"/>
  <c r="C15" i="43"/>
  <c r="D15" i="43"/>
  <c r="E15" i="43"/>
  <c r="F15" i="43"/>
  <c r="G15" i="43"/>
  <c r="B20" i="43"/>
  <c r="G18" i="43" s="1"/>
  <c r="B15" i="34"/>
  <c r="B16" i="34"/>
  <c r="B17" i="34" s="1"/>
  <c r="B21" i="34"/>
  <c r="B22" i="34" s="1"/>
  <c r="B27" i="34"/>
  <c r="B28" i="34"/>
  <c r="B29" i="34" s="1"/>
  <c r="C42" i="34"/>
  <c r="C46" i="34" s="1"/>
  <c r="E42" i="34"/>
  <c r="E46" i="34" s="1"/>
  <c r="C47" i="34"/>
  <c r="E47" i="34"/>
  <c r="B53" i="34"/>
  <c r="B54" i="34"/>
  <c r="B65" i="34" s="1"/>
  <c r="B56" i="34"/>
  <c r="B66" i="34"/>
  <c r="B90" i="34" s="1"/>
  <c r="B69" i="34"/>
  <c r="B94" i="34" s="1"/>
  <c r="D70" i="34"/>
  <c r="B70" i="34" s="1"/>
  <c r="C5" i="33"/>
  <c r="E9" i="33" s="1"/>
  <c r="C18" i="33"/>
  <c r="C21" i="33"/>
  <c r="C23" i="33" s="1"/>
  <c r="C33" i="33"/>
  <c r="C36" i="33" s="1"/>
  <c r="C38" i="33"/>
  <c r="C39" i="33" s="1"/>
  <c r="C40" i="33" s="1"/>
  <c r="B5" i="32"/>
  <c r="B8" i="32" s="1"/>
  <c r="B16" i="32"/>
  <c r="B17" i="32" s="1"/>
  <c r="C16" i="32"/>
  <c r="C17" i="32" s="1"/>
  <c r="C20" i="32"/>
  <c r="D20" i="32" s="1"/>
  <c r="B20" i="32"/>
  <c r="B21" i="32" s="1"/>
  <c r="B28" i="32"/>
  <c r="B38" i="32" s="1"/>
  <c r="C39" i="32" s="1"/>
  <c r="B32" i="32"/>
  <c r="C32" i="32"/>
  <c r="C66" i="32"/>
  <c r="C69" i="32" s="1"/>
  <c r="D78" i="32" s="1"/>
  <c r="C74" i="32"/>
  <c r="B78" i="32"/>
  <c r="C84" i="32"/>
  <c r="B84" i="32"/>
  <c r="B93" i="32"/>
  <c r="B97" i="32"/>
  <c r="B98" i="32"/>
  <c r="B109" i="32"/>
  <c r="B110" i="32" s="1"/>
  <c r="B120" i="32"/>
  <c r="B121" i="32"/>
  <c r="B125" i="32"/>
  <c r="B126" i="32"/>
  <c r="B7" i="44"/>
  <c r="B12" i="44" s="1"/>
  <c r="C7" i="44"/>
  <c r="C12" i="44" s="1"/>
  <c r="B23" i="44"/>
  <c r="B41" i="44" s="1"/>
  <c r="C23" i="44"/>
  <c r="C41" i="44" s="1"/>
  <c r="D23" i="44"/>
  <c r="D41" i="44" s="1"/>
  <c r="E23" i="44"/>
  <c r="E41" i="44" s="1"/>
  <c r="E40" i="44"/>
  <c r="E42" i="44"/>
  <c r="E43" i="44"/>
  <c r="F23" i="44"/>
  <c r="F41" i="44" s="1"/>
  <c r="B29" i="44"/>
  <c r="B30" i="44" s="1"/>
  <c r="B40" i="44"/>
  <c r="C40" i="44"/>
  <c r="D40" i="44"/>
  <c r="F40" i="44"/>
  <c r="B42" i="44"/>
  <c r="C42" i="44"/>
  <c r="C43" i="44"/>
  <c r="D42" i="44"/>
  <c r="F42" i="44"/>
  <c r="B43" i="44"/>
  <c r="D43" i="44"/>
  <c r="F43" i="44"/>
  <c r="B65" i="44"/>
  <c r="B66" i="44"/>
  <c r="B70" i="44"/>
  <c r="B6" i="37"/>
  <c r="B10" i="37"/>
  <c r="I7" i="36"/>
  <c r="J7" i="36" s="1"/>
  <c r="K7" i="36" s="1"/>
  <c r="L7" i="36" s="1"/>
  <c r="M7" i="36" s="1"/>
  <c r="N7" i="36" s="1"/>
  <c r="O7" i="36" s="1"/>
  <c r="P7" i="36" s="1"/>
  <c r="Q7" i="36" s="1"/>
  <c r="R7" i="36" s="1"/>
  <c r="S7" i="36" s="1"/>
  <c r="T7" i="36" s="1"/>
  <c r="U7" i="36" s="1"/>
  <c r="V7" i="36" s="1"/>
  <c r="W7" i="36" s="1"/>
  <c r="X7" i="36" s="1"/>
  <c r="Y7" i="36" s="1"/>
  <c r="Z7" i="36" s="1"/>
  <c r="AA7" i="36" s="1"/>
  <c r="AB7" i="36" s="1"/>
  <c r="AC7" i="36" s="1"/>
  <c r="AD7" i="36" s="1"/>
  <c r="AE7" i="36" s="1"/>
  <c r="AF7" i="36" s="1"/>
  <c r="AG7" i="36" s="1"/>
  <c r="AH7" i="36" s="1"/>
  <c r="AI7" i="36" s="1"/>
  <c r="AJ7" i="36" s="1"/>
  <c r="AK7" i="36" s="1"/>
  <c r="AL7" i="36" s="1"/>
  <c r="AM7" i="36" s="1"/>
  <c r="AN7" i="36" s="1"/>
  <c r="AO7" i="36" s="1"/>
  <c r="AP7" i="36" s="1"/>
  <c r="AQ7" i="36" s="1"/>
  <c r="AR7" i="36" s="1"/>
  <c r="AS7" i="36" s="1"/>
  <c r="AT7" i="36" s="1"/>
  <c r="AU7" i="36" s="1"/>
  <c r="AV7" i="36" s="1"/>
  <c r="AW7" i="36" s="1"/>
  <c r="AX7" i="36" s="1"/>
  <c r="AY7" i="36" s="1"/>
  <c r="AZ7" i="36" s="1"/>
  <c r="BA7" i="36" s="1"/>
  <c r="BB7" i="36" s="1"/>
  <c r="BC7" i="36" s="1"/>
  <c r="BD7" i="36" s="1"/>
  <c r="BE7" i="36" s="1"/>
  <c r="BF7" i="36" s="1"/>
  <c r="BG7" i="36" s="1"/>
  <c r="BH7" i="36" s="1"/>
  <c r="BI7" i="36" s="1"/>
  <c r="BJ7" i="36" s="1"/>
  <c r="BK7" i="36" s="1"/>
  <c r="BL7" i="36" s="1"/>
  <c r="BM7" i="36" s="1"/>
  <c r="BN7" i="36" s="1"/>
  <c r="BO7" i="36" s="1"/>
  <c r="BP7" i="36" s="1"/>
  <c r="BQ7" i="36" s="1"/>
  <c r="BR7" i="36" s="1"/>
  <c r="BS7" i="36" s="1"/>
  <c r="BT7" i="36" s="1"/>
  <c r="BU7" i="36" s="1"/>
  <c r="BV7" i="36" s="1"/>
  <c r="BW7" i="36" s="1"/>
  <c r="BX7" i="36" s="1"/>
  <c r="BY7" i="36" s="1"/>
  <c r="BZ7" i="36" s="1"/>
  <c r="CA7" i="36" s="1"/>
  <c r="CB7" i="36" s="1"/>
  <c r="CC7" i="36" s="1"/>
  <c r="CD7" i="36" s="1"/>
  <c r="CE7" i="36" s="1"/>
  <c r="CF7" i="36" s="1"/>
  <c r="CG7" i="36" s="1"/>
  <c r="CH7" i="36" s="1"/>
  <c r="CI7" i="36" s="1"/>
  <c r="CJ7" i="36" s="1"/>
  <c r="CK7" i="36" s="1"/>
  <c r="CL7" i="36" s="1"/>
  <c r="CM7" i="36" s="1"/>
  <c r="CN7" i="36" s="1"/>
  <c r="CO7" i="36" s="1"/>
  <c r="CP7" i="36" s="1"/>
  <c r="CQ7" i="36" s="1"/>
  <c r="CR7" i="36" s="1"/>
  <c r="CS7" i="36" s="1"/>
  <c r="CT7" i="36" s="1"/>
  <c r="CU7" i="36" s="1"/>
  <c r="CV7" i="36" s="1"/>
  <c r="CW7" i="36" s="1"/>
  <c r="CX7" i="36" s="1"/>
  <c r="CY7" i="36" s="1"/>
  <c r="CZ7" i="36" s="1"/>
  <c r="DA7" i="36" s="1"/>
  <c r="DB7" i="36" s="1"/>
  <c r="DC7" i="36" s="1"/>
  <c r="DD7" i="36" s="1"/>
  <c r="DE7" i="36" s="1"/>
  <c r="DF7" i="36" s="1"/>
  <c r="DG7" i="36" s="1"/>
  <c r="DH7" i="36" s="1"/>
  <c r="DI7" i="36" s="1"/>
  <c r="DJ7" i="36" s="1"/>
  <c r="DK7" i="36" s="1"/>
  <c r="DL7" i="36" s="1"/>
  <c r="DM7" i="36" s="1"/>
  <c r="DN7" i="36" s="1"/>
  <c r="DO7" i="36" s="1"/>
  <c r="DP7" i="36" s="1"/>
  <c r="DQ7" i="36" s="1"/>
  <c r="DR7" i="36" s="1"/>
  <c r="DS7" i="36" s="1"/>
  <c r="DT7" i="36" s="1"/>
  <c r="DU7" i="36" s="1"/>
  <c r="DV7" i="36" s="1"/>
  <c r="DW7" i="36" s="1"/>
  <c r="DX7" i="36" s="1"/>
  <c r="DY7" i="36" s="1"/>
  <c r="DZ7" i="36" s="1"/>
  <c r="EA7" i="36" s="1"/>
  <c r="EB7" i="36" s="1"/>
  <c r="EC7" i="36" s="1"/>
  <c r="ED7" i="36" s="1"/>
  <c r="EE7" i="36" s="1"/>
  <c r="EF7" i="36" s="1"/>
  <c r="EG7" i="36" s="1"/>
  <c r="EH7" i="36" s="1"/>
  <c r="EI7" i="36" s="1"/>
  <c r="EJ7" i="36" s="1"/>
  <c r="EK7" i="36" s="1"/>
  <c r="EL7" i="36" s="1"/>
  <c r="EM7" i="36" s="1"/>
  <c r="EN7" i="36" s="1"/>
  <c r="EO7" i="36" s="1"/>
  <c r="EP7" i="36" s="1"/>
  <c r="EQ7" i="36" s="1"/>
  <c r="ER7" i="36" s="1"/>
  <c r="ES7" i="36" s="1"/>
  <c r="ET7" i="36" s="1"/>
  <c r="EU7" i="36" s="1"/>
  <c r="EV7" i="36" s="1"/>
  <c r="EW7" i="36" s="1"/>
  <c r="EX7" i="36" s="1"/>
  <c r="EY7" i="36" s="1"/>
  <c r="EZ7" i="36" s="1"/>
  <c r="FA7" i="36" s="1"/>
  <c r="FB7" i="36" s="1"/>
  <c r="FC7" i="36" s="1"/>
  <c r="FD7" i="36" s="1"/>
  <c r="FE7" i="36" s="1"/>
  <c r="FF7" i="36" s="1"/>
  <c r="FG7" i="36" s="1"/>
  <c r="FH7" i="36" s="1"/>
  <c r="FI7" i="36" s="1"/>
  <c r="FJ7" i="36" s="1"/>
  <c r="FK7" i="36" s="1"/>
  <c r="FL7" i="36" s="1"/>
  <c r="FM7" i="36" s="1"/>
  <c r="FN7" i="36" s="1"/>
  <c r="FO7" i="36" s="1"/>
  <c r="FP7" i="36" s="1"/>
  <c r="FQ7" i="36" s="1"/>
  <c r="FR7" i="36" s="1"/>
  <c r="FS7" i="36" s="1"/>
  <c r="FT7" i="36" s="1"/>
  <c r="FU7" i="36" s="1"/>
  <c r="FV7" i="36" s="1"/>
  <c r="FW7" i="36" s="1"/>
  <c r="FX7" i="36" s="1"/>
  <c r="FY7" i="36" s="1"/>
  <c r="FZ7" i="36" s="1"/>
  <c r="GA7" i="36" s="1"/>
  <c r="GB7" i="36" s="1"/>
  <c r="GC7" i="36" s="1"/>
  <c r="GD7" i="36" s="1"/>
  <c r="GE7" i="36" s="1"/>
  <c r="GF7" i="36" s="1"/>
  <c r="GG7" i="36" s="1"/>
  <c r="GH7" i="36" s="1"/>
  <c r="GI7" i="36" s="1"/>
  <c r="GJ7" i="36" s="1"/>
  <c r="GK7" i="36" s="1"/>
  <c r="GL7" i="36" s="1"/>
  <c r="GM7" i="36" s="1"/>
  <c r="GN7" i="36" s="1"/>
  <c r="GO7" i="36" s="1"/>
  <c r="GP7" i="36" s="1"/>
  <c r="GQ7" i="36" s="1"/>
  <c r="GR7" i="36" s="1"/>
  <c r="GS7" i="36" s="1"/>
  <c r="GT7" i="36" s="1"/>
  <c r="GU7" i="36" s="1"/>
  <c r="GV7" i="36" s="1"/>
  <c r="GW7" i="36" s="1"/>
  <c r="GX7" i="36" s="1"/>
  <c r="GY7" i="36" s="1"/>
  <c r="GZ7" i="36" s="1"/>
  <c r="HA7" i="36" s="1"/>
  <c r="HB7" i="36" s="1"/>
  <c r="HC7" i="36" s="1"/>
  <c r="HD7" i="36" s="1"/>
  <c r="HE7" i="36" s="1"/>
  <c r="HF7" i="36" s="1"/>
  <c r="HG7" i="36" s="1"/>
  <c r="HH7" i="36" s="1"/>
  <c r="HI7" i="36" s="1"/>
  <c r="HJ7" i="36" s="1"/>
  <c r="HK7" i="36" s="1"/>
  <c r="HL7" i="36" s="1"/>
  <c r="HM7" i="36" s="1"/>
  <c r="HN7" i="36" s="1"/>
  <c r="HO7" i="36" s="1"/>
  <c r="HP7" i="36" s="1"/>
  <c r="HQ7" i="36" s="1"/>
  <c r="HR7" i="36" s="1"/>
  <c r="HS7" i="36" s="1"/>
  <c r="HT7" i="36" s="1"/>
  <c r="HU7" i="36" s="1"/>
  <c r="HV7" i="36" s="1"/>
  <c r="HW7" i="36" s="1"/>
  <c r="HX7" i="36" s="1"/>
  <c r="HY7" i="36" s="1"/>
  <c r="HZ7" i="36" s="1"/>
  <c r="IA7" i="36" s="1"/>
  <c r="IB7" i="36" s="1"/>
  <c r="IC7" i="36" s="1"/>
  <c r="ID7" i="36" s="1"/>
  <c r="IE7" i="36" s="1"/>
  <c r="IF7" i="36" s="1"/>
  <c r="IG7" i="36" s="1"/>
  <c r="IH7" i="36" s="1"/>
  <c r="II7" i="36" s="1"/>
  <c r="IJ7" i="36" s="1"/>
  <c r="IK7" i="36" s="1"/>
  <c r="IL7" i="36" s="1"/>
  <c r="IM7" i="36" s="1"/>
  <c r="IN7" i="36" s="1"/>
  <c r="IO7" i="36" s="1"/>
  <c r="IP7" i="36" s="1"/>
  <c r="IQ7" i="36" s="1"/>
  <c r="IR7" i="36" s="1"/>
  <c r="IS7" i="36" s="1"/>
  <c r="IT7" i="36" s="1"/>
  <c r="IU7" i="36" s="1"/>
  <c r="IV7" i="36" s="1"/>
  <c r="B10" i="36"/>
  <c r="B28" i="36" s="1"/>
  <c r="B20" i="36"/>
  <c r="B22" i="36" s="1"/>
  <c r="B30" i="36" s="1"/>
  <c r="B29" i="36"/>
  <c r="B31" i="36"/>
  <c r="B42" i="36"/>
  <c r="C42" i="36"/>
  <c r="D42" i="36"/>
  <c r="B54" i="36"/>
  <c r="C54" i="36" s="1"/>
  <c r="C53" i="36" s="1"/>
  <c r="C59" i="36" s="1"/>
  <c r="B59" i="36"/>
  <c r="B63" i="36"/>
  <c r="B64" i="36"/>
  <c r="C63" i="36" s="1"/>
  <c r="D83" i="36"/>
  <c r="E83" i="36" s="1"/>
  <c r="B84" i="36"/>
  <c r="B85" i="36" s="1"/>
  <c r="D84" i="36"/>
  <c r="B13" i="35"/>
  <c r="B17" i="35" s="1"/>
  <c r="J13" i="35"/>
  <c r="J14" i="35"/>
  <c r="J16" i="35" s="1"/>
  <c r="C15" i="35"/>
  <c r="J15" i="35" s="1"/>
  <c r="C14" i="35"/>
  <c r="D14" i="35"/>
  <c r="D19" i="35"/>
  <c r="E14" i="35"/>
  <c r="F14" i="35"/>
  <c r="F19" i="35"/>
  <c r="G14" i="35"/>
  <c r="H14" i="35"/>
  <c r="H16" i="35" s="1"/>
  <c r="I14" i="35"/>
  <c r="I16" i="35" s="1"/>
  <c r="C19" i="35"/>
  <c r="E19" i="35"/>
  <c r="G19" i="35"/>
  <c r="C46" i="35"/>
  <c r="D46" i="35" s="1"/>
  <c r="E46" i="35" s="1"/>
  <c r="F46" i="35" s="1"/>
  <c r="G46" i="35" s="1"/>
  <c r="B47" i="35"/>
  <c r="B54" i="35"/>
  <c r="B48" i="35" s="1"/>
  <c r="B51" i="35"/>
  <c r="G47" i="35"/>
  <c r="G49" i="35"/>
  <c r="G55" i="35"/>
  <c r="C49" i="35"/>
  <c r="C55" i="35"/>
  <c r="D49" i="35"/>
  <c r="D55" i="35"/>
  <c r="E49" i="35"/>
  <c r="E55" i="35"/>
  <c r="F49" i="35"/>
  <c r="F55" i="35"/>
  <c r="C64" i="35"/>
  <c r="D64" i="35" s="1"/>
  <c r="D67" i="35" s="1"/>
  <c r="B67" i="35"/>
  <c r="C73" i="35"/>
  <c r="C76" i="35" s="1"/>
  <c r="B76" i="35"/>
  <c r="C90" i="35"/>
  <c r="D90" i="35" s="1"/>
  <c r="E90" i="35" s="1"/>
  <c r="F90" i="35" s="1"/>
  <c r="G90" i="35" s="1"/>
  <c r="H90" i="35" s="1"/>
  <c r="I90" i="35" s="1"/>
  <c r="J90" i="35" s="1"/>
  <c r="K90" i="35" s="1"/>
  <c r="L90" i="35" s="1"/>
  <c r="B91" i="35"/>
  <c r="B92" i="35"/>
  <c r="C96" i="35"/>
  <c r="D96" i="35" s="1"/>
  <c r="E96" i="35" s="1"/>
  <c r="F96" i="35" s="1"/>
  <c r="G96" i="35" s="1"/>
  <c r="C93" i="35"/>
  <c r="C94" i="35" s="1"/>
  <c r="D93" i="35"/>
  <c r="D94" i="35" s="1"/>
  <c r="E93" i="35"/>
  <c r="E94" i="35" s="1"/>
  <c r="F93" i="35"/>
  <c r="F94" i="35" s="1"/>
  <c r="G93" i="35"/>
  <c r="G94" i="35" s="1"/>
  <c r="H93" i="35"/>
  <c r="H94" i="35" s="1"/>
  <c r="I93" i="35"/>
  <c r="I94" i="35" s="1"/>
  <c r="J93" i="35"/>
  <c r="J94" i="35" s="1"/>
  <c r="K93" i="35"/>
  <c r="K94" i="35" s="1"/>
  <c r="L93" i="35"/>
  <c r="L94" i="35" s="1"/>
  <c r="C121" i="35"/>
  <c r="D121" i="35" s="1"/>
  <c r="E121" i="35" s="1"/>
  <c r="F121" i="35" s="1"/>
  <c r="G121" i="35" s="1"/>
  <c r="H121" i="35" s="1"/>
  <c r="I121" i="35" s="1"/>
  <c r="J121" i="35" s="1"/>
  <c r="K121" i="35" s="1"/>
  <c r="L121" i="35" s="1"/>
  <c r="B122" i="35"/>
  <c r="B125" i="35" s="1"/>
  <c r="C123" i="35"/>
  <c r="C127" i="35"/>
  <c r="D123" i="35"/>
  <c r="E123" i="35"/>
  <c r="E127" i="35"/>
  <c r="F123" i="35"/>
  <c r="G123" i="35"/>
  <c r="H123" i="35"/>
  <c r="H127" i="35"/>
  <c r="I123" i="35"/>
  <c r="I127" i="35"/>
  <c r="J123" i="35"/>
  <c r="J127" i="35"/>
  <c r="K123" i="35"/>
  <c r="K127" i="35"/>
  <c r="L123" i="35"/>
  <c r="L127" i="35"/>
  <c r="D127" i="35"/>
  <c r="F127" i="35"/>
  <c r="G127" i="35"/>
  <c r="B155" i="35"/>
  <c r="O160" i="35" s="1"/>
  <c r="D158" i="35"/>
  <c r="D166" i="35" s="1"/>
  <c r="A159" i="35"/>
  <c r="B159" i="35"/>
  <c r="B162" i="35" s="1"/>
  <c r="B175" i="35" s="1"/>
  <c r="F161" i="35"/>
  <c r="I161" i="35"/>
  <c r="K161" i="35"/>
  <c r="Q161" i="35"/>
  <c r="V161" i="35"/>
  <c r="Y161" i="35"/>
  <c r="AD161" i="35"/>
  <c r="C161" i="35"/>
  <c r="D161" i="35"/>
  <c r="E161" i="35"/>
  <c r="G161" i="35"/>
  <c r="H161" i="35"/>
  <c r="J161" i="35"/>
  <c r="L161" i="35"/>
  <c r="M161" i="35"/>
  <c r="N161" i="35"/>
  <c r="O161" i="35"/>
  <c r="P161" i="35"/>
  <c r="R161" i="35"/>
  <c r="S161" i="35"/>
  <c r="T161" i="35"/>
  <c r="U161" i="35"/>
  <c r="W161" i="35"/>
  <c r="X161" i="35"/>
  <c r="Z161" i="35"/>
  <c r="AA161" i="35"/>
  <c r="AB161" i="35"/>
  <c r="AC161" i="35"/>
  <c r="AE161" i="35"/>
  <c r="AF161" i="35"/>
  <c r="D167" i="35"/>
  <c r="E167" i="35" s="1"/>
  <c r="F167" i="35" s="1"/>
  <c r="G167" i="35" s="1"/>
  <c r="H167" i="35" s="1"/>
  <c r="I167" i="35" s="1"/>
  <c r="J167" i="35" s="1"/>
  <c r="K167" i="35" s="1"/>
  <c r="L167" i="35" s="1"/>
  <c r="M167" i="35" s="1"/>
  <c r="N167" i="35" s="1"/>
  <c r="O167" i="35" s="1"/>
  <c r="P167" i="35" s="1"/>
  <c r="Q167" i="35" s="1"/>
  <c r="R167" i="35" s="1"/>
  <c r="S167" i="35" s="1"/>
  <c r="T167" i="35" s="1"/>
  <c r="U167" i="35" s="1"/>
  <c r="V167" i="35" s="1"/>
  <c r="W167" i="35" s="1"/>
  <c r="X167" i="35" s="1"/>
  <c r="Y167" i="35" s="1"/>
  <c r="Z167" i="35" s="1"/>
  <c r="AA167" i="35" s="1"/>
  <c r="AB167" i="35" s="1"/>
  <c r="AC167" i="35" s="1"/>
  <c r="AD167" i="35" s="1"/>
  <c r="AE167" i="35" s="1"/>
  <c r="AF167" i="35" s="1"/>
  <c r="C166" i="35"/>
  <c r="B200" i="35"/>
  <c r="B202" i="35" s="1"/>
  <c r="B226" i="35" s="1"/>
  <c r="B227" i="35" s="1"/>
  <c r="B209" i="35"/>
  <c r="B216" i="35"/>
  <c r="D224" i="35" s="1"/>
  <c r="C219" i="35"/>
  <c r="D219" i="35"/>
  <c r="E219" i="35"/>
  <c r="F219" i="35"/>
  <c r="G219" i="35"/>
  <c r="H219" i="35"/>
  <c r="I219" i="35"/>
  <c r="D221" i="35"/>
  <c r="E221" i="35" s="1"/>
  <c r="F221" i="35" s="1"/>
  <c r="G221" i="35" s="1"/>
  <c r="H221" i="35" s="1"/>
  <c r="I221" i="35" s="1"/>
  <c r="J223" i="35"/>
  <c r="J227" i="35" s="1"/>
  <c r="J232" i="35" s="1"/>
  <c r="D261" i="35"/>
  <c r="E261" i="35" s="1"/>
  <c r="F261" i="35" s="1"/>
  <c r="G261" i="35" s="1"/>
  <c r="B262" i="35"/>
  <c r="B263" i="35"/>
  <c r="C265" i="35"/>
  <c r="D265" i="35"/>
  <c r="G263" i="35"/>
  <c r="C264" i="35"/>
  <c r="D264" i="35"/>
  <c r="E264" i="35"/>
  <c r="E265" i="35"/>
  <c r="F264" i="35"/>
  <c r="G264" i="35"/>
  <c r="G265" i="35"/>
  <c r="F265" i="35"/>
  <c r="D277" i="35"/>
  <c r="E277" i="35" s="1"/>
  <c r="F277" i="35" s="1"/>
  <c r="G277" i="35" s="1"/>
  <c r="B278" i="35"/>
  <c r="B279" i="35"/>
  <c r="G279" i="35"/>
  <c r="C280" i="35"/>
  <c r="D280" i="35"/>
  <c r="E280" i="35"/>
  <c r="E281" i="35"/>
  <c r="F280" i="35"/>
  <c r="G280" i="35"/>
  <c r="C281" i="35"/>
  <c r="D281" i="35"/>
  <c r="F281" i="35"/>
  <c r="G281" i="35"/>
  <c r="B4" i="52"/>
  <c r="C5" i="52"/>
  <c r="B10" i="52" s="1"/>
  <c r="B11" i="52" s="1"/>
  <c r="B7" i="52"/>
  <c r="C7" i="52"/>
  <c r="B9" i="52"/>
  <c r="B15" i="52"/>
  <c r="B4" i="31"/>
  <c r="B12" i="31"/>
  <c r="C12" i="31"/>
  <c r="B33" i="31"/>
  <c r="B42" i="31" s="1"/>
  <c r="C33" i="31"/>
  <c r="C36" i="31"/>
  <c r="C37" i="31"/>
  <c r="C38" i="31" s="1"/>
  <c r="B37" i="31"/>
  <c r="C46" i="31"/>
  <c r="C47" i="31"/>
  <c r="C48" i="31" s="1"/>
  <c r="B47" i="31"/>
  <c r="B49" i="31" s="1"/>
  <c r="C56" i="31"/>
  <c r="C57" i="31"/>
  <c r="C58" i="31" s="1"/>
  <c r="B57" i="31"/>
  <c r="B59" i="31" s="1"/>
  <c r="B10" i="51"/>
  <c r="A37" i="51" s="1"/>
  <c r="B12" i="51"/>
  <c r="B14" i="51"/>
  <c r="B19" i="51"/>
  <c r="B20" i="51"/>
  <c r="F19" i="51"/>
  <c r="B27" i="51"/>
  <c r="C27" i="51" s="1"/>
  <c r="B37" i="51"/>
  <c r="B3" i="41"/>
  <c r="C3" i="41" s="1"/>
  <c r="D3" i="41" s="1"/>
  <c r="C4" i="41"/>
  <c r="D4" i="41" s="1"/>
  <c r="C13" i="41"/>
  <c r="D13" i="41" s="1"/>
  <c r="C7" i="41"/>
  <c r="D7" i="41" s="1"/>
  <c r="D10" i="41"/>
  <c r="C5" i="41"/>
  <c r="D5" i="41" s="1"/>
  <c r="B6" i="41"/>
  <c r="C6" i="41" s="1"/>
  <c r="D6" i="41" s="1"/>
  <c r="C8" i="41"/>
  <c r="D8" i="41" s="1"/>
  <c r="C9" i="41"/>
  <c r="D9" i="41" s="1"/>
  <c r="D11" i="41"/>
  <c r="C14" i="41"/>
  <c r="D14" i="41" s="1"/>
  <c r="D19" i="41"/>
  <c r="C15" i="30"/>
  <c r="B18" i="30"/>
  <c r="B20" i="30" s="1"/>
  <c r="C18" i="30"/>
  <c r="B19" i="30"/>
  <c r="C19" i="30"/>
  <c r="C29" i="30"/>
  <c r="C40" i="30"/>
  <c r="C49" i="30" s="1"/>
  <c r="B9" i="29"/>
  <c r="B11" i="29" s="1"/>
  <c r="C9" i="29"/>
  <c r="C11" i="29" s="1"/>
  <c r="D9" i="29"/>
  <c r="D11" i="29" s="1"/>
  <c r="E9" i="29"/>
  <c r="E11" i="29" s="1"/>
  <c r="F9" i="29"/>
  <c r="F11" i="29" s="1"/>
  <c r="A30" i="29"/>
  <c r="E30" i="29"/>
  <c r="A31" i="29"/>
  <c r="E31" i="29"/>
  <c r="H31" i="29"/>
  <c r="A32" i="29"/>
  <c r="E32" i="29"/>
  <c r="H32" i="29"/>
  <c r="D41" i="29"/>
  <c r="D44" i="29" s="1"/>
  <c r="C42" i="29"/>
  <c r="C45" i="29" s="1"/>
  <c r="B44" i="29"/>
  <c r="C44" i="29"/>
  <c r="E44" i="29"/>
  <c r="B45" i="29"/>
  <c r="D45" i="29"/>
  <c r="E45" i="29"/>
  <c r="B12" i="60"/>
  <c r="C12" i="60"/>
  <c r="C18" i="60" s="1"/>
  <c r="D12" i="60"/>
  <c r="D26" i="60" s="1"/>
  <c r="E12" i="60"/>
  <c r="E13" i="60" s="1"/>
  <c r="F12" i="60"/>
  <c r="F26" i="60" s="1"/>
  <c r="G12" i="60"/>
  <c r="G21" i="60" s="1"/>
  <c r="H12" i="60"/>
  <c r="H13" i="60" s="1"/>
  <c r="B44" i="60"/>
  <c r="C44" i="60"/>
  <c r="D44" i="60"/>
  <c r="E44" i="60"/>
  <c r="F44" i="60"/>
  <c r="G44" i="60"/>
  <c r="H44" i="60"/>
  <c r="I44" i="60"/>
  <c r="J44" i="60"/>
  <c r="B47" i="60"/>
  <c r="C47" i="60"/>
  <c r="D47" i="60"/>
  <c r="E47" i="60"/>
  <c r="F47" i="60"/>
  <c r="G47" i="60"/>
  <c r="H47" i="60"/>
  <c r="I47" i="60"/>
  <c r="J47" i="60"/>
  <c r="E62" i="60"/>
  <c r="F62" i="60" s="1"/>
  <c r="A63" i="60"/>
  <c r="A64" i="60" s="1"/>
  <c r="A65" i="60" s="1"/>
  <c r="A66" i="60" s="1"/>
  <c r="A67" i="60" s="1"/>
  <c r="A68" i="60" s="1"/>
  <c r="B63" i="60"/>
  <c r="B64" i="60" s="1"/>
  <c r="B73" i="60"/>
  <c r="C73" i="60"/>
  <c r="D73" i="60"/>
  <c r="E73" i="60"/>
  <c r="F73" i="60"/>
  <c r="G73" i="60"/>
  <c r="H73" i="60"/>
  <c r="I73" i="60"/>
  <c r="B7" i="26"/>
  <c r="B26" i="26"/>
  <c r="B27" i="26" s="1"/>
  <c r="B35" i="26"/>
  <c r="C35" i="26"/>
  <c r="C37" i="26"/>
  <c r="B37" i="26"/>
  <c r="E47" i="26"/>
  <c r="F47" i="26"/>
  <c r="E48" i="26"/>
  <c r="E49" i="26"/>
  <c r="E50" i="26"/>
  <c r="E51" i="26"/>
  <c r="B7" i="25"/>
  <c r="B9" i="25" s="1"/>
  <c r="B13" i="25"/>
  <c r="B15" i="25" s="1"/>
  <c r="B29" i="25"/>
  <c r="B30" i="25" s="1"/>
  <c r="D24" i="25" s="1"/>
  <c r="D25" i="25" s="1"/>
  <c r="D26" i="25" s="1"/>
  <c r="B25" i="25"/>
  <c r="B27" i="25" s="1"/>
  <c r="C25" i="25"/>
  <c r="E25" i="25"/>
  <c r="E26" i="25" s="1"/>
  <c r="F25" i="25"/>
  <c r="F27" i="25" s="1"/>
  <c r="G25" i="25"/>
  <c r="G26" i="25" s="1"/>
  <c r="H25" i="25"/>
  <c r="H27" i="25" s="1"/>
  <c r="I25" i="25"/>
  <c r="I26" i="25" s="1"/>
  <c r="J25" i="25"/>
  <c r="J26" i="25" s="1"/>
  <c r="K25" i="25"/>
  <c r="K27" i="25" s="1"/>
  <c r="L25" i="25"/>
  <c r="L26" i="25" s="1"/>
  <c r="D53" i="25"/>
  <c r="B54" i="25"/>
  <c r="B56" i="25" s="1"/>
  <c r="C54" i="25"/>
  <c r="C55" i="25" s="1"/>
  <c r="E54" i="25"/>
  <c r="E56" i="25" s="1"/>
  <c r="F54" i="25"/>
  <c r="F55" i="25" s="1"/>
  <c r="G54" i="25"/>
  <c r="G55" i="25" s="1"/>
  <c r="H54" i="25"/>
  <c r="H55" i="25" s="1"/>
  <c r="B7" i="24"/>
  <c r="C29" i="24"/>
  <c r="D29" i="24" s="1"/>
  <c r="E29" i="24" s="1"/>
  <c r="F29" i="24" s="1"/>
  <c r="G29" i="24" s="1"/>
  <c r="H29" i="24" s="1"/>
  <c r="I29" i="24" s="1"/>
  <c r="J29" i="24" s="1"/>
  <c r="K29" i="24" s="1"/>
  <c r="L29" i="24" s="1"/>
  <c r="C35" i="24"/>
  <c r="D35" i="24"/>
  <c r="E35" i="24"/>
  <c r="F35" i="24"/>
  <c r="G35" i="24"/>
  <c r="H35" i="24"/>
  <c r="I35" i="24"/>
  <c r="J35" i="24"/>
  <c r="K35" i="24"/>
  <c r="L35" i="24"/>
  <c r="C36" i="24"/>
  <c r="D36" i="24"/>
  <c r="E36" i="24"/>
  <c r="F36" i="24"/>
  <c r="G36" i="24"/>
  <c r="H36" i="24"/>
  <c r="I36" i="24"/>
  <c r="J36" i="24"/>
  <c r="K36" i="24"/>
  <c r="L36" i="24"/>
  <c r="C37" i="24"/>
  <c r="D37" i="24"/>
  <c r="E37" i="24"/>
  <c r="F37" i="24"/>
  <c r="G37" i="24"/>
  <c r="H37" i="24"/>
  <c r="I37" i="24"/>
  <c r="J37" i="24"/>
  <c r="K37" i="24"/>
  <c r="L37" i="24"/>
  <c r="B4" i="23"/>
  <c r="B5" i="23"/>
  <c r="B6" i="23" s="1"/>
  <c r="B13" i="23"/>
  <c r="B20" i="23"/>
  <c r="B28" i="23"/>
  <c r="B29" i="23" s="1"/>
  <c r="C46" i="23"/>
  <c r="C48" i="23" s="1"/>
  <c r="B47" i="23"/>
  <c r="B48" i="23"/>
  <c r="B65" i="23"/>
  <c r="B70" i="23"/>
  <c r="B77" i="23"/>
  <c r="B78" i="23" s="1"/>
  <c r="B87" i="23"/>
  <c r="E87" i="23" s="1"/>
  <c r="D87" i="23" s="1"/>
  <c r="A88" i="23"/>
  <c r="A89" i="23" s="1"/>
  <c r="A90" i="23" s="1"/>
  <c r="C88" i="23"/>
  <c r="C89" i="23" s="1"/>
  <c r="C90" i="23" s="1"/>
  <c r="B96" i="23"/>
  <c r="A97" i="23"/>
  <c r="A98" i="23" s="1"/>
  <c r="A99" i="23" s="1"/>
  <c r="D97" i="23"/>
  <c r="D98" i="23" s="1"/>
  <c r="D99" i="23" s="1"/>
  <c r="D100" i="23" s="1"/>
  <c r="B111" i="23"/>
  <c r="C111" i="23"/>
  <c r="C112" i="23"/>
  <c r="C113" i="23"/>
  <c r="C114" i="23"/>
  <c r="C115" i="23"/>
  <c r="C116" i="23"/>
  <c r="C117" i="23"/>
  <c r="C118" i="23"/>
  <c r="C119" i="23"/>
  <c r="C120" i="23"/>
  <c r="C121" i="23"/>
  <c r="B112" i="23"/>
  <c r="A113" i="23"/>
  <c r="A114" i="23" s="1"/>
  <c r="A115" i="23" s="1"/>
  <c r="A116" i="23" s="1"/>
  <c r="A117" i="23" s="1"/>
  <c r="A118" i="23" s="1"/>
  <c r="A119" i="23" s="1"/>
  <c r="A120" i="23" s="1"/>
  <c r="A121" i="23" s="1"/>
  <c r="B113" i="23"/>
  <c r="B114" i="23"/>
  <c r="B115" i="23"/>
  <c r="B116" i="23"/>
  <c r="B117" i="23"/>
  <c r="B118" i="23"/>
  <c r="B119" i="23"/>
  <c r="B120" i="23"/>
  <c r="B121" i="23"/>
  <c r="B133" i="23"/>
  <c r="C133" i="23" s="1"/>
  <c r="B134" i="23"/>
  <c r="C134" i="23" s="1"/>
  <c r="A135" i="23"/>
  <c r="A136" i="23" s="1"/>
  <c r="A137" i="23" s="1"/>
  <c r="A138" i="23" s="1"/>
  <c r="A139" i="23" s="1"/>
  <c r="A140" i="23" s="1"/>
  <c r="A141" i="23" s="1"/>
  <c r="A142" i="23" s="1"/>
  <c r="A143" i="23" s="1"/>
  <c r="B135" i="23"/>
  <c r="C135" i="23" s="1"/>
  <c r="B136" i="23"/>
  <c r="C136" i="23" s="1"/>
  <c r="B137" i="23"/>
  <c r="B138" i="23"/>
  <c r="C138" i="23" s="1"/>
  <c r="B139" i="23"/>
  <c r="C139" i="23" s="1"/>
  <c r="B140" i="23"/>
  <c r="C140" i="23" s="1"/>
  <c r="B141" i="23"/>
  <c r="C141" i="23" s="1"/>
  <c r="B142" i="23"/>
  <c r="C142" i="23" s="1"/>
  <c r="C143" i="23" s="1"/>
  <c r="B155" i="23"/>
  <c r="A156" i="23"/>
  <c r="A157" i="23" s="1"/>
  <c r="A158" i="23" s="1"/>
  <c r="A159" i="23" s="1"/>
  <c r="A160" i="23" s="1"/>
  <c r="A161" i="23" s="1"/>
  <c r="A162" i="23" s="1"/>
  <c r="A163" i="23" s="1"/>
  <c r="A164" i="23" s="1"/>
  <c r="A165" i="23" s="1"/>
  <c r="A166" i="23" s="1"/>
  <c r="A167" i="23" s="1"/>
  <c r="A168" i="23" s="1"/>
  <c r="A169" i="23" s="1"/>
  <c r="A170" i="23" s="1"/>
  <c r="A171" i="23" s="1"/>
  <c r="A172" i="23" s="1"/>
  <c r="A173" i="23" s="1"/>
  <c r="A174" i="23" s="1"/>
  <c r="A175" i="23" s="1"/>
  <c r="B156" i="23"/>
  <c r="C156" i="23" s="1"/>
  <c r="B157" i="23"/>
  <c r="C157" i="23" s="1"/>
  <c r="B158" i="23"/>
  <c r="C158" i="23" s="1"/>
  <c r="B159" i="23"/>
  <c r="C159" i="23" s="1"/>
  <c r="B160" i="23"/>
  <c r="C160" i="23" s="1"/>
  <c r="B161" i="23"/>
  <c r="C161" i="23" s="1"/>
  <c r="B162" i="23"/>
  <c r="C162" i="23" s="1"/>
  <c r="B163" i="23"/>
  <c r="C163" i="23" s="1"/>
  <c r="B164" i="23"/>
  <c r="C164" i="23" s="1"/>
  <c r="B165" i="23"/>
  <c r="C165" i="23" s="1"/>
  <c r="B166" i="23"/>
  <c r="C166" i="23" s="1"/>
  <c r="B167" i="23"/>
  <c r="C167" i="23" s="1"/>
  <c r="B168" i="23"/>
  <c r="C168" i="23" s="1"/>
  <c r="B169" i="23"/>
  <c r="C169" i="23" s="1"/>
  <c r="B170" i="23"/>
  <c r="C170" i="23" s="1"/>
  <c r="B171" i="23"/>
  <c r="C171" i="23" s="1"/>
  <c r="B172" i="23"/>
  <c r="C172" i="23" s="1"/>
  <c r="B173" i="23"/>
  <c r="C173" i="23" s="1"/>
  <c r="B174" i="23"/>
  <c r="C174" i="23" s="1"/>
  <c r="B175" i="23"/>
  <c r="C175" i="23" s="1"/>
  <c r="C183" i="23"/>
  <c r="D183" i="23" s="1"/>
  <c r="E183" i="23" s="1"/>
  <c r="F183" i="23" s="1"/>
  <c r="B188" i="23"/>
  <c r="C188" i="23"/>
  <c r="D193" i="23"/>
  <c r="E193" i="23" s="1"/>
  <c r="F193" i="23" s="1"/>
  <c r="G193" i="23" s="1"/>
  <c r="E195" i="23" s="1"/>
  <c r="B196" i="23"/>
  <c r="B194" i="23" s="1"/>
  <c r="B200" i="23" s="1"/>
  <c r="B5" i="21"/>
  <c r="C5" i="21"/>
  <c r="D5" i="21"/>
  <c r="B11" i="21"/>
  <c r="B12" i="21" s="1"/>
  <c r="C11" i="21"/>
  <c r="C12" i="21" s="1"/>
  <c r="D11" i="21"/>
  <c r="D12" i="21" s="1"/>
  <c r="B18" i="21"/>
  <c r="C18" i="21"/>
  <c r="D18" i="21"/>
  <c r="B24" i="21"/>
  <c r="C24" i="21"/>
  <c r="D24" i="21"/>
  <c r="B29" i="21"/>
  <c r="B31" i="21" s="1"/>
  <c r="C31" i="21"/>
  <c r="B35" i="21"/>
  <c r="B36" i="21" s="1"/>
  <c r="B42" i="21"/>
  <c r="B45" i="21" s="1"/>
  <c r="D50" i="21"/>
  <c r="E50" i="21"/>
  <c r="D51" i="21"/>
  <c r="E51" i="21"/>
  <c r="B58" i="21"/>
  <c r="C58" i="21"/>
  <c r="D58" i="21"/>
  <c r="E58" i="21"/>
  <c r="F58" i="21"/>
  <c r="G58" i="21"/>
  <c r="B59" i="21"/>
  <c r="C59" i="21"/>
  <c r="D59" i="21"/>
  <c r="E59" i="21"/>
  <c r="F59" i="21"/>
  <c r="G59" i="21"/>
  <c r="B64" i="21"/>
  <c r="C64" i="21"/>
  <c r="D64" i="21"/>
  <c r="E64" i="21"/>
  <c r="F64" i="21"/>
  <c r="G64" i="21"/>
  <c r="B65" i="21"/>
  <c r="C65" i="21"/>
  <c r="D65" i="21"/>
  <c r="E65" i="21"/>
  <c r="F65" i="21"/>
  <c r="G65" i="21"/>
  <c r="B71" i="21"/>
  <c r="C71" i="21"/>
  <c r="B84" i="21"/>
  <c r="B90" i="21"/>
  <c r="C32" i="40"/>
  <c r="H9" i="46"/>
  <c r="I6" i="46"/>
  <c r="I8" i="46"/>
  <c r="B22" i="45"/>
  <c r="B52" i="54"/>
  <c r="B53" i="54"/>
  <c r="B59" i="54"/>
  <c r="C26" i="70"/>
  <c r="C28" i="70" s="1"/>
  <c r="D14" i="70"/>
  <c r="J9" i="70"/>
  <c r="B27" i="69"/>
  <c r="B45" i="70"/>
  <c r="B46" i="70" s="1"/>
  <c r="B63" i="70" s="1"/>
  <c r="B57" i="70"/>
  <c r="S113" i="70"/>
  <c r="T87" i="70"/>
  <c r="T113" i="70" s="1"/>
  <c r="C130" i="70"/>
  <c r="G9" i="46"/>
  <c r="G8" i="46"/>
  <c r="G7" i="46"/>
  <c r="G6" i="46"/>
  <c r="J82" i="70"/>
  <c r="J86" i="70" s="1"/>
  <c r="I86" i="70"/>
  <c r="F10" i="46"/>
  <c r="M81" i="70"/>
  <c r="N81" i="70" s="1"/>
  <c r="O81" i="70" s="1"/>
  <c r="P81" i="70" s="1"/>
  <c r="Q81" i="70" s="1"/>
  <c r="R81" i="70" s="1"/>
  <c r="S81" i="70" s="1"/>
  <c r="D87" i="67"/>
  <c r="C220" i="21"/>
  <c r="C221" i="21" s="1"/>
  <c r="B221" i="21"/>
  <c r="B222" i="21" s="1"/>
  <c r="B172" i="21"/>
  <c r="B173" i="21"/>
  <c r="B49" i="30"/>
  <c r="F16" i="70"/>
  <c r="C71" i="32"/>
  <c r="B6" i="53"/>
  <c r="D5" i="53" s="1"/>
  <c r="D6" i="53" s="1"/>
  <c r="E111" i="33"/>
  <c r="D58" i="33" s="1"/>
  <c r="D55" i="33"/>
  <c r="J89" i="70"/>
  <c r="F89" i="70"/>
  <c r="D16" i="70"/>
  <c r="H16" i="70"/>
  <c r="J16" i="70"/>
  <c r="L16" i="70"/>
  <c r="B31" i="70"/>
  <c r="L89" i="70"/>
  <c r="G89" i="70"/>
  <c r="C89" i="70"/>
  <c r="C90" i="70" s="1"/>
  <c r="E16" i="70"/>
  <c r="K89" i="70"/>
  <c r="E89" i="70"/>
  <c r="K16" i="70"/>
  <c r="I89" i="70"/>
  <c r="G16" i="70"/>
  <c r="I16" i="70"/>
  <c r="H89" i="70"/>
  <c r="D89" i="70"/>
  <c r="C16" i="70"/>
  <c r="C205" i="21"/>
  <c r="D205" i="21" s="1"/>
  <c r="B206" i="21"/>
  <c r="B207" i="21" s="1"/>
  <c r="B42" i="40"/>
  <c r="B44" i="40" s="1"/>
  <c r="B31" i="45"/>
  <c r="B46" i="69"/>
  <c r="B45" i="69"/>
  <c r="B91" i="54"/>
  <c r="B90" i="54"/>
  <c r="T14" i="70"/>
  <c r="S40" i="70"/>
  <c r="F87" i="67"/>
  <c r="F89" i="67"/>
  <c r="D111" i="33"/>
  <c r="D112" i="33" s="1"/>
  <c r="D100" i="33"/>
  <c r="D102" i="33" s="1"/>
  <c r="C23" i="39" l="1"/>
  <c r="H8" i="46"/>
  <c r="C13" i="46"/>
  <c r="F57" i="67"/>
  <c r="B50" i="67"/>
  <c r="B51" i="67" s="1"/>
  <c r="B56" i="67" s="1"/>
  <c r="B37" i="46"/>
  <c r="B24" i="38"/>
  <c r="B10" i="38"/>
  <c r="B42" i="45"/>
  <c r="D42" i="45" s="1"/>
  <c r="C50" i="67"/>
  <c r="C18" i="40"/>
  <c r="F9" i="46"/>
  <c r="D18" i="43"/>
  <c r="C9" i="33"/>
  <c r="F7" i="46"/>
  <c r="H7" i="46"/>
  <c r="F8" i="46"/>
  <c r="D9" i="33"/>
  <c r="C55" i="36"/>
  <c r="B18" i="43"/>
  <c r="I13" i="70"/>
  <c r="H6" i="46"/>
  <c r="C21" i="32"/>
  <c r="C22" i="32" s="1"/>
  <c r="P160" i="35"/>
  <c r="B51" i="69"/>
  <c r="B50" i="69" s="1"/>
  <c r="H21" i="60"/>
  <c r="E55" i="25"/>
  <c r="B100" i="32"/>
  <c r="B101" i="32" s="1"/>
  <c r="B107" i="32" s="1"/>
  <c r="B111" i="32" s="1"/>
  <c r="D53" i="36"/>
  <c r="D54" i="36"/>
  <c r="B61" i="36"/>
  <c r="B57" i="67"/>
  <c r="B287" i="35"/>
  <c r="C287" i="35" s="1"/>
  <c r="D287" i="35" s="1"/>
  <c r="E287" i="35" s="1"/>
  <c r="F287" i="35" s="1"/>
  <c r="B55" i="45"/>
  <c r="F48" i="26"/>
  <c r="F49" i="26" s="1"/>
  <c r="F50" i="26" s="1"/>
  <c r="F51" i="26" s="1"/>
  <c r="F18" i="43"/>
  <c r="AF160" i="35"/>
  <c r="AF162" i="35" s="1"/>
  <c r="B143" i="23"/>
  <c r="T160" i="35"/>
  <c r="T162" i="35" s="1"/>
  <c r="I9" i="46"/>
  <c r="AA165" i="35"/>
  <c r="F160" i="35"/>
  <c r="F162" i="35" s="1"/>
  <c r="B65" i="36"/>
  <c r="B34" i="40"/>
  <c r="B16" i="51"/>
  <c r="D14" i="51" s="1"/>
  <c r="D282" i="35"/>
  <c r="D283" i="35" s="1"/>
  <c r="D284" i="35" s="1"/>
  <c r="G282" i="35"/>
  <c r="G283" i="35" s="1"/>
  <c r="G284" i="35" s="1"/>
  <c r="G33" i="60"/>
  <c r="D225" i="35"/>
  <c r="D227" i="35" s="1"/>
  <c r="D232" i="35" s="1"/>
  <c r="D57" i="67"/>
  <c r="B21" i="51"/>
  <c r="B43" i="51" s="1"/>
  <c r="B118" i="70"/>
  <c r="B119" i="70" s="1"/>
  <c r="F266" i="35"/>
  <c r="F267" i="35" s="1"/>
  <c r="F268" i="35" s="1"/>
  <c r="B67" i="34"/>
  <c r="B102" i="34" s="1"/>
  <c r="F50" i="21"/>
  <c r="B55" i="25"/>
  <c r="E33" i="60"/>
  <c r="F21" i="60"/>
  <c r="J27" i="25"/>
  <c r="D26" i="70"/>
  <c r="D28" i="70" s="1"/>
  <c r="B268" i="35"/>
  <c r="C20" i="30"/>
  <c r="B284" i="35"/>
  <c r="D85" i="36"/>
  <c r="E85" i="36" s="1"/>
  <c r="AB160" i="35"/>
  <c r="AB162" i="35" s="1"/>
  <c r="C33" i="60"/>
  <c r="C124" i="23"/>
  <c r="Y165" i="35"/>
  <c r="B67" i="32"/>
  <c r="C74" i="60"/>
  <c r="C75" i="60" s="1"/>
  <c r="X160" i="35"/>
  <c r="X162" i="35" s="1"/>
  <c r="C30" i="60"/>
  <c r="P165" i="35"/>
  <c r="AE160" i="35"/>
  <c r="AE162" i="35" s="1"/>
  <c r="D266" i="35"/>
  <c r="D267" i="35" s="1"/>
  <c r="D268" i="35" s="1"/>
  <c r="B40" i="24"/>
  <c r="L160" i="35"/>
  <c r="L162" i="35" s="1"/>
  <c r="U87" i="70"/>
  <c r="U113" i="70" s="1"/>
  <c r="H160" i="35"/>
  <c r="H162" i="35" s="1"/>
  <c r="W160" i="35"/>
  <c r="W162" i="35" s="1"/>
  <c r="G18" i="60"/>
  <c r="D50" i="35"/>
  <c r="D52" i="35" s="1"/>
  <c r="B127" i="32"/>
  <c r="B129" i="32" s="1"/>
  <c r="B131" i="32" s="1"/>
  <c r="B132" i="32" s="1"/>
  <c r="B133" i="32" s="1"/>
  <c r="F50" i="67"/>
  <c r="H224" i="35"/>
  <c r="H225" i="35" s="1"/>
  <c r="H227" i="35" s="1"/>
  <c r="H232" i="35" s="1"/>
  <c r="AD165" i="35"/>
  <c r="I165" i="35"/>
  <c r="V160" i="35"/>
  <c r="V162" i="35" s="1"/>
  <c r="B42" i="24"/>
  <c r="F224" i="35"/>
  <c r="F225" i="35" s="1"/>
  <c r="F227" i="35" s="1"/>
  <c r="F232" i="35" s="1"/>
  <c r="AB165" i="35"/>
  <c r="H165" i="35"/>
  <c r="E124" i="35"/>
  <c r="E125" i="35" s="1"/>
  <c r="F48" i="46"/>
  <c r="D88" i="70"/>
  <c r="D130" i="70" s="1"/>
  <c r="C57" i="67"/>
  <c r="S165" i="35"/>
  <c r="AC160" i="35"/>
  <c r="AC162" i="35" s="1"/>
  <c r="I160" i="35"/>
  <c r="I162" i="35" s="1"/>
  <c r="C78" i="32"/>
  <c r="C82" i="32" s="1"/>
  <c r="D82" i="32" s="1"/>
  <c r="E84" i="33"/>
  <c r="G55" i="33" s="1"/>
  <c r="G74" i="60"/>
  <c r="K82" i="70"/>
  <c r="L82" i="70" s="1"/>
  <c r="C27" i="30"/>
  <c r="B58" i="31"/>
  <c r="B60" i="31" s="1"/>
  <c r="B61" i="31" s="1"/>
  <c r="B271" i="35"/>
  <c r="C271" i="35" s="1"/>
  <c r="D271" i="35" s="1"/>
  <c r="R165" i="35"/>
  <c r="C50" i="35"/>
  <c r="C52" i="35" s="1"/>
  <c r="D50" i="67"/>
  <c r="E27" i="25"/>
  <c r="F26" i="25"/>
  <c r="H30" i="60"/>
  <c r="G13" i="60"/>
  <c r="D15" i="70"/>
  <c r="D17" i="70" s="1"/>
  <c r="D18" i="70" s="1"/>
  <c r="D39" i="70" s="1"/>
  <c r="B27" i="30"/>
  <c r="C38" i="26"/>
  <c r="I224" i="35"/>
  <c r="I225" i="35" s="1"/>
  <c r="J165" i="35"/>
  <c r="H124" i="35"/>
  <c r="H125" i="35" s="1"/>
  <c r="B94" i="35"/>
  <c r="F97" i="35" s="1"/>
  <c r="F50" i="35"/>
  <c r="F52" i="35" s="1"/>
  <c r="G50" i="35"/>
  <c r="G52" i="35" s="1"/>
  <c r="D95" i="67"/>
  <c r="B87" i="67"/>
  <c r="B88" i="67" s="1"/>
  <c r="B94" i="67" s="1"/>
  <c r="B95" i="67"/>
  <c r="B89" i="67"/>
  <c r="F95" i="67"/>
  <c r="B17" i="46"/>
  <c r="B18" i="46" s="1"/>
  <c r="J13" i="70"/>
  <c r="C68" i="32"/>
  <c r="C87" i="32" s="1"/>
  <c r="D21" i="60"/>
  <c r="C16" i="35"/>
  <c r="C17" i="35" s="1"/>
  <c r="B156" i="21"/>
  <c r="H56" i="25"/>
  <c r="E14" i="70"/>
  <c r="F14" i="70" s="1"/>
  <c r="G14" i="70" s="1"/>
  <c r="C222" i="21"/>
  <c r="D13" i="60"/>
  <c r="C21" i="30"/>
  <c r="C23" i="30" s="1"/>
  <c r="C25" i="30" s="1"/>
  <c r="B62" i="31"/>
  <c r="F282" i="35"/>
  <c r="F283" i="35" s="1"/>
  <c r="F284" i="35" s="1"/>
  <c r="C282" i="35"/>
  <c r="C283" i="35" s="1"/>
  <c r="C284" i="35" s="1"/>
  <c r="G266" i="35"/>
  <c r="G267" i="35" s="1"/>
  <c r="G268" i="35" s="1"/>
  <c r="C266" i="35"/>
  <c r="C267" i="35" s="1"/>
  <c r="C268" i="35" s="1"/>
  <c r="O162" i="35"/>
  <c r="E50" i="35"/>
  <c r="E52" i="35" s="1"/>
  <c r="D99" i="70"/>
  <c r="C16" i="41"/>
  <c r="E84" i="36"/>
  <c r="B124" i="23"/>
  <c r="I12" i="60"/>
  <c r="I26" i="60" s="1"/>
  <c r="T165" i="35"/>
  <c r="G124" i="35"/>
  <c r="G125" i="35" s="1"/>
  <c r="J124" i="35"/>
  <c r="J125" i="35" s="1"/>
  <c r="E87" i="70"/>
  <c r="B33" i="36"/>
  <c r="B55" i="54"/>
  <c r="C55" i="54" s="1"/>
  <c r="C47" i="23"/>
  <c r="B41" i="24"/>
  <c r="G56" i="25"/>
  <c r="H26" i="25"/>
  <c r="B26" i="25"/>
  <c r="C39" i="31"/>
  <c r="C40" i="31" s="1"/>
  <c r="C41" i="31" s="1"/>
  <c r="E266" i="35"/>
  <c r="E267" i="35" s="1"/>
  <c r="E268" i="35" s="1"/>
  <c r="I124" i="35"/>
  <c r="I125" i="35" s="1"/>
  <c r="C9" i="40"/>
  <c r="C20" i="40" s="1"/>
  <c r="C17" i="46"/>
  <c r="C18" i="46" s="1"/>
  <c r="H33" i="60"/>
  <c r="H26" i="60"/>
  <c r="B29" i="32"/>
  <c r="B62" i="32"/>
  <c r="G47" i="33"/>
  <c r="F76" i="33"/>
  <c r="F78" i="33" s="1"/>
  <c r="F79" i="33" s="1"/>
  <c r="F80" i="33" s="1"/>
  <c r="F81" i="33" s="1"/>
  <c r="E136" i="21"/>
  <c r="B146" i="21" s="1"/>
  <c r="C87" i="67"/>
  <c r="C95" i="67"/>
  <c r="C89" i="67"/>
  <c r="B232" i="35"/>
  <c r="B233" i="35" s="1"/>
  <c r="J29" i="38"/>
  <c r="B30" i="38" s="1"/>
  <c r="D29" i="38"/>
  <c r="E64" i="60"/>
  <c r="F64" i="60" s="1"/>
  <c r="B65" i="60"/>
  <c r="B66" i="60" s="1"/>
  <c r="E205" i="21"/>
  <c r="E206" i="21" s="1"/>
  <c r="D206" i="21"/>
  <c r="C62" i="32"/>
  <c r="B52" i="67"/>
  <c r="B53" i="67" s="1"/>
  <c r="D40" i="70"/>
  <c r="C21" i="41"/>
  <c r="C22" i="41" s="1"/>
  <c r="E74" i="60"/>
  <c r="L27" i="25"/>
  <c r="B48" i="31"/>
  <c r="B50" i="31" s="1"/>
  <c r="B51" i="31" s="1"/>
  <c r="AE165" i="35"/>
  <c r="V165" i="35"/>
  <c r="K165" i="35"/>
  <c r="Y160" i="35"/>
  <c r="Y162" i="35" s="1"/>
  <c r="N160" i="35"/>
  <c r="N162" i="35" s="1"/>
  <c r="D16" i="35"/>
  <c r="D17" i="35" s="1"/>
  <c r="E18" i="43"/>
  <c r="C15" i="70"/>
  <c r="C57" i="70" s="1"/>
  <c r="F56" i="25"/>
  <c r="G27" i="25"/>
  <c r="B38" i="26"/>
  <c r="E63" i="60"/>
  <c r="F63" i="60" s="1"/>
  <c r="D21" i="41"/>
  <c r="D22" i="41" s="1"/>
  <c r="H17" i="35"/>
  <c r="D74" i="60"/>
  <c r="B21" i="30"/>
  <c r="B23" i="30" s="1"/>
  <c r="B24" i="30" s="1"/>
  <c r="B26" i="30" s="1"/>
  <c r="D16" i="41"/>
  <c r="C206" i="21"/>
  <c r="C207" i="21" s="1"/>
  <c r="B32" i="21"/>
  <c r="D30" i="21" s="1"/>
  <c r="H18" i="60"/>
  <c r="G26" i="60"/>
  <c r="B19" i="69"/>
  <c r="D160" i="35"/>
  <c r="D162" i="35" s="1"/>
  <c r="C21" i="60"/>
  <c r="E30" i="60"/>
  <c r="F51" i="21"/>
  <c r="H74" i="60"/>
  <c r="D30" i="60"/>
  <c r="B52" i="31"/>
  <c r="C224" i="35"/>
  <c r="C225" i="35" s="1"/>
  <c r="C227" i="35" s="1"/>
  <c r="Z165" i="35"/>
  <c r="Q165" i="35"/>
  <c r="G165" i="35"/>
  <c r="AD160" i="35"/>
  <c r="AD162" i="35" s="1"/>
  <c r="S160" i="35"/>
  <c r="S162" i="35" s="1"/>
  <c r="D124" i="35"/>
  <c r="D125" i="35" s="1"/>
  <c r="C37" i="46"/>
  <c r="D50" i="46" s="1"/>
  <c r="B70" i="69"/>
  <c r="E57" i="67"/>
  <c r="B26" i="67"/>
  <c r="B27" i="67" s="1"/>
  <c r="I27" i="25"/>
  <c r="E18" i="60"/>
  <c r="D220" i="21"/>
  <c r="E220" i="21" s="1"/>
  <c r="K9" i="70"/>
  <c r="K13" i="70" s="1"/>
  <c r="P162" i="35"/>
  <c r="E64" i="35"/>
  <c r="G30" i="60"/>
  <c r="E21" i="60"/>
  <c r="K26" i="25"/>
  <c r="C13" i="60"/>
  <c r="B213" i="35"/>
  <c r="X165" i="35"/>
  <c r="O165" i="35"/>
  <c r="D165" i="35"/>
  <c r="D168" i="35" s="1"/>
  <c r="AA160" i="35"/>
  <c r="AA162" i="35" s="1"/>
  <c r="Q160" i="35"/>
  <c r="Q162" i="35" s="1"/>
  <c r="B73" i="40"/>
  <c r="C78" i="33"/>
  <c r="F49" i="33" s="1"/>
  <c r="E26" i="60"/>
  <c r="B12" i="52"/>
  <c r="B14" i="52" s="1"/>
  <c r="B16" i="52" s="1"/>
  <c r="AF165" i="35"/>
  <c r="W165" i="35"/>
  <c r="L165" i="35"/>
  <c r="C165" i="35"/>
  <c r="B52" i="35"/>
  <c r="C18" i="43"/>
  <c r="C48" i="33"/>
  <c r="T81" i="70"/>
  <c r="U14" i="70"/>
  <c r="T40" i="70"/>
  <c r="C91" i="70"/>
  <c r="C102" i="70" s="1"/>
  <c r="E112" i="33"/>
  <c r="D59" i="33" s="1"/>
  <c r="C137" i="23"/>
  <c r="C146" i="23" s="1"/>
  <c r="B146" i="23"/>
  <c r="C195" i="23"/>
  <c r="F195" i="23"/>
  <c r="G195" i="23"/>
  <c r="D195" i="23"/>
  <c r="B178" i="23"/>
  <c r="B179" i="23" s="1"/>
  <c r="D23" i="39"/>
  <c r="C27" i="39"/>
  <c r="C28" i="39" s="1"/>
  <c r="C29" i="39"/>
  <c r="C31" i="39" s="1"/>
  <c r="C56" i="25"/>
  <c r="B22" i="32"/>
  <c r="B23" i="32"/>
  <c r="B31" i="32" s="1"/>
  <c r="B97" i="23"/>
  <c r="E96" i="23"/>
  <c r="C96" i="23" s="1"/>
  <c r="B88" i="23"/>
  <c r="C26" i="25"/>
  <c r="C27" i="25"/>
  <c r="F74" i="60"/>
  <c r="C42" i="31"/>
  <c r="C62" i="31"/>
  <c r="E282" i="35"/>
  <c r="B13" i="60"/>
  <c r="B21" i="60"/>
  <c r="C59" i="31"/>
  <c r="C60" i="31" s="1"/>
  <c r="C61" i="31" s="1"/>
  <c r="B38" i="31"/>
  <c r="B39" i="31"/>
  <c r="F124" i="35"/>
  <c r="F125" i="35" s="1"/>
  <c r="D54" i="25"/>
  <c r="D56" i="25" s="1"/>
  <c r="F13" i="60"/>
  <c r="F30" i="60"/>
  <c r="F18" i="60"/>
  <c r="F33" i="60"/>
  <c r="B18" i="60"/>
  <c r="C52" i="31"/>
  <c r="D73" i="35"/>
  <c r="D76" i="35" s="1"/>
  <c r="D27" i="25"/>
  <c r="G16" i="35"/>
  <c r="G17" i="35" s="1"/>
  <c r="C37" i="51"/>
  <c r="A43" i="51"/>
  <c r="C43" i="51" s="1"/>
  <c r="C49" i="31"/>
  <c r="C50" i="31" s="1"/>
  <c r="C51" i="31" s="1"/>
  <c r="E158" i="35"/>
  <c r="C124" i="35"/>
  <c r="C125" i="35" s="1"/>
  <c r="C67" i="35"/>
  <c r="G160" i="35"/>
  <c r="G162" i="35" s="1"/>
  <c r="M160" i="35"/>
  <c r="M162" i="35" s="1"/>
  <c r="U160" i="35"/>
  <c r="U162" i="35" s="1"/>
  <c r="Z160" i="35"/>
  <c r="Z162" i="35" s="1"/>
  <c r="L124" i="35"/>
  <c r="L125" i="35" s="1"/>
  <c r="F16" i="35"/>
  <c r="F17" i="35" s="1"/>
  <c r="D46" i="23"/>
  <c r="D33" i="60"/>
  <c r="E224" i="35"/>
  <c r="G224" i="35"/>
  <c r="N165" i="35"/>
  <c r="F165" i="35"/>
  <c r="R160" i="35"/>
  <c r="R162" i="35" s="1"/>
  <c r="K160" i="35"/>
  <c r="K162" i="35" s="1"/>
  <c r="E160" i="35"/>
  <c r="E162" i="35" s="1"/>
  <c r="I17" i="35"/>
  <c r="E16" i="35"/>
  <c r="E17" i="35" s="1"/>
  <c r="B73" i="34"/>
  <c r="B74" i="34" s="1"/>
  <c r="B77" i="34" s="1"/>
  <c r="B65" i="46"/>
  <c r="F65" i="46" s="1"/>
  <c r="C55" i="33"/>
  <c r="C111" i="33"/>
  <c r="C58" i="33" s="1"/>
  <c r="D18" i="60"/>
  <c r="AC165" i="35"/>
  <c r="U165" i="35"/>
  <c r="M165" i="35"/>
  <c r="E165" i="35"/>
  <c r="J160" i="35"/>
  <c r="J162" i="35" s="1"/>
  <c r="C160" i="35"/>
  <c r="C162" i="35" s="1"/>
  <c r="K124" i="35"/>
  <c r="K125" i="35" s="1"/>
  <c r="J17" i="35"/>
  <c r="F6" i="46"/>
  <c r="D51" i="46"/>
  <c r="B50" i="46" s="1"/>
  <c r="B45" i="53"/>
  <c r="B43" i="53"/>
  <c r="C34" i="40"/>
  <c r="C156" i="21"/>
  <c r="B42" i="30"/>
  <c r="E86" i="67"/>
  <c r="C84" i="33"/>
  <c r="C102" i="33"/>
  <c r="C103" i="33" s="1"/>
  <c r="C50" i="33" s="1"/>
  <c r="B34" i="54"/>
  <c r="B58" i="54" s="1"/>
  <c r="B61" i="54" s="1"/>
  <c r="B63" i="54" s="1"/>
  <c r="B65" i="54" s="1"/>
  <c r="C65" i="54" s="1"/>
  <c r="B85" i="54"/>
  <c r="G17" i="24"/>
  <c r="K17" i="24"/>
  <c r="C30" i="45"/>
  <c r="A54" i="39"/>
  <c r="A62" i="39" s="1"/>
  <c r="B15" i="29"/>
  <c r="B16" i="29" s="1"/>
  <c r="B12" i="29"/>
  <c r="C51" i="30"/>
  <c r="C42" i="30" s="1"/>
  <c r="B43" i="30"/>
  <c r="L17" i="24"/>
  <c r="F17" i="24"/>
  <c r="I17" i="24"/>
  <c r="N17" i="24"/>
  <c r="C17" i="24"/>
  <c r="D17" i="24"/>
  <c r="H17" i="24"/>
  <c r="E17" i="24"/>
  <c r="M17" i="24"/>
  <c r="B20" i="24"/>
  <c r="J17" i="24"/>
  <c r="K16" i="24"/>
  <c r="H16" i="24"/>
  <c r="I16" i="24"/>
  <c r="J16" i="24"/>
  <c r="F16" i="24"/>
  <c r="B14" i="24"/>
  <c r="N16" i="24"/>
  <c r="L16" i="24"/>
  <c r="D16" i="24"/>
  <c r="M16" i="24"/>
  <c r="E16" i="24"/>
  <c r="G16" i="24"/>
  <c r="C16" i="24"/>
  <c r="B13" i="24"/>
  <c r="B196" i="21"/>
  <c r="D78" i="33"/>
  <c r="D79" i="33" s="1"/>
  <c r="D80" i="33" s="1"/>
  <c r="D81" i="33" s="1"/>
  <c r="D103" i="33"/>
  <c r="D104" i="33" s="1"/>
  <c r="D105" i="33" s="1"/>
  <c r="E100" i="33"/>
  <c r="E78" i="33"/>
  <c r="B36" i="24"/>
  <c r="B37" i="24"/>
  <c r="B35" i="24"/>
  <c r="B16" i="40"/>
  <c r="B20" i="40"/>
  <c r="B53" i="40"/>
  <c r="B27" i="40"/>
  <c r="B29" i="40" s="1"/>
  <c r="C40" i="40"/>
  <c r="C14" i="40"/>
  <c r="D78" i="40"/>
  <c r="F77" i="40" s="1"/>
  <c r="A44" i="39"/>
  <c r="A55" i="39"/>
  <c r="A63" i="39" s="1"/>
  <c r="B14" i="38"/>
  <c r="D88" i="33"/>
  <c r="F88" i="33"/>
  <c r="D45" i="44"/>
  <c r="B33" i="44"/>
  <c r="E45" i="44"/>
  <c r="F45" i="44"/>
  <c r="B67" i="44"/>
  <c r="C45" i="44"/>
  <c r="B45" i="44"/>
  <c r="F100" i="33" l="1"/>
  <c r="F102" i="33" s="1"/>
  <c r="E51" i="67"/>
  <c r="E52" i="67" s="1"/>
  <c r="F51" i="67"/>
  <c r="D51" i="67"/>
  <c r="D52" i="67" s="1"/>
  <c r="E87" i="33"/>
  <c r="G58" i="33" s="1"/>
  <c r="C23" i="32"/>
  <c r="F19" i="32" s="1"/>
  <c r="F20" i="32" s="1"/>
  <c r="E21" i="32" s="1"/>
  <c r="B33" i="51"/>
  <c r="C33" i="51" s="1"/>
  <c r="C45" i="51" s="1"/>
  <c r="C47" i="51" s="1"/>
  <c r="C51" i="67"/>
  <c r="V87" i="70"/>
  <c r="V113" i="70" s="1"/>
  <c r="D233" i="35"/>
  <c r="K86" i="70"/>
  <c r="B60" i="67"/>
  <c r="B63" i="31"/>
  <c r="C11" i="40"/>
  <c r="C26" i="40" s="1"/>
  <c r="B102" i="32"/>
  <c r="I227" i="35"/>
  <c r="I232" i="35" s="1"/>
  <c r="D88" i="67"/>
  <c r="D90" i="67" s="1"/>
  <c r="F20" i="51"/>
  <c r="F21" i="51" s="1"/>
  <c r="D12" i="51"/>
  <c r="E78" i="32"/>
  <c r="D55" i="36"/>
  <c r="B97" i="67"/>
  <c r="D90" i="70"/>
  <c r="D91" i="70" s="1"/>
  <c r="D112" i="70" s="1"/>
  <c r="D114" i="70" s="1"/>
  <c r="D116" i="70" s="1"/>
  <c r="D118" i="70" s="1"/>
  <c r="D119" i="70" s="1"/>
  <c r="D207" i="21"/>
  <c r="E207" i="21" s="1"/>
  <c r="D57" i="70"/>
  <c r="C88" i="67"/>
  <c r="C94" i="67" s="1"/>
  <c r="C97" i="67" s="1"/>
  <c r="D221" i="21"/>
  <c r="D222" i="21" s="1"/>
  <c r="E97" i="35"/>
  <c r="C288" i="35"/>
  <c r="B97" i="35"/>
  <c r="E56" i="67"/>
  <c r="E60" i="67" s="1"/>
  <c r="C79" i="33"/>
  <c r="F50" i="33" s="1"/>
  <c r="D23" i="41"/>
  <c r="E29" i="21"/>
  <c r="B139" i="21"/>
  <c r="B143" i="21" s="1"/>
  <c r="B90" i="67"/>
  <c r="B91" i="67" s="1"/>
  <c r="G97" i="35"/>
  <c r="D97" i="35"/>
  <c r="C17" i="70"/>
  <c r="C18" i="70" s="1"/>
  <c r="C29" i="70" s="1"/>
  <c r="D29" i="70" s="1"/>
  <c r="C97" i="35"/>
  <c r="D272" i="35"/>
  <c r="E271" i="35"/>
  <c r="F271" i="35" s="1"/>
  <c r="B69" i="32"/>
  <c r="B68" i="32"/>
  <c r="D56" i="67"/>
  <c r="D60" i="67" s="1"/>
  <c r="C49" i="33"/>
  <c r="C77" i="32"/>
  <c r="C79" i="32" s="1"/>
  <c r="C85" i="32" s="1"/>
  <c r="C70" i="32"/>
  <c r="C72" i="32" s="1"/>
  <c r="D41" i="70"/>
  <c r="D43" i="70" s="1"/>
  <c r="D45" i="70" s="1"/>
  <c r="D46" i="70" s="1"/>
  <c r="D63" i="70" s="1"/>
  <c r="C83" i="32"/>
  <c r="F88" i="67"/>
  <c r="C23" i="41"/>
  <c r="E65" i="60"/>
  <c r="F65" i="60" s="1"/>
  <c r="E15" i="70"/>
  <c r="E17" i="70" s="1"/>
  <c r="E18" i="70" s="1"/>
  <c r="E39" i="70" s="1"/>
  <c r="F15" i="70"/>
  <c r="F40" i="70"/>
  <c r="E26" i="70"/>
  <c r="F205" i="21"/>
  <c r="F206" i="21" s="1"/>
  <c r="C27" i="40"/>
  <c r="C29" i="40" s="1"/>
  <c r="C35" i="40" s="1"/>
  <c r="C272" i="35"/>
  <c r="E40" i="70"/>
  <c r="E75" i="60"/>
  <c r="E53" i="67"/>
  <c r="L9" i="70"/>
  <c r="L13" i="70" s="1"/>
  <c r="I30" i="60"/>
  <c r="I13" i="60"/>
  <c r="B15" i="60" s="1"/>
  <c r="I33" i="60"/>
  <c r="I21" i="60"/>
  <c r="I74" i="60"/>
  <c r="I18" i="60"/>
  <c r="B19" i="43"/>
  <c r="C233" i="35"/>
  <c r="B248" i="35" s="1"/>
  <c r="F87" i="70"/>
  <c r="E88" i="70"/>
  <c r="E113" i="70"/>
  <c r="D101" i="70"/>
  <c r="E99" i="70"/>
  <c r="D53" i="67"/>
  <c r="C112" i="70"/>
  <c r="C114" i="70" s="1"/>
  <c r="C116" i="70" s="1"/>
  <c r="C118" i="70" s="1"/>
  <c r="C119" i="70" s="1"/>
  <c r="C103" i="70" s="1"/>
  <c r="B270" i="35"/>
  <c r="F49" i="44"/>
  <c r="E49" i="44"/>
  <c r="D55" i="25"/>
  <c r="C232" i="35"/>
  <c r="D29" i="21"/>
  <c r="D288" i="35"/>
  <c r="F64" i="35"/>
  <c r="E67" i="35"/>
  <c r="B28" i="60"/>
  <c r="C168" i="35"/>
  <c r="B170" i="35"/>
  <c r="D75" i="60"/>
  <c r="D30" i="38"/>
  <c r="J30" i="38"/>
  <c r="B31" i="38" s="1"/>
  <c r="C49" i="44"/>
  <c r="B57" i="35"/>
  <c r="B40" i="31"/>
  <c r="B41" i="31" s="1"/>
  <c r="B43" i="31" s="1"/>
  <c r="C43" i="31"/>
  <c r="E30" i="21"/>
  <c r="F30" i="21" s="1"/>
  <c r="B53" i="31"/>
  <c r="B67" i="60"/>
  <c r="E66" i="60"/>
  <c r="B45" i="30"/>
  <c r="B46" i="30" s="1"/>
  <c r="B48" i="30" s="1"/>
  <c r="B33" i="32"/>
  <c r="B34" i="32" s="1"/>
  <c r="G40" i="70"/>
  <c r="H14" i="70"/>
  <c r="G15" i="70"/>
  <c r="G17" i="70" s="1"/>
  <c r="G18" i="70" s="1"/>
  <c r="G39" i="70" s="1"/>
  <c r="G225" i="35"/>
  <c r="G227" i="35" s="1"/>
  <c r="G232" i="35" s="1"/>
  <c r="E283" i="35"/>
  <c r="E284" i="35" s="1"/>
  <c r="B286" i="35" s="1"/>
  <c r="U81" i="70"/>
  <c r="E225" i="35"/>
  <c r="E227" i="35" s="1"/>
  <c r="B69" i="54"/>
  <c r="C69" i="54" s="1"/>
  <c r="C175" i="35"/>
  <c r="E175" i="35"/>
  <c r="D175" i="35"/>
  <c r="D47" i="23"/>
  <c r="E46" i="23"/>
  <c r="D48" i="23"/>
  <c r="E97" i="23"/>
  <c r="C97" i="23" s="1"/>
  <c r="B98" i="23"/>
  <c r="E221" i="21"/>
  <c r="F220" i="21"/>
  <c r="V14" i="70"/>
  <c r="V40" i="70" s="1"/>
  <c r="U40" i="70"/>
  <c r="F50" i="46"/>
  <c r="B51" i="46"/>
  <c r="B53" i="46"/>
  <c r="E89" i="67"/>
  <c r="E87" i="67"/>
  <c r="E88" i="67" s="1"/>
  <c r="E94" i="67" s="1"/>
  <c r="E95" i="67"/>
  <c r="E73" i="35"/>
  <c r="F73" i="35" s="1"/>
  <c r="G73" i="35" s="1"/>
  <c r="M82" i="70"/>
  <c r="L86" i="70"/>
  <c r="B66" i="54"/>
  <c r="C66" i="54" s="1"/>
  <c r="D27" i="39"/>
  <c r="D28" i="39" s="1"/>
  <c r="D29" i="39"/>
  <c r="D31" i="39" s="1"/>
  <c r="B35" i="40"/>
  <c r="B23" i="35"/>
  <c r="B26" i="35"/>
  <c r="B27" i="35" s="1"/>
  <c r="G196" i="23"/>
  <c r="B201" i="23" s="1"/>
  <c r="F55" i="33"/>
  <c r="C87" i="33"/>
  <c r="F58" i="33" s="1"/>
  <c r="F56" i="67"/>
  <c r="F60" i="67" s="1"/>
  <c r="F52" i="67"/>
  <c r="F53" i="67" s="1"/>
  <c r="F158" i="35"/>
  <c r="E166" i="35"/>
  <c r="E168" i="35" s="1"/>
  <c r="B58" i="35"/>
  <c r="B129" i="35"/>
  <c r="E88" i="23"/>
  <c r="D88" i="23" s="1"/>
  <c r="B89" i="23" s="1"/>
  <c r="C63" i="31"/>
  <c r="B80" i="34"/>
  <c r="B93" i="34"/>
  <c r="B95" i="34" s="1"/>
  <c r="B97" i="34" s="1"/>
  <c r="B78" i="34"/>
  <c r="C53" i="31"/>
  <c r="F288" i="35"/>
  <c r="G287" i="35"/>
  <c r="G288" i="35" s="1"/>
  <c r="D49" i="44"/>
  <c r="C43" i="30"/>
  <c r="C45" i="30" s="1"/>
  <c r="C47" i="30" s="1"/>
  <c r="B25" i="30"/>
  <c r="B28" i="30" s="1"/>
  <c r="C24" i="30"/>
  <c r="C26" i="30" s="1"/>
  <c r="C28" i="30" s="1"/>
  <c r="B18" i="24"/>
  <c r="B22" i="24" s="1"/>
  <c r="B23" i="24" s="1"/>
  <c r="E88" i="33"/>
  <c r="G59" i="33" s="1"/>
  <c r="D107" i="33"/>
  <c r="D114" i="33" s="1"/>
  <c r="F83" i="33"/>
  <c r="F90" i="33" s="1"/>
  <c r="F103" i="33"/>
  <c r="F104" i="33" s="1"/>
  <c r="F105" i="33" s="1"/>
  <c r="C104" i="33"/>
  <c r="D83" i="33"/>
  <c r="D90" i="33" s="1"/>
  <c r="D47" i="33"/>
  <c r="E102" i="33"/>
  <c r="E79" i="33"/>
  <c r="G50" i="33" s="1"/>
  <c r="G49" i="33"/>
  <c r="C16" i="40"/>
  <c r="C48" i="40"/>
  <c r="C52" i="40"/>
  <c r="C42" i="40"/>
  <c r="C44" i="40" s="1"/>
  <c r="B28" i="40"/>
  <c r="F76" i="40"/>
  <c r="F78" i="40" s="1"/>
  <c r="A45" i="39"/>
  <c r="A56" i="39"/>
  <c r="A64" i="39" s="1"/>
  <c r="H45" i="44"/>
  <c r="F46" i="44" s="1"/>
  <c r="B50" i="44" s="1"/>
  <c r="B49" i="44"/>
  <c r="D63" i="31" l="1"/>
  <c r="C28" i="32"/>
  <c r="C44" i="32"/>
  <c r="C46" i="32" s="1"/>
  <c r="D102" i="70"/>
  <c r="D94" i="67"/>
  <c r="D97" i="67" s="1"/>
  <c r="C80" i="33"/>
  <c r="C81" i="33" s="1"/>
  <c r="C52" i="67"/>
  <c r="C53" i="67" s="1"/>
  <c r="C56" i="67"/>
  <c r="C60" i="67" s="1"/>
  <c r="B80" i="67" s="1"/>
  <c r="G205" i="21"/>
  <c r="H205" i="21" s="1"/>
  <c r="D103" i="70"/>
  <c r="D91" i="67"/>
  <c r="C104" i="70"/>
  <c r="C90" i="67"/>
  <c r="C91" i="67" s="1"/>
  <c r="B16" i="60"/>
  <c r="E57" i="70"/>
  <c r="C80" i="32"/>
  <c r="E272" i="35"/>
  <c r="M9" i="70"/>
  <c r="M13" i="70" s="1"/>
  <c r="C39" i="70"/>
  <c r="C41" i="70" s="1"/>
  <c r="C43" i="70" s="1"/>
  <c r="C45" i="70" s="1"/>
  <c r="C46" i="70" s="1"/>
  <c r="F207" i="21"/>
  <c r="F29" i="21"/>
  <c r="E29" i="70"/>
  <c r="F75" i="60"/>
  <c r="D53" i="31"/>
  <c r="C28" i="40"/>
  <c r="E76" i="35"/>
  <c r="D43" i="31"/>
  <c r="B34" i="60"/>
  <c r="F76" i="35"/>
  <c r="F94" i="67"/>
  <c r="F97" i="67" s="1"/>
  <c r="F90" i="67"/>
  <c r="F91" i="67" s="1"/>
  <c r="B70" i="32"/>
  <c r="B72" i="32" s="1"/>
  <c r="B87" i="32"/>
  <c r="B77" i="32"/>
  <c r="B79" i="32" s="1"/>
  <c r="E222" i="21"/>
  <c r="E28" i="70"/>
  <c r="F26" i="70"/>
  <c r="F57" i="70"/>
  <c r="F17" i="70"/>
  <c r="F18" i="70" s="1"/>
  <c r="F39" i="70" s="1"/>
  <c r="F41" i="70" s="1"/>
  <c r="F43" i="70" s="1"/>
  <c r="F45" i="70" s="1"/>
  <c r="F46" i="70" s="1"/>
  <c r="F63" i="70" s="1"/>
  <c r="E41" i="70"/>
  <c r="E43" i="70" s="1"/>
  <c r="E45" i="70" s="1"/>
  <c r="E46" i="70" s="1"/>
  <c r="E63" i="70" s="1"/>
  <c r="E288" i="35"/>
  <c r="H288" i="35" s="1"/>
  <c r="B31" i="60"/>
  <c r="B35" i="60" s="1"/>
  <c r="B19" i="60"/>
  <c r="B23" i="60" s="1"/>
  <c r="B22" i="60"/>
  <c r="E90" i="70"/>
  <c r="E91" i="70" s="1"/>
  <c r="E112" i="70" s="1"/>
  <c r="E114" i="70" s="1"/>
  <c r="E116" i="70" s="1"/>
  <c r="E118" i="70" s="1"/>
  <c r="E119" i="70" s="1"/>
  <c r="E130" i="70"/>
  <c r="F88" i="70"/>
  <c r="F113" i="70"/>
  <c r="G87" i="70"/>
  <c r="E90" i="67"/>
  <c r="E91" i="67" s="1"/>
  <c r="B47" i="30"/>
  <c r="E101" i="70"/>
  <c r="F99" i="70"/>
  <c r="G57" i="70"/>
  <c r="F66" i="60"/>
  <c r="G75" i="60"/>
  <c r="G41" i="70"/>
  <c r="G43" i="70" s="1"/>
  <c r="G45" i="70" s="1"/>
  <c r="G46" i="70" s="1"/>
  <c r="G63" i="70" s="1"/>
  <c r="B68" i="60"/>
  <c r="E67" i="60"/>
  <c r="J31" i="38"/>
  <c r="B32" i="38" s="1"/>
  <c r="D31" i="38"/>
  <c r="B81" i="35"/>
  <c r="I14" i="70"/>
  <c r="H40" i="70"/>
  <c r="H15" i="70"/>
  <c r="G64" i="35"/>
  <c r="G67" i="35" s="1"/>
  <c r="F67" i="35"/>
  <c r="D28" i="32"/>
  <c r="C27" i="32"/>
  <c r="C29" i="32" s="1"/>
  <c r="C31" i="32"/>
  <c r="D31" i="32" s="1"/>
  <c r="E28" i="32"/>
  <c r="C50" i="32"/>
  <c r="C47" i="32"/>
  <c r="B52" i="44"/>
  <c r="B54" i="44" s="1"/>
  <c r="C46" i="30"/>
  <c r="C48" i="30" s="1"/>
  <c r="C50" i="30" s="1"/>
  <c r="C53" i="30" s="1"/>
  <c r="E89" i="23"/>
  <c r="D89" i="23" s="1"/>
  <c r="B90" i="23" s="1"/>
  <c r="E90" i="23" s="1"/>
  <c r="D90" i="23" s="1"/>
  <c r="B79" i="35"/>
  <c r="F53" i="46"/>
  <c r="B56" i="46"/>
  <c r="G158" i="35"/>
  <c r="G175" i="35" s="1"/>
  <c r="F166" i="35"/>
  <c r="F168" i="35" s="1"/>
  <c r="B52" i="46"/>
  <c r="F52" i="46" s="1"/>
  <c r="F51" i="46"/>
  <c r="G271" i="35"/>
  <c r="G272" i="35" s="1"/>
  <c r="F85" i="33"/>
  <c r="F86" i="33" s="1"/>
  <c r="B105" i="34"/>
  <c r="B107" i="34" s="1"/>
  <c r="B81" i="34"/>
  <c r="B83" i="34"/>
  <c r="E98" i="23"/>
  <c r="C98" i="23" s="1"/>
  <c r="B99" i="23"/>
  <c r="E99" i="23" s="1"/>
  <c r="C99" i="23" s="1"/>
  <c r="F51" i="33"/>
  <c r="N82" i="70"/>
  <c r="M86" i="70"/>
  <c r="E232" i="35"/>
  <c r="F233" i="35"/>
  <c r="E233" i="35"/>
  <c r="H233" i="35"/>
  <c r="G233" i="35"/>
  <c r="B230" i="35"/>
  <c r="I233" i="35"/>
  <c r="C86" i="32"/>
  <c r="D109" i="33"/>
  <c r="D110" i="33" s="1"/>
  <c r="E97" i="67"/>
  <c r="F175" i="35"/>
  <c r="E48" i="23"/>
  <c r="E47" i="23"/>
  <c r="F46" i="23"/>
  <c r="G206" i="21"/>
  <c r="G76" i="35"/>
  <c r="G220" i="21"/>
  <c r="F221" i="21"/>
  <c r="V81" i="70"/>
  <c r="F272" i="35"/>
  <c r="B25" i="24"/>
  <c r="F107" i="33"/>
  <c r="F114" i="33" s="1"/>
  <c r="D49" i="33"/>
  <c r="E103" i="33"/>
  <c r="D50" i="33" s="1"/>
  <c r="E80" i="33"/>
  <c r="D85" i="33"/>
  <c r="C51" i="33"/>
  <c r="C105" i="33"/>
  <c r="D104" i="70"/>
  <c r="C53" i="40"/>
  <c r="C56" i="40"/>
  <c r="A46" i="39"/>
  <c r="A58" i="39" s="1"/>
  <c r="A66" i="39" s="1"/>
  <c r="A57" i="39"/>
  <c r="A65" i="39" s="1"/>
  <c r="B50" i="30" l="1"/>
  <c r="B53" i="30" s="1"/>
  <c r="N9" i="70"/>
  <c r="E103" i="70"/>
  <c r="G207" i="21"/>
  <c r="F222" i="21"/>
  <c r="B116" i="67"/>
  <c r="C63" i="70"/>
  <c r="C30" i="70"/>
  <c r="E102" i="70"/>
  <c r="B80" i="32"/>
  <c r="B85" i="32"/>
  <c r="F29" i="70"/>
  <c r="G29" i="70" s="1"/>
  <c r="G26" i="70"/>
  <c r="F28" i="70"/>
  <c r="H87" i="70"/>
  <c r="G113" i="70"/>
  <c r="G88" i="70"/>
  <c r="D113" i="33"/>
  <c r="F130" i="70"/>
  <c r="F90" i="70"/>
  <c r="F91" i="70" s="1"/>
  <c r="F112" i="70" s="1"/>
  <c r="F114" i="70" s="1"/>
  <c r="F116" i="70" s="1"/>
  <c r="F118" i="70" s="1"/>
  <c r="F119" i="70" s="1"/>
  <c r="F103" i="70" s="1"/>
  <c r="B69" i="35"/>
  <c r="G99" i="70"/>
  <c r="F101" i="70"/>
  <c r="D32" i="38"/>
  <c r="J32" i="38"/>
  <c r="B33" i="38" s="1"/>
  <c r="H75" i="60"/>
  <c r="F67" i="60"/>
  <c r="C51" i="32"/>
  <c r="C52" i="32" s="1"/>
  <c r="C54" i="32" s="1"/>
  <c r="C48" i="32"/>
  <c r="H272" i="35"/>
  <c r="E68" i="60"/>
  <c r="F68" i="60" s="1"/>
  <c r="F54" i="46"/>
  <c r="F56" i="46" s="1"/>
  <c r="H57" i="70"/>
  <c r="H17" i="70"/>
  <c r="H18" i="70" s="1"/>
  <c r="H39" i="70" s="1"/>
  <c r="H41" i="70" s="1"/>
  <c r="H43" i="70" s="1"/>
  <c r="H45" i="70" s="1"/>
  <c r="H46" i="70" s="1"/>
  <c r="H63" i="70" s="1"/>
  <c r="C33" i="32"/>
  <c r="C34" i="32" s="1"/>
  <c r="I15" i="70"/>
  <c r="I17" i="70" s="1"/>
  <c r="I18" i="70" s="1"/>
  <c r="I39" i="70" s="1"/>
  <c r="I40" i="70"/>
  <c r="J14" i="70"/>
  <c r="G221" i="21"/>
  <c r="H220" i="21"/>
  <c r="G46" i="23"/>
  <c r="F48" i="23"/>
  <c r="F47" i="23"/>
  <c r="N86" i="70"/>
  <c r="O82" i="70"/>
  <c r="D91" i="23"/>
  <c r="H206" i="21"/>
  <c r="I205" i="21"/>
  <c r="N13" i="70"/>
  <c r="O9" i="70"/>
  <c r="F52" i="33"/>
  <c r="C83" i="33"/>
  <c r="F89" i="33"/>
  <c r="G166" i="35"/>
  <c r="G168" i="35" s="1"/>
  <c r="H158" i="35"/>
  <c r="D86" i="33"/>
  <c r="D89" i="33"/>
  <c r="E104" i="33"/>
  <c r="C107" i="33"/>
  <c r="C109" i="33" s="1"/>
  <c r="C52" i="33"/>
  <c r="G51" i="33"/>
  <c r="E81" i="33"/>
  <c r="F109" i="33"/>
  <c r="H207" i="21" l="1"/>
  <c r="E104" i="70"/>
  <c r="G222" i="21"/>
  <c r="D30" i="70"/>
  <c r="C31" i="70"/>
  <c r="B86" i="32"/>
  <c r="D85" i="32"/>
  <c r="I75" i="60"/>
  <c r="B76" i="60" s="1"/>
  <c r="G28" i="70"/>
  <c r="H26" i="70"/>
  <c r="F102" i="70"/>
  <c r="F104" i="70" s="1"/>
  <c r="G130" i="70"/>
  <c r="G90" i="70"/>
  <c r="G91" i="70" s="1"/>
  <c r="G112" i="70" s="1"/>
  <c r="G114" i="70" s="1"/>
  <c r="G116" i="70" s="1"/>
  <c r="G118" i="70" s="1"/>
  <c r="G119" i="70" s="1"/>
  <c r="G103" i="70" s="1"/>
  <c r="G101" i="70"/>
  <c r="H99" i="70"/>
  <c r="H113" i="70"/>
  <c r="H88" i="70"/>
  <c r="I87" i="70"/>
  <c r="H29" i="70"/>
  <c r="I29" i="70" s="1"/>
  <c r="J33" i="38"/>
  <c r="D33" i="38"/>
  <c r="J15" i="70"/>
  <c r="K14" i="70"/>
  <c r="J40" i="70"/>
  <c r="I57" i="70"/>
  <c r="I41" i="70"/>
  <c r="I43" i="70" s="1"/>
  <c r="I45" i="70" s="1"/>
  <c r="I46" i="70" s="1"/>
  <c r="I63" i="70" s="1"/>
  <c r="C85" i="33"/>
  <c r="F54" i="33"/>
  <c r="C90" i="33"/>
  <c r="F61" i="33" s="1"/>
  <c r="O13" i="70"/>
  <c r="P9" i="70"/>
  <c r="P82" i="70"/>
  <c r="O86" i="70"/>
  <c r="J205" i="21"/>
  <c r="I206" i="21"/>
  <c r="I207" i="21" s="1"/>
  <c r="G47" i="23"/>
  <c r="H46" i="23"/>
  <c r="G48" i="23"/>
  <c r="I220" i="21"/>
  <c r="H221" i="21"/>
  <c r="H222" i="21" s="1"/>
  <c r="I158" i="35"/>
  <c r="I175" i="35" s="1"/>
  <c r="H166" i="35"/>
  <c r="H168" i="35" s="1"/>
  <c r="H175" i="35"/>
  <c r="C56" i="33"/>
  <c r="C110" i="33"/>
  <c r="C57" i="33" s="1"/>
  <c r="C113" i="33"/>
  <c r="C60" i="33" s="1"/>
  <c r="E105" i="33"/>
  <c r="D51" i="33"/>
  <c r="E83" i="33"/>
  <c r="E85" i="33" s="1"/>
  <c r="G52" i="33"/>
  <c r="C114" i="33"/>
  <c r="C61" i="33" s="1"/>
  <c r="C54" i="33"/>
  <c r="F110" i="33"/>
  <c r="F113" i="33"/>
  <c r="E30" i="70" l="1"/>
  <c r="D31" i="70"/>
  <c r="H28" i="70"/>
  <c r="I26" i="70"/>
  <c r="I113" i="70"/>
  <c r="I88" i="70"/>
  <c r="J87" i="70"/>
  <c r="H90" i="70"/>
  <c r="H91" i="70" s="1"/>
  <c r="H112" i="70" s="1"/>
  <c r="H114" i="70" s="1"/>
  <c r="H116" i="70" s="1"/>
  <c r="H118" i="70" s="1"/>
  <c r="H119" i="70" s="1"/>
  <c r="H103" i="70" s="1"/>
  <c r="H130" i="70"/>
  <c r="I99" i="70"/>
  <c r="H101" i="70"/>
  <c r="G102" i="70"/>
  <c r="J57" i="70"/>
  <c r="J17" i="70"/>
  <c r="J18" i="70" s="1"/>
  <c r="G113" i="33"/>
  <c r="L14" i="70"/>
  <c r="K15" i="70"/>
  <c r="K40" i="70"/>
  <c r="I221" i="21"/>
  <c r="I222" i="21" s="1"/>
  <c r="J220" i="21"/>
  <c r="J206" i="21"/>
  <c r="J207" i="21" s="1"/>
  <c r="K205" i="21"/>
  <c r="C89" i="33"/>
  <c r="F60" i="33" s="1"/>
  <c r="C86" i="33"/>
  <c r="F57" i="33" s="1"/>
  <c r="F56" i="33"/>
  <c r="Q82" i="70"/>
  <c r="P86" i="70"/>
  <c r="P13" i="70"/>
  <c r="Q9" i="70"/>
  <c r="J158" i="35"/>
  <c r="I166" i="35"/>
  <c r="I168" i="35" s="1"/>
  <c r="I46" i="23"/>
  <c r="H47" i="23"/>
  <c r="H48" i="23"/>
  <c r="G56" i="33"/>
  <c r="E86" i="33"/>
  <c r="G57" i="33" s="1"/>
  <c r="E89" i="33"/>
  <c r="G60" i="33" s="1"/>
  <c r="G54" i="33"/>
  <c r="E90" i="33"/>
  <c r="G61" i="33" s="1"/>
  <c r="D52" i="33"/>
  <c r="E107" i="33"/>
  <c r="G104" i="70"/>
  <c r="E31" i="70" l="1"/>
  <c r="F30" i="70"/>
  <c r="J26" i="70"/>
  <c r="I28" i="70"/>
  <c r="H102" i="70"/>
  <c r="H104" i="70" s="1"/>
  <c r="J99" i="70"/>
  <c r="I101" i="70"/>
  <c r="J113" i="70"/>
  <c r="J88" i="70"/>
  <c r="K87" i="70"/>
  <c r="I130" i="70"/>
  <c r="I90" i="70"/>
  <c r="I91" i="70" s="1"/>
  <c r="I112" i="70" s="1"/>
  <c r="I114" i="70" s="1"/>
  <c r="I116" i="70" s="1"/>
  <c r="I118" i="70" s="1"/>
  <c r="I119" i="70" s="1"/>
  <c r="I103" i="70" s="1"/>
  <c r="M14" i="70"/>
  <c r="L40" i="70"/>
  <c r="L15" i="70"/>
  <c r="K17" i="70"/>
  <c r="K18" i="70" s="1"/>
  <c r="K39" i="70" s="1"/>
  <c r="K41" i="70" s="1"/>
  <c r="K43" i="70" s="1"/>
  <c r="K45" i="70" s="1"/>
  <c r="K46" i="70" s="1"/>
  <c r="K63" i="70" s="1"/>
  <c r="K57" i="70"/>
  <c r="J39" i="70"/>
  <c r="J41" i="70" s="1"/>
  <c r="J43" i="70" s="1"/>
  <c r="J45" i="70" s="1"/>
  <c r="J46" i="70" s="1"/>
  <c r="J63" i="70" s="1"/>
  <c r="J29" i="70"/>
  <c r="J221" i="21"/>
  <c r="J222" i="21" s="1"/>
  <c r="K220" i="21"/>
  <c r="K158" i="35"/>
  <c r="J166" i="35"/>
  <c r="J168" i="35" s="1"/>
  <c r="J175" i="35"/>
  <c r="I48" i="23"/>
  <c r="J46" i="23"/>
  <c r="I47" i="23"/>
  <c r="R82" i="70"/>
  <c r="Q86" i="70"/>
  <c r="Q13" i="70"/>
  <c r="R9" i="70"/>
  <c r="K206" i="21"/>
  <c r="K207" i="21" s="1"/>
  <c r="L205" i="21"/>
  <c r="E114" i="33"/>
  <c r="D61" i="33" s="1"/>
  <c r="D54" i="33"/>
  <c r="E109" i="33"/>
  <c r="F31" i="70" l="1"/>
  <c r="G30" i="70"/>
  <c r="K29" i="70"/>
  <c r="K26" i="70"/>
  <c r="J28" i="70"/>
  <c r="J130" i="70"/>
  <c r="J90" i="70"/>
  <c r="J91" i="70" s="1"/>
  <c r="J112" i="70" s="1"/>
  <c r="J114" i="70" s="1"/>
  <c r="J116" i="70" s="1"/>
  <c r="J118" i="70" s="1"/>
  <c r="J119" i="70" s="1"/>
  <c r="J103" i="70" s="1"/>
  <c r="K113" i="70"/>
  <c r="L87" i="70"/>
  <c r="K88" i="70"/>
  <c r="K99" i="70"/>
  <c r="J101" i="70"/>
  <c r="I102" i="70"/>
  <c r="I104" i="70" s="1"/>
  <c r="L57" i="70"/>
  <c r="L17" i="70"/>
  <c r="L18" i="70" s="1"/>
  <c r="L39" i="70" s="1"/>
  <c r="L41" i="70" s="1"/>
  <c r="L43" i="70" s="1"/>
  <c r="L45" i="70" s="1"/>
  <c r="L46" i="70" s="1"/>
  <c r="L63" i="70" s="1"/>
  <c r="M40" i="70"/>
  <c r="M15" i="70"/>
  <c r="N14" i="70"/>
  <c r="R86" i="70"/>
  <c r="R88" i="70" s="1"/>
  <c r="S82" i="70"/>
  <c r="L220" i="21"/>
  <c r="K221" i="21"/>
  <c r="K222" i="21" s="1"/>
  <c r="S9" i="70"/>
  <c r="R13" i="70"/>
  <c r="R15" i="70" s="1"/>
  <c r="J48" i="23"/>
  <c r="K46" i="23"/>
  <c r="J47" i="23"/>
  <c r="K166" i="35"/>
  <c r="K168" i="35" s="1"/>
  <c r="L158" i="35"/>
  <c r="K175" i="35"/>
  <c r="L206" i="21"/>
  <c r="L207" i="21" s="1"/>
  <c r="M205" i="21"/>
  <c r="E113" i="33"/>
  <c r="D60" i="33" s="1"/>
  <c r="D56" i="33"/>
  <c r="E110" i="33"/>
  <c r="D57" i="33" s="1"/>
  <c r="H30" i="70" l="1"/>
  <c r="G31" i="70"/>
  <c r="L26" i="70"/>
  <c r="K28" i="70"/>
  <c r="L99" i="70"/>
  <c r="K101" i="70"/>
  <c r="L88" i="70"/>
  <c r="M87" i="70"/>
  <c r="L113" i="70"/>
  <c r="K130" i="70"/>
  <c r="K90" i="70"/>
  <c r="K91" i="70" s="1"/>
  <c r="K112" i="70" s="1"/>
  <c r="K114" i="70" s="1"/>
  <c r="K116" i="70" s="1"/>
  <c r="K118" i="70" s="1"/>
  <c r="K119" i="70" s="1"/>
  <c r="K103" i="70" s="1"/>
  <c r="J102" i="70"/>
  <c r="K102" i="70" s="1"/>
  <c r="M17" i="70"/>
  <c r="M18" i="70" s="1"/>
  <c r="M39" i="70" s="1"/>
  <c r="M41" i="70" s="1"/>
  <c r="M43" i="70" s="1"/>
  <c r="M45" i="70" s="1"/>
  <c r="M46" i="70" s="1"/>
  <c r="M63" i="70" s="1"/>
  <c r="M57" i="70"/>
  <c r="O14" i="70"/>
  <c r="N40" i="70"/>
  <c r="N15" i="70"/>
  <c r="L29" i="70"/>
  <c r="L166" i="35"/>
  <c r="L168" i="35" s="1"/>
  <c r="M158" i="35"/>
  <c r="M175" i="35" s="1"/>
  <c r="L175" i="35"/>
  <c r="B189" i="35" s="1"/>
  <c r="R17" i="70"/>
  <c r="R18" i="70" s="1"/>
  <c r="R39" i="70" s="1"/>
  <c r="R41" i="70" s="1"/>
  <c r="R43" i="70" s="1"/>
  <c r="R45" i="70" s="1"/>
  <c r="R46" i="70" s="1"/>
  <c r="R63" i="70" s="1"/>
  <c r="R57" i="70"/>
  <c r="M220" i="21"/>
  <c r="L221" i="21"/>
  <c r="L222" i="21" s="1"/>
  <c r="T82" i="70"/>
  <c r="S86" i="70"/>
  <c r="S88" i="70" s="1"/>
  <c r="T9" i="70"/>
  <c r="S13" i="70"/>
  <c r="S15" i="70" s="1"/>
  <c r="R130" i="70"/>
  <c r="R90" i="70"/>
  <c r="R91" i="70" s="1"/>
  <c r="R112" i="70" s="1"/>
  <c r="R114" i="70" s="1"/>
  <c r="R116" i="70" s="1"/>
  <c r="R118" i="70" s="1"/>
  <c r="R119" i="70" s="1"/>
  <c r="K47" i="23"/>
  <c r="K48" i="23"/>
  <c r="L46" i="23"/>
  <c r="M206" i="21"/>
  <c r="M207" i="21" s="1"/>
  <c r="N205" i="21"/>
  <c r="M29" i="70" l="1"/>
  <c r="H31" i="70"/>
  <c r="I30" i="70"/>
  <c r="M26" i="70"/>
  <c r="L28" i="70"/>
  <c r="J104" i="70"/>
  <c r="L90" i="70"/>
  <c r="L91" i="70" s="1"/>
  <c r="L112" i="70" s="1"/>
  <c r="L114" i="70" s="1"/>
  <c r="L116" i="70" s="1"/>
  <c r="L118" i="70" s="1"/>
  <c r="L119" i="70" s="1"/>
  <c r="L103" i="70" s="1"/>
  <c r="L130" i="70"/>
  <c r="N87" i="70"/>
  <c r="M113" i="70"/>
  <c r="M88" i="70"/>
  <c r="L101" i="70"/>
  <c r="M99" i="70"/>
  <c r="O40" i="70"/>
  <c r="P14" i="70"/>
  <c r="O15" i="70"/>
  <c r="N17" i="70"/>
  <c r="N18" i="70" s="1"/>
  <c r="N57" i="70"/>
  <c r="M221" i="21"/>
  <c r="M222" i="21" s="1"/>
  <c r="N220" i="21"/>
  <c r="T13" i="70"/>
  <c r="T15" i="70" s="1"/>
  <c r="U9" i="70"/>
  <c r="S130" i="70"/>
  <c r="S90" i="70"/>
  <c r="S91" i="70" s="1"/>
  <c r="S112" i="70" s="1"/>
  <c r="S114" i="70" s="1"/>
  <c r="S116" i="70" s="1"/>
  <c r="S118" i="70" s="1"/>
  <c r="S119" i="70" s="1"/>
  <c r="M166" i="35"/>
  <c r="M168" i="35" s="1"/>
  <c r="N158" i="35"/>
  <c r="N206" i="21"/>
  <c r="N207" i="21" s="1"/>
  <c r="O205" i="21"/>
  <c r="S57" i="70"/>
  <c r="S17" i="70"/>
  <c r="S18" i="70" s="1"/>
  <c r="S39" i="70" s="1"/>
  <c r="S41" i="70" s="1"/>
  <c r="S43" i="70" s="1"/>
  <c r="S45" i="70" s="1"/>
  <c r="S46" i="70" s="1"/>
  <c r="S63" i="70" s="1"/>
  <c r="M46" i="23"/>
  <c r="L48" i="23"/>
  <c r="L47" i="23"/>
  <c r="U82" i="70"/>
  <c r="T86" i="70"/>
  <c r="T88" i="70" s="1"/>
  <c r="K104" i="70"/>
  <c r="I31" i="70" l="1"/>
  <c r="J30" i="70"/>
  <c r="N26" i="70"/>
  <c r="M28" i="70"/>
  <c r="M90" i="70"/>
  <c r="M91" i="70" s="1"/>
  <c r="M112" i="70" s="1"/>
  <c r="M114" i="70" s="1"/>
  <c r="M116" i="70" s="1"/>
  <c r="M118" i="70" s="1"/>
  <c r="M119" i="70" s="1"/>
  <c r="M103" i="70" s="1"/>
  <c r="M130" i="70"/>
  <c r="O87" i="70"/>
  <c r="N113" i="70"/>
  <c r="N88" i="70"/>
  <c r="M101" i="70"/>
  <c r="N99" i="70"/>
  <c r="L102" i="70"/>
  <c r="Q14" i="70"/>
  <c r="P40" i="70"/>
  <c r="P15" i="70"/>
  <c r="N29" i="70"/>
  <c r="N39" i="70"/>
  <c r="N41" i="70" s="1"/>
  <c r="N43" i="70" s="1"/>
  <c r="N45" i="70" s="1"/>
  <c r="N46" i="70" s="1"/>
  <c r="N63" i="70" s="1"/>
  <c r="O17" i="70"/>
  <c r="O18" i="70" s="1"/>
  <c r="O39" i="70" s="1"/>
  <c r="O41" i="70" s="1"/>
  <c r="O43" i="70" s="1"/>
  <c r="O45" i="70" s="1"/>
  <c r="O46" i="70" s="1"/>
  <c r="O63" i="70" s="1"/>
  <c r="O57" i="70"/>
  <c r="V82" i="70"/>
  <c r="V86" i="70" s="1"/>
  <c r="V88" i="70" s="1"/>
  <c r="U86" i="70"/>
  <c r="U88" i="70" s="1"/>
  <c r="V9" i="70"/>
  <c r="V13" i="70" s="1"/>
  <c r="V15" i="70" s="1"/>
  <c r="U13" i="70"/>
  <c r="U15" i="70" s="1"/>
  <c r="T57" i="70"/>
  <c r="T17" i="70"/>
  <c r="T18" i="70" s="1"/>
  <c r="T39" i="70" s="1"/>
  <c r="T41" i="70" s="1"/>
  <c r="T43" i="70" s="1"/>
  <c r="T45" i="70" s="1"/>
  <c r="T46" i="70" s="1"/>
  <c r="T63" i="70" s="1"/>
  <c r="N46" i="23"/>
  <c r="M48" i="23"/>
  <c r="M47" i="23"/>
  <c r="O220" i="21"/>
  <c r="N221" i="21"/>
  <c r="N222" i="21" s="1"/>
  <c r="N166" i="35"/>
  <c r="N168" i="35" s="1"/>
  <c r="O158" i="35"/>
  <c r="N175" i="35"/>
  <c r="T90" i="70"/>
  <c r="T91" i="70" s="1"/>
  <c r="T112" i="70" s="1"/>
  <c r="T114" i="70" s="1"/>
  <c r="T116" i="70" s="1"/>
  <c r="T118" i="70" s="1"/>
  <c r="T119" i="70" s="1"/>
  <c r="T130" i="70"/>
  <c r="O206" i="21"/>
  <c r="O207" i="21" s="1"/>
  <c r="P205" i="21"/>
  <c r="L104" i="70"/>
  <c r="J31" i="70" l="1"/>
  <c r="K30" i="70"/>
  <c r="M102" i="70"/>
  <c r="M104" i="70" s="1"/>
  <c r="N28" i="70"/>
  <c r="O26" i="70"/>
  <c r="O99" i="70"/>
  <c r="N101" i="70"/>
  <c r="N130" i="70"/>
  <c r="N90" i="70"/>
  <c r="N91" i="70" s="1"/>
  <c r="N112" i="70" s="1"/>
  <c r="N114" i="70" s="1"/>
  <c r="N116" i="70" s="1"/>
  <c r="N118" i="70" s="1"/>
  <c r="N119" i="70" s="1"/>
  <c r="N103" i="70" s="1"/>
  <c r="P87" i="70"/>
  <c r="O88" i="70"/>
  <c r="O113" i="70"/>
  <c r="O29" i="70"/>
  <c r="P57" i="70"/>
  <c r="P17" i="70"/>
  <c r="P18" i="70" s="1"/>
  <c r="P39" i="70" s="1"/>
  <c r="P41" i="70" s="1"/>
  <c r="P43" i="70" s="1"/>
  <c r="P45" i="70" s="1"/>
  <c r="P46" i="70" s="1"/>
  <c r="P63" i="70" s="1"/>
  <c r="Q40" i="70"/>
  <c r="Q15" i="70"/>
  <c r="U130" i="70"/>
  <c r="U90" i="70"/>
  <c r="U91" i="70" s="1"/>
  <c r="U112" i="70" s="1"/>
  <c r="U114" i="70" s="1"/>
  <c r="U116" i="70" s="1"/>
  <c r="U118" i="70" s="1"/>
  <c r="U119" i="70" s="1"/>
  <c r="U57" i="70"/>
  <c r="U17" i="70"/>
  <c r="U18" i="70" s="1"/>
  <c r="U39" i="70" s="1"/>
  <c r="U41" i="70" s="1"/>
  <c r="U43" i="70" s="1"/>
  <c r="U45" i="70" s="1"/>
  <c r="U46" i="70" s="1"/>
  <c r="U63" i="70" s="1"/>
  <c r="P220" i="21"/>
  <c r="O221" i="21"/>
  <c r="O222" i="21" s="1"/>
  <c r="V17" i="70"/>
  <c r="V18" i="70" s="1"/>
  <c r="V39" i="70" s="1"/>
  <c r="V41" i="70" s="1"/>
  <c r="V43" i="70" s="1"/>
  <c r="V45" i="70" s="1"/>
  <c r="V46" i="70" s="1"/>
  <c r="V90" i="70"/>
  <c r="V91" i="70" s="1"/>
  <c r="V112" i="70" s="1"/>
  <c r="V114" i="70" s="1"/>
  <c r="V116" i="70" s="1"/>
  <c r="V118" i="70" s="1"/>
  <c r="V119" i="70" s="1"/>
  <c r="V130" i="70"/>
  <c r="N48" i="23"/>
  <c r="N47" i="23"/>
  <c r="O166" i="35"/>
  <c r="O168" i="35" s="1"/>
  <c r="P158" i="35"/>
  <c r="O175" i="35"/>
  <c r="Q205" i="21"/>
  <c r="P206" i="21"/>
  <c r="P207" i="21" s="1"/>
  <c r="K31" i="70" l="1"/>
  <c r="L30" i="70"/>
  <c r="P26" i="70"/>
  <c r="O28" i="70"/>
  <c r="O90" i="70"/>
  <c r="O91" i="70" s="1"/>
  <c r="O112" i="70" s="1"/>
  <c r="O114" i="70" s="1"/>
  <c r="O116" i="70" s="1"/>
  <c r="O118" i="70" s="1"/>
  <c r="O119" i="70" s="1"/>
  <c r="O103" i="70" s="1"/>
  <c r="O130" i="70"/>
  <c r="P113" i="70"/>
  <c r="P88" i="70"/>
  <c r="Q87" i="70"/>
  <c r="P99" i="70"/>
  <c r="O101" i="70"/>
  <c r="N102" i="70"/>
  <c r="Q57" i="70"/>
  <c r="Q17" i="70"/>
  <c r="Q18" i="70" s="1"/>
  <c r="Q39" i="70" s="1"/>
  <c r="Q41" i="70" s="1"/>
  <c r="Q43" i="70" s="1"/>
  <c r="Q45" i="70" s="1"/>
  <c r="Q46" i="70" s="1"/>
  <c r="Q63" i="70" s="1"/>
  <c r="P29" i="70"/>
  <c r="R205" i="21"/>
  <c r="Q206" i="21"/>
  <c r="Q207" i="21" s="1"/>
  <c r="Q158" i="35"/>
  <c r="P166" i="35"/>
  <c r="P168" i="35" s="1"/>
  <c r="P175" i="35"/>
  <c r="Q220" i="21"/>
  <c r="P221" i="21"/>
  <c r="P222" i="21" s="1"/>
  <c r="Q29" i="70" l="1"/>
  <c r="R29" i="70" s="1"/>
  <c r="S29" i="70" s="1"/>
  <c r="T29" i="70" s="1"/>
  <c r="U29" i="70" s="1"/>
  <c r="V29" i="70" s="1"/>
  <c r="M30" i="70"/>
  <c r="L31" i="70"/>
  <c r="O102" i="70"/>
  <c r="O104" i="70" s="1"/>
  <c r="Q26" i="70"/>
  <c r="P28" i="70"/>
  <c r="N104" i="70"/>
  <c r="Q99" i="70"/>
  <c r="P101" i="70"/>
  <c r="P130" i="70"/>
  <c r="P90" i="70"/>
  <c r="P91" i="70" s="1"/>
  <c r="Q88" i="70"/>
  <c r="Q113" i="70"/>
  <c r="R220" i="21"/>
  <c r="Q221" i="21"/>
  <c r="Q222" i="21" s="1"/>
  <c r="R206" i="21"/>
  <c r="R207" i="21" s="1"/>
  <c r="S205" i="21"/>
  <c r="R158" i="35"/>
  <c r="Q166" i="35"/>
  <c r="Q168" i="35" s="1"/>
  <c r="Q175" i="35"/>
  <c r="N30" i="70" l="1"/>
  <c r="M31" i="70"/>
  <c r="Q28" i="70"/>
  <c r="R26" i="70"/>
  <c r="P112" i="70"/>
  <c r="P114" i="70" s="1"/>
  <c r="P116" i="70" s="1"/>
  <c r="P118" i="70" s="1"/>
  <c r="P119" i="70" s="1"/>
  <c r="P103" i="70" s="1"/>
  <c r="P102" i="70"/>
  <c r="Q90" i="70"/>
  <c r="Q91" i="70" s="1"/>
  <c r="Q112" i="70" s="1"/>
  <c r="Q114" i="70" s="1"/>
  <c r="Q116" i="70" s="1"/>
  <c r="Q118" i="70" s="1"/>
  <c r="Q119" i="70" s="1"/>
  <c r="Q130" i="70"/>
  <c r="B132" i="70" s="1"/>
  <c r="R99" i="70"/>
  <c r="Q101" i="70"/>
  <c r="S158" i="35"/>
  <c r="R166" i="35"/>
  <c r="R168" i="35" s="1"/>
  <c r="R175" i="35"/>
  <c r="R221" i="21"/>
  <c r="R222" i="21" s="1"/>
  <c r="S220" i="21"/>
  <c r="T205" i="21"/>
  <c r="S206" i="21"/>
  <c r="S207" i="21" s="1"/>
  <c r="Q103" i="70" l="1"/>
  <c r="R103" i="70" s="1"/>
  <c r="O30" i="70"/>
  <c r="N31" i="70"/>
  <c r="P104" i="70"/>
  <c r="R28" i="70"/>
  <c r="S26" i="70"/>
  <c r="S99" i="70"/>
  <c r="R101" i="70"/>
  <c r="Q102" i="70"/>
  <c r="R102" i="70" s="1"/>
  <c r="S102" i="70" s="1"/>
  <c r="T102" i="70" s="1"/>
  <c r="U102" i="70" s="1"/>
  <c r="V102" i="70" s="1"/>
  <c r="T158" i="35"/>
  <c r="S166" i="35"/>
  <c r="S168" i="35" s="1"/>
  <c r="S175" i="35"/>
  <c r="S221" i="21"/>
  <c r="S222" i="21" s="1"/>
  <c r="T220" i="21"/>
  <c r="U205" i="21"/>
  <c r="T206" i="21"/>
  <c r="T207" i="21" s="1"/>
  <c r="Q104" i="70" l="1"/>
  <c r="O31" i="70"/>
  <c r="P30" i="70"/>
  <c r="S28" i="70"/>
  <c r="T26" i="70"/>
  <c r="S101" i="70"/>
  <c r="T99" i="70"/>
  <c r="V205" i="21"/>
  <c r="U206" i="21"/>
  <c r="U207" i="21" s="1"/>
  <c r="U220" i="21"/>
  <c r="T221" i="21"/>
  <c r="T222" i="21" s="1"/>
  <c r="U158" i="35"/>
  <c r="T166" i="35"/>
  <c r="T168" i="35" s="1"/>
  <c r="T175" i="35"/>
  <c r="S103" i="70"/>
  <c r="R104" i="70"/>
  <c r="P31" i="70" l="1"/>
  <c r="Q30" i="70"/>
  <c r="T28" i="70"/>
  <c r="U26" i="70"/>
  <c r="T101" i="70"/>
  <c r="U99" i="70"/>
  <c r="U221" i="21"/>
  <c r="U222" i="21" s="1"/>
  <c r="V220" i="21"/>
  <c r="V206" i="21"/>
  <c r="V207" i="21" s="1"/>
  <c r="W205" i="21"/>
  <c r="V158" i="35"/>
  <c r="U166" i="35"/>
  <c r="U168" i="35" s="1"/>
  <c r="U175" i="35"/>
  <c r="S104" i="70"/>
  <c r="T103" i="70"/>
  <c r="R30" i="70" l="1"/>
  <c r="Q31" i="70"/>
  <c r="U28" i="70"/>
  <c r="V26" i="70"/>
  <c r="V99" i="70"/>
  <c r="V101" i="70" s="1"/>
  <c r="U101" i="70"/>
  <c r="X205" i="21"/>
  <c r="W206" i="21"/>
  <c r="W207" i="21" s="1"/>
  <c r="W220" i="21"/>
  <c r="V221" i="21"/>
  <c r="V222" i="21" s="1"/>
  <c r="W158" i="35"/>
  <c r="V166" i="35"/>
  <c r="V168" i="35" s="1"/>
  <c r="V175" i="35"/>
  <c r="T104" i="70"/>
  <c r="U103" i="70"/>
  <c r="R31" i="70" l="1"/>
  <c r="S30" i="70"/>
  <c r="V28" i="70"/>
  <c r="V57" i="70"/>
  <c r="B59" i="70" s="1"/>
  <c r="V63" i="70"/>
  <c r="B65" i="70" s="1"/>
  <c r="X158" i="35"/>
  <c r="W166" i="35"/>
  <c r="W168" i="35" s="1"/>
  <c r="W175" i="35"/>
  <c r="W221" i="21"/>
  <c r="W222" i="21" s="1"/>
  <c r="X220" i="21"/>
  <c r="X206" i="21"/>
  <c r="X207" i="21" s="1"/>
  <c r="Y205" i="21"/>
  <c r="V103" i="70"/>
  <c r="V104" i="70" s="1"/>
  <c r="U104" i="70"/>
  <c r="T30" i="70" l="1"/>
  <c r="S31" i="70"/>
  <c r="Y220" i="21"/>
  <c r="X221" i="21"/>
  <c r="X222" i="21" s="1"/>
  <c r="Y158" i="35"/>
  <c r="X166" i="35"/>
  <c r="X168" i="35" s="1"/>
  <c r="X175" i="35"/>
  <c r="Z205" i="21"/>
  <c r="Y206" i="21"/>
  <c r="Y207" i="21" s="1"/>
  <c r="U30" i="70" l="1"/>
  <c r="T31" i="70"/>
  <c r="Z206" i="21"/>
  <c r="Z207" i="21" s="1"/>
  <c r="AA205" i="21"/>
  <c r="Y166" i="35"/>
  <c r="Y168" i="35" s="1"/>
  <c r="Z158" i="35"/>
  <c r="Y175" i="35"/>
  <c r="Z220" i="21"/>
  <c r="Y221" i="21"/>
  <c r="Y222" i="21" s="1"/>
  <c r="U31" i="70" l="1"/>
  <c r="V30" i="70"/>
  <c r="V31" i="70" s="1"/>
  <c r="AA220" i="21"/>
  <c r="Z221" i="21"/>
  <c r="Z222" i="21" s="1"/>
  <c r="AA158" i="35"/>
  <c r="Z166" i="35"/>
  <c r="Z168" i="35" s="1"/>
  <c r="Z175" i="35"/>
  <c r="AB205" i="21"/>
  <c r="AA206" i="21"/>
  <c r="AA207" i="21" s="1"/>
  <c r="AC205" i="21" l="1"/>
  <c r="AB206" i="21"/>
  <c r="AB207" i="21" s="1"/>
  <c r="AB158" i="35"/>
  <c r="AA166" i="35"/>
  <c r="AA168" i="35" s="1"/>
  <c r="AA175" i="35"/>
  <c r="AA221" i="21"/>
  <c r="AA222" i="21" s="1"/>
  <c r="AB220" i="21"/>
  <c r="AC206" i="21" l="1"/>
  <c r="AC207" i="21" s="1"/>
  <c r="AD205" i="21"/>
  <c r="AC158" i="35"/>
  <c r="AB166" i="35"/>
  <c r="AB168" i="35" s="1"/>
  <c r="AB175" i="35"/>
  <c r="AB221" i="21"/>
  <c r="AB222" i="21" s="1"/>
  <c r="AC220" i="21"/>
  <c r="AC166" i="35" l="1"/>
  <c r="AC168" i="35" s="1"/>
  <c r="AD158" i="35"/>
  <c r="AC175" i="35"/>
  <c r="AE205" i="21"/>
  <c r="AD206" i="21"/>
  <c r="AD207" i="21" s="1"/>
  <c r="AD220" i="21"/>
  <c r="AC221" i="21"/>
  <c r="AC222" i="21" s="1"/>
  <c r="AF205" i="21" l="1"/>
  <c r="AE206" i="21"/>
  <c r="AE207" i="21" s="1"/>
  <c r="AE158" i="35"/>
  <c r="AD166" i="35"/>
  <c r="AD168" i="35" s="1"/>
  <c r="AD175" i="35"/>
  <c r="AD221" i="21"/>
  <c r="AD222" i="21" s="1"/>
  <c r="AE220" i="21"/>
  <c r="AE221" i="21" l="1"/>
  <c r="AE222" i="21" s="1"/>
  <c r="AF220" i="21"/>
  <c r="AF206" i="21"/>
  <c r="AF207" i="21" s="1"/>
  <c r="AG205" i="21"/>
  <c r="AE166" i="35"/>
  <c r="AE168" i="35" s="1"/>
  <c r="AF158" i="35"/>
  <c r="AE175" i="35"/>
  <c r="AH205" i="21" l="1"/>
  <c r="AG206" i="21"/>
  <c r="AG207" i="21" s="1"/>
  <c r="AF221" i="21"/>
  <c r="AF222" i="21" s="1"/>
  <c r="AG220" i="21"/>
  <c r="AF166" i="35"/>
  <c r="AF168" i="35" s="1"/>
  <c r="B171" i="35" s="1"/>
  <c r="B194" i="35"/>
  <c r="AF175" i="35"/>
  <c r="B190" i="35" s="1"/>
  <c r="AI205" i="21" l="1"/>
  <c r="AH206" i="21"/>
  <c r="AH207" i="21" s="1"/>
  <c r="AG221" i="21"/>
  <c r="AG222" i="21" s="1"/>
  <c r="AH220" i="21"/>
  <c r="AI220" i="21" l="1"/>
  <c r="AH221" i="21"/>
  <c r="AH222" i="21" s="1"/>
  <c r="AJ205" i="21"/>
  <c r="AI206" i="21"/>
  <c r="AI207" i="21" s="1"/>
  <c r="AJ206" i="21" l="1"/>
  <c r="AJ207" i="21" s="1"/>
  <c r="AK205" i="21"/>
  <c r="AI221" i="21"/>
  <c r="AI222" i="21" s="1"/>
  <c r="AJ220" i="21"/>
  <c r="AJ221" i="21" l="1"/>
  <c r="AJ222" i="21" s="1"/>
  <c r="AK220" i="21"/>
  <c r="AK206" i="21"/>
  <c r="AK207" i="21" s="1"/>
  <c r="AL205" i="21"/>
  <c r="AM205" i="21" l="1"/>
  <c r="AL206" i="21"/>
  <c r="AL207" i="21" s="1"/>
  <c r="AL220" i="21"/>
  <c r="AK221" i="21"/>
  <c r="AK222" i="21" s="1"/>
  <c r="AN205" i="21" l="1"/>
  <c r="AM206" i="21"/>
  <c r="AM207" i="21" s="1"/>
  <c r="AM220" i="21"/>
  <c r="AL221" i="21"/>
  <c r="AL222" i="21" s="1"/>
  <c r="AM221" i="21" l="1"/>
  <c r="AM222" i="21" s="1"/>
  <c r="AN220" i="21"/>
  <c r="AN206" i="21"/>
  <c r="AN207" i="21" s="1"/>
  <c r="AO205" i="21"/>
  <c r="AO206" i="21" l="1"/>
  <c r="AO207" i="21" s="1"/>
  <c r="AP205" i="21"/>
  <c r="AP206" i="21" s="1"/>
  <c r="AO220" i="21"/>
  <c r="AN221" i="21"/>
  <c r="AN222" i="21" s="1"/>
  <c r="AP207" i="21" l="1"/>
  <c r="B210" i="21" s="1"/>
  <c r="F213" i="21" s="1"/>
  <c r="AP220" i="21"/>
  <c r="AP221" i="21" s="1"/>
  <c r="AO221" i="21"/>
  <c r="AO222" i="21" s="1"/>
  <c r="AP222" i="21" l="1"/>
  <c r="B22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37" authorId="0" shapeId="0" xr:uid="{5130DE2C-2F58-4946-A85E-3463AB5E7AB1}">
      <text>
        <r>
          <rPr>
            <sz val="8"/>
            <color indexed="81"/>
            <rFont val="Tahoma"/>
            <family val="2"/>
          </rPr>
          <t>Escomptes accordés déduits du chiffre d'affaires.</t>
        </r>
      </text>
    </comment>
  </commentList>
</comments>
</file>

<file path=xl/sharedStrings.xml><?xml version="1.0" encoding="utf-8"?>
<sst xmlns="http://schemas.openxmlformats.org/spreadsheetml/2006/main" count="3088" uniqueCount="1796">
  <si>
    <t>Si le producteur achète le distributeur, il porte un besoin de trésorerie de 900 pendant 90 jours et de 100 pendant 30 jours, soit 933 en moyenne sur 90 jours contre 900 sur 60 jours. Son BFR a donc augmenté.</t>
  </si>
  <si>
    <t>EXERCICE  1</t>
  </si>
  <si>
    <t>EXERCICE  2</t>
  </si>
  <si>
    <t>EXERCICE  3</t>
  </si>
  <si>
    <t>aujourd hui</t>
  </si>
  <si>
    <t>dans</t>
  </si>
  <si>
    <t xml:space="preserve">dans </t>
  </si>
  <si>
    <t>taux d'intérêt</t>
  </si>
  <si>
    <t>EXERCICE  4</t>
  </si>
  <si>
    <t>encours avec 75 jours</t>
  </si>
  <si>
    <t>HT</t>
  </si>
  <si>
    <t>TVA</t>
  </si>
  <si>
    <t>encours avec 60 jours</t>
  </si>
  <si>
    <t>gain de trésorerie</t>
  </si>
  <si>
    <t>EXERCICE  5</t>
  </si>
  <si>
    <t>Marge mensuelle : 100 000 × 25 % = 25 000 €. Risque financier de l’entreprise : 100 000 × (1 – 25 %) × 3 mois = 225 000 €. 225 / 25 = 9 mois de marge encaissées. Délai 9 + 3 mois de marges non encaissé = 1 an. 2 mois de délais veut dire 3 mois de facturation car le client fait faillite juste avant une échéance et non juste après.</t>
  </si>
  <si>
    <t>subventions d'exploitation</t>
  </si>
  <si>
    <t>soldes des autres produits et charges d'exploitation (y.c. cessions d'exploitation)</t>
  </si>
  <si>
    <t>charges financières</t>
  </si>
  <si>
    <t>produits financiers</t>
  </si>
  <si>
    <t>Charges exceptionelles de gestion</t>
  </si>
  <si>
    <t>impôt sur les bénéfices</t>
  </si>
  <si>
    <t>dotations aux amortissements nettes des reprises</t>
  </si>
  <si>
    <t>+ Clients</t>
  </si>
  <si>
    <t xml:space="preserve">3ans, 5 mois et 17 Jours = </t>
  </si>
  <si>
    <t>Résultat =</t>
  </si>
  <si>
    <t>Nbre PC produits</t>
  </si>
  <si>
    <t>Exercice 2:</t>
  </si>
  <si>
    <t>Valeur au 1er janvier</t>
  </si>
  <si>
    <t>Ecart Type</t>
  </si>
  <si>
    <t>Rentabilité moyenne</t>
  </si>
  <si>
    <t>σ E</t>
  </si>
  <si>
    <t>Rentabilité H</t>
  </si>
  <si>
    <t>σ H</t>
  </si>
  <si>
    <t>XH</t>
  </si>
  <si>
    <t>XH (Z)</t>
  </si>
  <si>
    <t>β Shell</t>
  </si>
  <si>
    <t>β Deutsche Telekom</t>
  </si>
  <si>
    <t>r Deutsche Telekom</t>
  </si>
  <si>
    <t>r Shell</t>
  </si>
  <si>
    <t>prix estimé Lapparent.com</t>
  </si>
  <si>
    <t>Société Boilevé</t>
  </si>
  <si>
    <t>Tableau des flux de trésorerie</t>
  </si>
  <si>
    <t>Bilan</t>
  </si>
  <si>
    <t>Jours de crédit client</t>
  </si>
  <si>
    <t>Jours de stocks</t>
  </si>
  <si>
    <t>Jours de fournisseurs</t>
  </si>
  <si>
    <t>Achats en % du chiffre d'affaires</t>
  </si>
  <si>
    <t>Concours bancaires courants</t>
  </si>
  <si>
    <t>Produits d'exploitation</t>
  </si>
  <si>
    <t>Achats de marchandises et de matières premières</t>
  </si>
  <si>
    <t>Variation de stocks</t>
  </si>
  <si>
    <t>Autres charges externes</t>
  </si>
  <si>
    <t>Charges de personnel</t>
  </si>
  <si>
    <t>Charges d'exploitation</t>
  </si>
  <si>
    <t>Résultat financier</t>
  </si>
  <si>
    <t>Résultat exceptionnel</t>
  </si>
  <si>
    <t>Dividendes versés (D)</t>
  </si>
  <si>
    <t>= Flux d'investissement (B)</t>
  </si>
  <si>
    <t>Effets remis à l'escompte et non échus</t>
  </si>
  <si>
    <t>Consommation de matières premières</t>
  </si>
  <si>
    <t>Endettement bancaire net</t>
  </si>
  <si>
    <t>Ratios</t>
  </si>
  <si>
    <t>Capitaux propres / Endettement net</t>
  </si>
  <si>
    <t>Entreprise</t>
  </si>
  <si>
    <t>a)</t>
  </si>
  <si>
    <t>b)</t>
  </si>
  <si>
    <t>Frais variables</t>
  </si>
  <si>
    <t>Frais fixes</t>
  </si>
  <si>
    <t>EBE</t>
  </si>
  <si>
    <t>Résutalt d'exploitation</t>
  </si>
  <si>
    <t>Résultat courant avant impôt</t>
  </si>
  <si>
    <t>A</t>
  </si>
  <si>
    <t>B</t>
  </si>
  <si>
    <t>C</t>
  </si>
  <si>
    <t>D</t>
  </si>
  <si>
    <t>Point mort après frais financiers</t>
  </si>
  <si>
    <t>Point mort avant frais financiers</t>
  </si>
  <si>
    <t>CA/Point mort</t>
  </si>
  <si>
    <t>Dotations aux provisions</t>
  </si>
  <si>
    <t>Impôts sur les sociétés</t>
  </si>
  <si>
    <t>Politique de distribution de SEB, voir le corrigé dans le livre</t>
  </si>
  <si>
    <t>Exercice 2 : entreprise Gassoumi</t>
  </si>
  <si>
    <t>créances douteuses</t>
  </si>
  <si>
    <t>Valeur percue dans 3 ans</t>
  </si>
  <si>
    <t>2. annuités égales</t>
  </si>
  <si>
    <t>1. paiement</t>
  </si>
  <si>
    <t>Multiplicateur</t>
  </si>
  <si>
    <t>Valeur actuelle de la rente sur 3 ans</t>
  </si>
  <si>
    <t>rente</t>
  </si>
  <si>
    <t>Différence</t>
  </si>
  <si>
    <t>E*</t>
  </si>
  <si>
    <t>Obligation</t>
  </si>
  <si>
    <t>Échéance (an)</t>
  </si>
  <si>
    <t>Coupon annuel</t>
  </si>
  <si>
    <t>- IS</t>
  </si>
  <si>
    <t>Structure financière "cible"</t>
  </si>
  <si>
    <t>Taux de croissance à l'infini</t>
  </si>
  <si>
    <t>Valeur terminale</t>
  </si>
  <si>
    <t>VD</t>
  </si>
  <si>
    <t>VCP</t>
  </si>
  <si>
    <t>- des flux sur l'horizon explicite</t>
  </si>
  <si>
    <t>- de la valeur terminale</t>
  </si>
  <si>
    <t>Multiple REX</t>
  </si>
  <si>
    <t>Flux normatif</t>
  </si>
  <si>
    <t>Nb de voix</t>
  </si>
  <si>
    <t>-&gt; En possédant 1/3 des actions +1, l'actionnaire contrôle l'AGO</t>
  </si>
  <si>
    <t>-&gt; En possédant 50% des actions +1, l'actionnaire contrôle l'AGE</t>
  </si>
  <si>
    <t>Droits de vote</t>
  </si>
  <si>
    <t>Droit de vote</t>
  </si>
  <si>
    <t>Cas 1/3 - 2/3</t>
  </si>
  <si>
    <t>Cas 50-50</t>
  </si>
  <si>
    <t>Part</t>
  </si>
  <si>
    <t>Actions à droit de vote double</t>
  </si>
  <si>
    <t>Actions "classiques"</t>
  </si>
  <si>
    <t>Rentabilité</t>
  </si>
  <si>
    <t>Taux zéro coupons</t>
  </si>
  <si>
    <t>Prévisionnel</t>
  </si>
  <si>
    <t>Consommation de matières</t>
  </si>
  <si>
    <t>Autres services externes</t>
  </si>
  <si>
    <t>Sous-traitance</t>
  </si>
  <si>
    <t>Autres services externes (50%)</t>
  </si>
  <si>
    <t>Point mort opérationnel</t>
  </si>
  <si>
    <t>Point mort total</t>
  </si>
  <si>
    <t>Frais directs de production</t>
  </si>
  <si>
    <t>Frais généraux</t>
  </si>
  <si>
    <t>Cycle d'exploitation</t>
  </si>
  <si>
    <t>Stocks de matière premières</t>
  </si>
  <si>
    <t>jours</t>
  </si>
  <si>
    <t>Durée du cycle de production</t>
  </si>
  <si>
    <t>Stocks de produits finis</t>
  </si>
  <si>
    <t>mois</t>
  </si>
  <si>
    <t>Termes de paiement</t>
  </si>
  <si>
    <t>Clients</t>
  </si>
  <si>
    <t>Matières premières</t>
  </si>
  <si>
    <t>Créance client</t>
  </si>
  <si>
    <t>M€</t>
  </si>
  <si>
    <t>Encours production</t>
  </si>
  <si>
    <t>Frais de production</t>
  </si>
  <si>
    <t>% du CA</t>
  </si>
  <si>
    <t>Délai de règlement ou d'écoulement</t>
  </si>
  <si>
    <t>Stock matières premières</t>
  </si>
  <si>
    <t>Jours par mois</t>
  </si>
  <si>
    <t>BFR permanent</t>
  </si>
  <si>
    <t>CA année 1</t>
  </si>
  <si>
    <t>CA année 2</t>
  </si>
  <si>
    <t>EBE année 2</t>
  </si>
  <si>
    <t>Excédent de Trésorie d'Exploitation année 2</t>
  </si>
  <si>
    <t>Stocks (produits finis)</t>
  </si>
  <si>
    <t>Clients et effet à recevoir</t>
  </si>
  <si>
    <t>Fournisseurs et effets à payer</t>
  </si>
  <si>
    <t>Compte de Résultat</t>
  </si>
  <si>
    <t>Chiffre d'affaires HT</t>
  </si>
  <si>
    <t>Chiffre d'affaires TTC</t>
  </si>
  <si>
    <t>Achats TTC</t>
  </si>
  <si>
    <t>Rotation des stocks</t>
  </si>
  <si>
    <t>BFR en jours de CA</t>
  </si>
  <si>
    <t>Exercice 4</t>
  </si>
  <si>
    <t>Rotation stocks</t>
  </si>
  <si>
    <t>fois par an</t>
  </si>
  <si>
    <t>Prix revient marchandises</t>
  </si>
  <si>
    <t>CA HT</t>
  </si>
  <si>
    <t>Clients paient</t>
  </si>
  <si>
    <t>jours fin de mois</t>
  </si>
  <si>
    <t>Fournisseurs payés</t>
  </si>
  <si>
    <t>Salaire payés fin de mois</t>
  </si>
  <si>
    <t>TVA 19,6</t>
  </si>
  <si>
    <t>du mois suivant</t>
  </si>
  <si>
    <t>salaires, payées au</t>
  </si>
  <si>
    <t>payée au</t>
  </si>
  <si>
    <t>Solde TVA</t>
  </si>
  <si>
    <t>Exercice 5</t>
  </si>
  <si>
    <t>Crédit clients</t>
  </si>
  <si>
    <t>Crédit fournisseurs</t>
  </si>
  <si>
    <t>No TAV</t>
  </si>
  <si>
    <t>Actif immobilisé net</t>
  </si>
  <si>
    <t>Besoin en fonds de roulement</t>
  </si>
  <si>
    <t>nd</t>
  </si>
  <si>
    <t>Tableau de flux</t>
  </si>
  <si>
    <t>Flux de trésorie provenant de l'exploitation (A)</t>
  </si>
  <si>
    <t>Flux d'investissement (B)</t>
  </si>
  <si>
    <t>Augmentations de capital (C)</t>
  </si>
  <si>
    <t>(A)-(B)+(C)-(D)=Désendettement net</t>
  </si>
  <si>
    <t>Δ BFR</t>
  </si>
  <si>
    <t>Marge sur CA après IS</t>
  </si>
  <si>
    <t>Coût d'endettement avant IS</t>
  </si>
  <si>
    <t>Taux IS</t>
  </si>
  <si>
    <t>Actif Economique</t>
  </si>
  <si>
    <t>Structure financière</t>
  </si>
  <si>
    <t>Dette</t>
  </si>
  <si>
    <t>Rentabilité sur capitaux propres</t>
  </si>
  <si>
    <t>Effet de levier</t>
  </si>
  <si>
    <t>Entrez les capitaux propres</t>
  </si>
  <si>
    <t>Exercice 3</t>
  </si>
  <si>
    <t>Frais financiers avant impôts</t>
  </si>
  <si>
    <t>Taux d'imposition</t>
  </si>
  <si>
    <t>Re</t>
  </si>
  <si>
    <t>i</t>
  </si>
  <si>
    <t>Levier financier</t>
  </si>
  <si>
    <t>Rentabilité des capitaux propres</t>
  </si>
  <si>
    <t>Impôts sur les bénéfices</t>
  </si>
  <si>
    <t>Flux de trésorerie disponible</t>
  </si>
  <si>
    <t>Réduction du BFR</t>
  </si>
  <si>
    <t>Actif immobilisé</t>
  </si>
  <si>
    <t>Autres créances d'exploitation</t>
  </si>
  <si>
    <t>Capitaux propres part du groupe</t>
  </si>
  <si>
    <t>Dettes bancaires et financières LMT</t>
  </si>
  <si>
    <t>Rcp</t>
  </si>
  <si>
    <t>Exercice 1: Société HIC</t>
  </si>
  <si>
    <t>Exercice 2: Société Boilevé - plan de trésorie</t>
  </si>
  <si>
    <t>Valeur ajoutée</t>
  </si>
  <si>
    <t>pour la seconde obligation, on a 99 = 7/(1+t1) + 107/(1+t2)^2 ou t2 est la seule inconnue puisque maintenant on connait t1, on trouve alors t2</t>
  </si>
  <si>
    <t>on calcule d'abord le premier taux d'actualisation T1 qui ressort du calcul 99=107/(1+T1)</t>
  </si>
  <si>
    <t>pour les autres, on continue selon ce même raisonnement car à chaque fois on ajoute une année.</t>
  </si>
  <si>
    <t>Flux d'investissement</t>
  </si>
  <si>
    <t>Valeur de l'emprunt</t>
  </si>
  <si>
    <t>+</t>
  </si>
  <si>
    <t>-</t>
  </si>
  <si>
    <t>++</t>
  </si>
  <si>
    <t>+++</t>
  </si>
  <si>
    <t>++++</t>
  </si>
  <si>
    <t>--</t>
  </si>
  <si>
    <t>---</t>
  </si>
  <si>
    <t>----</t>
  </si>
  <si>
    <t>En cas d'anticipation de hausse des taux d'intérêt, choisir la tranche A</t>
  </si>
  <si>
    <t>c)</t>
  </si>
  <si>
    <t>d)</t>
  </si>
  <si>
    <t>Syldaves a, en définitive, emprunté à un taux inférieur à celui du marché</t>
  </si>
  <si>
    <t>Taux sans risque</t>
  </si>
  <si>
    <t>Prime de risque du marché</t>
  </si>
  <si>
    <t>Risque</t>
  </si>
  <si>
    <t>Faible</t>
  </si>
  <si>
    <t>Création de valeur</t>
  </si>
  <si>
    <t>Croissance anticipée</t>
  </si>
  <si>
    <t>très faible</t>
  </si>
  <si>
    <t>Valeur du sous-jacent</t>
  </si>
  <si>
    <t>Application de Black Scholes - recalcul de la valeur</t>
  </si>
  <si>
    <t>Actions nouvelles</t>
  </si>
  <si>
    <t>Actions existantes</t>
  </si>
  <si>
    <t>Prix avant émission</t>
  </si>
  <si>
    <t>DS</t>
  </si>
  <si>
    <t>Cap. bours. ap. augm.</t>
  </si>
  <si>
    <t>Cours théorique après émission</t>
  </si>
  <si>
    <t>=</t>
  </si>
  <si>
    <t>Patrimoine avant opération</t>
  </si>
  <si>
    <t>Patrimoine après opération</t>
  </si>
  <si>
    <t>Cash</t>
  </si>
  <si>
    <t>- Cession</t>
  </si>
  <si>
    <t>Opération</t>
  </si>
  <si>
    <t>Nombre</t>
  </si>
  <si>
    <t>- Cash issu de l'opération</t>
  </si>
  <si>
    <t>- Actions</t>
  </si>
  <si>
    <t>a) Taux éxigé</t>
  </si>
  <si>
    <t>b) &amp; c)</t>
  </si>
  <si>
    <t>Aucun impact sur la trésorerie d'entreprise</t>
  </si>
  <si>
    <t>e)</t>
  </si>
  <si>
    <t>rent. exigée</t>
  </si>
  <si>
    <t>rent. dégagée</t>
  </si>
  <si>
    <t>&gt;</t>
  </si>
  <si>
    <t>Destruction de valeur</t>
  </si>
  <si>
    <t>&lt;</t>
  </si>
  <si>
    <t>Bénéfice</t>
  </si>
  <si>
    <t>Valeur des capitaux propres</t>
  </si>
  <si>
    <t>Nouveau résultat net</t>
  </si>
  <si>
    <t>Croissance du BPA</t>
  </si>
  <si>
    <t>Synergies industrielles</t>
  </si>
  <si>
    <t>Résultat net D</t>
  </si>
  <si>
    <t>Résultat net C</t>
  </si>
  <si>
    <t>Augm. nb. actions</t>
  </si>
  <si>
    <t>Augm. bénéfice</t>
  </si>
  <si>
    <t>Prix (transaction)</t>
  </si>
  <si>
    <t>CMPC</t>
  </si>
  <si>
    <t>Taux d'IS</t>
  </si>
  <si>
    <t>MVA</t>
  </si>
  <si>
    <t>EVA</t>
  </si>
  <si>
    <t>Dette sous-jacente</t>
  </si>
  <si>
    <t>Exercice 2: emprunt des Eaux Minérales Syldaves</t>
  </si>
  <si>
    <t>Les Eaux Minérales Syldaves ont emprunté au taux de 8%, anticipant une hausse des taux d'intérêt</t>
  </si>
  <si>
    <t>cours avant aug. de cap.</t>
  </si>
  <si>
    <t>valeur du DS</t>
  </si>
  <si>
    <t>ou</t>
  </si>
  <si>
    <t>Vente des actions B</t>
  </si>
  <si>
    <t>Reproduction de structure financière</t>
  </si>
  <si>
    <t>Titres C</t>
  </si>
  <si>
    <t>Placement en cash</t>
  </si>
  <si>
    <t>Revenus sur les actions</t>
  </si>
  <si>
    <t>Revenus sur le cash</t>
  </si>
  <si>
    <t>Rentabilité du portefeuille</t>
  </si>
  <si>
    <t>Pour un même niveau de risque :</t>
  </si>
  <si>
    <t>Cash disponible</t>
  </si>
  <si>
    <t>% du portefeuille en cash</t>
  </si>
  <si>
    <t>L'arbitrage cesse lorsque les VAE des deux sociétés convergent.</t>
  </si>
  <si>
    <t>Exemple :</t>
  </si>
  <si>
    <t>PER implicite</t>
  </si>
  <si>
    <t>VAE1</t>
  </si>
  <si>
    <t>b. valorisation des CP et D</t>
  </si>
  <si>
    <t>c. augmentation val des CP</t>
  </si>
  <si>
    <t>-&gt; transfert de valeur du créancier vers l'actionnaire</t>
  </si>
  <si>
    <t>Option 3 : échange de tout ou partie des titres Uninet contre des titres plus risqués</t>
  </si>
  <si>
    <t>-&gt; transfert de valeur des créanciers vers les actionnaires</t>
  </si>
  <si>
    <t>VAE</t>
  </si>
  <si>
    <t>Volatilité AE</t>
  </si>
  <si>
    <t>Taux actuariel dette</t>
  </si>
  <si>
    <t>Actionnaires</t>
  </si>
  <si>
    <t>Avant</t>
  </si>
  <si>
    <t>Après</t>
  </si>
  <si>
    <t>Créanciers</t>
  </si>
  <si>
    <t>Proposition sous-traitant</t>
  </si>
  <si>
    <t>Nbre de pièces/an</t>
  </si>
  <si>
    <t>Chronique de flux solution interne par rapport à solution sous-traitée</t>
  </si>
  <si>
    <t>-&gt; ça dépend effectivement du nbre de pièces produites ! (voir ci-dessous)</t>
  </si>
  <si>
    <t>Re moyen</t>
  </si>
  <si>
    <t>Moins-value de cession</t>
  </si>
  <si>
    <t>Exercice 4 : société Rowak</t>
  </si>
  <si>
    <t>Var. bén./var.CP</t>
  </si>
  <si>
    <t>-&gt; Politique de distribution cohérente</t>
  </si>
  <si>
    <t>nouveau % de contrôle</t>
  </si>
  <si>
    <t>% contrôle initial</t>
  </si>
  <si>
    <t>% de contrôle ap detenu par actionnaire X</t>
  </si>
  <si>
    <t>% de contrôle detenu par 1 actionnaire X</t>
  </si>
  <si>
    <t>Poids de la dette</t>
  </si>
  <si>
    <t>Soldes des plus ou moins-values de cession</t>
  </si>
  <si>
    <t>mis en équivalence</t>
  </si>
  <si>
    <t>+ Résultat des sociétés mise en équivalence</t>
  </si>
  <si>
    <t>= Résultat net part du groupe</t>
  </si>
  <si>
    <t>Créances clients</t>
  </si>
  <si>
    <t>= Capacité d'autofinancement</t>
  </si>
  <si>
    <t>Croissance du CA</t>
  </si>
  <si>
    <t>Marge d'exploitation</t>
  </si>
  <si>
    <t>Marge nette</t>
  </si>
  <si>
    <t>Rentabilité économique</t>
  </si>
  <si>
    <t>Rentabilité économique après impôts</t>
  </si>
  <si>
    <t>Charges d'exploitation non maîtrisées</t>
  </si>
  <si>
    <t>en % des charges d'exploitation totales</t>
  </si>
  <si>
    <t>en % du CA</t>
  </si>
  <si>
    <t>Exposition</t>
  </si>
  <si>
    <t>Augmentation des matières premières</t>
  </si>
  <si>
    <t>Augmentation du coût de la main d'œuvre</t>
  </si>
  <si>
    <t>Incidence</t>
  </si>
  <si>
    <t>Rentabilité financière</t>
  </si>
  <si>
    <t>Marge brute</t>
  </si>
  <si>
    <t>Bénéfice net attendu</t>
  </si>
  <si>
    <t>Charges financières nettes</t>
  </si>
  <si>
    <t>Marges</t>
  </si>
  <si>
    <t>Retraitements</t>
  </si>
  <si>
    <t>du CA</t>
  </si>
  <si>
    <t>Dettes charges sociales</t>
  </si>
  <si>
    <t>Dettes personnel</t>
  </si>
  <si>
    <t>Variation du BFR</t>
  </si>
  <si>
    <t>- Intérêts minoritaires</t>
  </si>
  <si>
    <t xml:space="preserve"> </t>
  </si>
  <si>
    <t>- Fournisseurs</t>
  </si>
  <si>
    <t>Nouveaux actionnaires</t>
  </si>
  <si>
    <t>Anciens actionnaires</t>
  </si>
  <si>
    <t>part dans le capital</t>
  </si>
  <si>
    <t>part dans les capitaux propres</t>
  </si>
  <si>
    <t>Taux</t>
  </si>
  <si>
    <t>Valeur actuelle</t>
  </si>
  <si>
    <t>Valeur percue</t>
  </si>
  <si>
    <t>Durée</t>
  </si>
  <si>
    <t>Coefficient d'actualisation</t>
  </si>
  <si>
    <t>Valeur placée aujourd'hui</t>
  </si>
  <si>
    <t>Alternative</t>
  </si>
  <si>
    <t>Date (année)</t>
  </si>
  <si>
    <t>Taux d'actualisation</t>
  </si>
  <si>
    <t>Paiements actualisés</t>
  </si>
  <si>
    <t>Paiements bruts</t>
  </si>
  <si>
    <t>Exercice 6</t>
  </si>
  <si>
    <t>Valeur aujourd'hui</t>
  </si>
  <si>
    <t>Exercice 7</t>
  </si>
  <si>
    <t>Coefficient de capitalisation</t>
  </si>
  <si>
    <t>Durée (ans)</t>
  </si>
  <si>
    <t>Somme capitalisée</t>
  </si>
  <si>
    <t>Somme placée</t>
  </si>
  <si>
    <t>Exercice 8</t>
  </si>
  <si>
    <t>Aujourd'hui</t>
  </si>
  <si>
    <t>Dans 4 ans</t>
  </si>
  <si>
    <t>Exercice 9</t>
  </si>
  <si>
    <t>75%/n</t>
  </si>
  <si>
    <t>Exercice 10</t>
  </si>
  <si>
    <t>125%/n</t>
  </si>
  <si>
    <t>Exercice 11</t>
  </si>
  <si>
    <t>Valeur capitalisée</t>
  </si>
  <si>
    <t>Taux mini</t>
  </si>
  <si>
    <t>Exercice 12</t>
  </si>
  <si>
    <t>Capital initial</t>
  </si>
  <si>
    <t>Date de placement</t>
  </si>
  <si>
    <t>deniers</t>
  </si>
  <si>
    <t>Exercice 13</t>
  </si>
  <si>
    <t>K€</t>
  </si>
  <si>
    <t>Exercice 14</t>
  </si>
  <si>
    <t>Taux exigé</t>
  </si>
  <si>
    <t>$</t>
  </si>
  <si>
    <t>Prix maxi aujourd'hui</t>
  </si>
  <si>
    <t>Vo</t>
  </si>
  <si>
    <t>Flux</t>
  </si>
  <si>
    <t>VAN</t>
  </si>
  <si>
    <t>Rente annuelle</t>
  </si>
  <si>
    <t>Valeur actuelle de la rente perpétuelle</t>
  </si>
  <si>
    <t>Valeur actuelle de la rente perpétuelle revalorisée</t>
  </si>
  <si>
    <t>Taux de revalorisation</t>
  </si>
  <si>
    <t>Date</t>
  </si>
  <si>
    <t>Taux éxigé</t>
  </si>
  <si>
    <t>Prix maxi</t>
  </si>
  <si>
    <t>Prix marché</t>
  </si>
  <si>
    <t>-&gt; acheter car:</t>
  </si>
  <si>
    <t>Taux de rentabilité obtenu</t>
  </si>
  <si>
    <t>Valeur rente perpetuelle</t>
  </si>
  <si>
    <t>Années</t>
  </si>
  <si>
    <t>Valeur titre</t>
  </si>
  <si>
    <t>Prix annuel</t>
  </si>
  <si>
    <t>Croissance</t>
  </si>
  <si>
    <t>Coût d'opportunité</t>
  </si>
  <si>
    <t>Valeur offre location annuelle</t>
  </si>
  <si>
    <t>Droit TV</t>
  </si>
  <si>
    <t>0t7</t>
  </si>
  <si>
    <t>Valeur 30 ans</t>
  </si>
  <si>
    <t>Valeur infini</t>
  </si>
  <si>
    <t>Nbre de parutions</t>
  </si>
  <si>
    <t>Loyer</t>
  </si>
  <si>
    <t>Prix achat</t>
  </si>
  <si>
    <t>Revenu annuel</t>
  </si>
  <si>
    <t>Revenu avec MBA</t>
  </si>
  <si>
    <t>Interruption (an)</t>
  </si>
  <si>
    <t>Taux actualisation</t>
  </si>
  <si>
    <t>VA sans MBA</t>
  </si>
  <si>
    <t>VA avec MBA</t>
  </si>
  <si>
    <t>Coût du MBA</t>
  </si>
  <si>
    <t>VA nette du MBA</t>
  </si>
  <si>
    <t>Taux tous les 2 ans</t>
  </si>
  <si>
    <t>Taux actuariel</t>
  </si>
  <si>
    <t>Taux proportionnel sur 3 mois</t>
  </si>
  <si>
    <t>V0</t>
  </si>
  <si>
    <t>V2</t>
  </si>
  <si>
    <t>V7</t>
  </si>
  <si>
    <t>Durée (an)</t>
  </si>
  <si>
    <t>Vf</t>
  </si>
  <si>
    <t>Fréquence versement</t>
  </si>
  <si>
    <t>an</t>
  </si>
  <si>
    <t>TRA</t>
  </si>
  <si>
    <t>Titre 1</t>
  </si>
  <si>
    <t>Titre 2</t>
  </si>
  <si>
    <t>VAN Titre 1</t>
  </si>
  <si>
    <t>VAN Titre 2</t>
  </si>
  <si>
    <t>€</t>
  </si>
  <si>
    <t>Durée (Jours)</t>
  </si>
  <si>
    <t>Taux rentabilité</t>
  </si>
  <si>
    <t>Banquier 1</t>
  </si>
  <si>
    <t>Banquier 2</t>
  </si>
  <si>
    <t>Fréquence (mois)</t>
  </si>
  <si>
    <t>Taux actuariel eq</t>
  </si>
  <si>
    <t>Remboursement par annuité constante</t>
  </si>
  <si>
    <t>Remboursement par amortissement constant</t>
  </si>
  <si>
    <t>Capital restant dû</t>
  </si>
  <si>
    <t>Intérêts</t>
  </si>
  <si>
    <t>Annuité</t>
  </si>
  <si>
    <t>Amort. du capital</t>
  </si>
  <si>
    <t>Taux émission</t>
  </si>
  <si>
    <t>Taux remboursement</t>
  </si>
  <si>
    <t>Taux des intérêts</t>
  </si>
  <si>
    <t>Flux acheteur</t>
  </si>
  <si>
    <t>Flux émetteur</t>
  </si>
  <si>
    <t>Com placement</t>
  </si>
  <si>
    <t>Gestion annuelle</t>
  </si>
  <si>
    <t>Coût final</t>
  </si>
  <si>
    <t>Mensualité</t>
  </si>
  <si>
    <t>Valeur</t>
  </si>
  <si>
    <t>Nbre mensualités</t>
  </si>
  <si>
    <t>Date (mois)</t>
  </si>
  <si>
    <t>TRA (annuel)</t>
  </si>
  <si>
    <t>Taux d'intérêt mensuel</t>
  </si>
  <si>
    <t>Valeur marché</t>
  </si>
  <si>
    <t>Taux sur 2 périodes</t>
  </si>
  <si>
    <t>Rentabilité indice</t>
  </si>
  <si>
    <t>Rentabilités périodiques</t>
  </si>
  <si>
    <t>ou de manière plus détaillée</t>
  </si>
  <si>
    <t>Taux de rentabilité</t>
  </si>
  <si>
    <t>Ecart type</t>
  </si>
  <si>
    <t>Titres</t>
  </si>
  <si>
    <t>Rentabilité attendue</t>
  </si>
  <si>
    <t>Ecart-type</t>
  </si>
  <si>
    <t>ρ C,D</t>
  </si>
  <si>
    <t>Portefeuille</t>
  </si>
  <si>
    <t>β</t>
  </si>
  <si>
    <t>% d'actif sans risque ajouté</t>
  </si>
  <si>
    <t>% d'actif sans risque endetté</t>
  </si>
  <si>
    <t>r sans risque</t>
  </si>
  <si>
    <t>Action</t>
  </si>
  <si>
    <t>r observé</t>
  </si>
  <si>
    <t>prime risque marché</t>
  </si>
  <si>
    <t>évaluation</t>
  </si>
  <si>
    <t>EUR</t>
  </si>
  <si>
    <t>β Alboni.com</t>
  </si>
  <si>
    <t>prix max aujourd'hui</t>
  </si>
  <si>
    <t>r attendue</t>
  </si>
  <si>
    <t>bj1</t>
  </si>
  <si>
    <t>rj</t>
  </si>
  <si>
    <t>bj2</t>
  </si>
  <si>
    <t>rj - r medaf</t>
  </si>
  <si>
    <t>r medaf</t>
  </si>
  <si>
    <t>r marché</t>
  </si>
  <si>
    <t>Montant</t>
  </si>
  <si>
    <t>MEUR</t>
  </si>
  <si>
    <t>Prix d'émission</t>
  </si>
  <si>
    <t>Date de jouissance</t>
  </si>
  <si>
    <t>Date de règlement</t>
  </si>
  <si>
    <t>ans</t>
  </si>
  <si>
    <t>Intérêt annuel</t>
  </si>
  <si>
    <t>Chronique des flux</t>
  </si>
  <si>
    <t>Flux actualisés</t>
  </si>
  <si>
    <t>Taux rendement actuariel</t>
  </si>
  <si>
    <t>Sensibilité</t>
  </si>
  <si>
    <t>Duration</t>
  </si>
  <si>
    <t>VA</t>
  </si>
  <si>
    <t>Taux requis</t>
  </si>
  <si>
    <t xml:space="preserve">flux </t>
  </si>
  <si>
    <t>durée</t>
  </si>
  <si>
    <t>TMO</t>
  </si>
  <si>
    <t>Taux emprunt TA</t>
  </si>
  <si>
    <t>Taux emprunt TB</t>
  </si>
  <si>
    <t>Date d'échéance</t>
  </si>
  <si>
    <t>Cours</t>
  </si>
  <si>
    <t>Taux actuariels</t>
  </si>
  <si>
    <t>0t1</t>
  </si>
  <si>
    <t>0t2</t>
  </si>
  <si>
    <t>0t3</t>
  </si>
  <si>
    <t>0t4</t>
  </si>
  <si>
    <t>0t5</t>
  </si>
  <si>
    <t>0t6</t>
  </si>
  <si>
    <t>g</t>
  </si>
  <si>
    <t>V</t>
  </si>
  <si>
    <t>Cours action</t>
  </si>
  <si>
    <t>BPA</t>
  </si>
  <si>
    <t>Taux distribution</t>
  </si>
  <si>
    <t>PER</t>
  </si>
  <si>
    <t>PER (année 3)</t>
  </si>
  <si>
    <t>Bénéfice net par action (année 3)</t>
  </si>
  <si>
    <t>Valeur action (année 3)</t>
  </si>
  <si>
    <t>Dettes/CP</t>
  </si>
  <si>
    <t>Exercice 2: Ouragan</t>
  </si>
  <si>
    <t>Exercice 3: Norne</t>
  </si>
  <si>
    <t>Exercice 1: emprunt Sanzot</t>
  </si>
  <si>
    <t>Exercice 2 : Nestor SA</t>
  </si>
  <si>
    <t>Nbre d'actions de Séraphin</t>
  </si>
  <si>
    <t>rCP</t>
  </si>
  <si>
    <t>PBR</t>
  </si>
  <si>
    <t>(opérateur de marcher)</t>
  </si>
  <si>
    <t>Alternative 1: par l'opérateur</t>
  </si>
  <si>
    <t>J'emprunte dans 3 mois</t>
  </si>
  <si>
    <t>Je rends dans 6 mois</t>
  </si>
  <si>
    <t>Alternative 2: par l'arbitrage suivant</t>
  </si>
  <si>
    <t>je place aujourd'hui pour 3 mois</t>
  </si>
  <si>
    <t>Recapitalisation</t>
  </si>
  <si>
    <t>On me rends 3 mois plus tard</t>
  </si>
  <si>
    <t>Je rends au terme des 6 mois</t>
  </si>
  <si>
    <t>Gain alternative 2 sur 1</t>
  </si>
  <si>
    <t>d</t>
  </si>
  <si>
    <t>Option d'achat</t>
  </si>
  <si>
    <t>Échéance</t>
  </si>
  <si>
    <t>N(d2)</t>
  </si>
  <si>
    <t>N(d1)</t>
  </si>
  <si>
    <t>V act sj</t>
  </si>
  <si>
    <t>T</t>
  </si>
  <si>
    <t>d1</t>
  </si>
  <si>
    <t>d2</t>
  </si>
  <si>
    <t>ln(V/K)</t>
  </si>
  <si>
    <t>Exercice K</t>
  </si>
  <si>
    <t>(rF+σ²/2)*T</t>
  </si>
  <si>
    <t>σ*√T</t>
  </si>
  <si>
    <t>exp(-T*rF)</t>
  </si>
  <si>
    <t>Vol σ</t>
  </si>
  <si>
    <t>Valeur option</t>
  </si>
  <si>
    <t>option 1</t>
  </si>
  <si>
    <t>option 2</t>
  </si>
  <si>
    <t>Option d'achat (option 1)</t>
  </si>
  <si>
    <t>CP + endettement net = AE</t>
  </si>
  <si>
    <t>Valeur en jours de CA</t>
  </si>
  <si>
    <t>Part du risque total dû au marché</t>
  </si>
  <si>
    <t>Question 2</t>
  </si>
  <si>
    <t>Montant investissement</t>
  </si>
  <si>
    <t>Bénéfices annuels inf.</t>
  </si>
  <si>
    <t>Valeur action</t>
  </si>
  <si>
    <t>Bénéfice net</t>
  </si>
  <si>
    <t>Division</t>
  </si>
  <si>
    <t>Taux de rentabilité éxigé par le marché</t>
  </si>
  <si>
    <t>Résultat économique après impôt</t>
  </si>
  <si>
    <t>Distribution</t>
  </si>
  <si>
    <t>Investissement dans …</t>
  </si>
  <si>
    <t>Valeur créée</t>
  </si>
  <si>
    <t>Valeur de marché</t>
  </si>
  <si>
    <t>Résultat d'exp. sur nouvel investissement</t>
  </si>
  <si>
    <t>Résultat d'exp. actu</t>
  </si>
  <si>
    <t>Valeur de la division</t>
  </si>
  <si>
    <t>Valeur éxigée</t>
  </si>
  <si>
    <t>Vcp/V</t>
  </si>
  <si>
    <t>kcp</t>
  </si>
  <si>
    <t>Vd/V</t>
  </si>
  <si>
    <t>kd</t>
  </si>
  <si>
    <t>k</t>
  </si>
  <si>
    <t>Société</t>
  </si>
  <si>
    <t>Résultat d'exp.</t>
  </si>
  <si>
    <t>Vcp</t>
  </si>
  <si>
    <t>Vd</t>
  </si>
  <si>
    <t>Vd/(Vcp+Vd)</t>
  </si>
  <si>
    <t>Taux de distribution</t>
  </si>
  <si>
    <t>dividendes annuels</t>
  </si>
  <si>
    <t>dette</t>
  </si>
  <si>
    <t>Portefeuille perso</t>
  </si>
  <si>
    <t>valeur des actions</t>
  </si>
  <si>
    <t>% d'actions initial</t>
  </si>
  <si>
    <t>montant</t>
  </si>
  <si>
    <t>placement</t>
  </si>
  <si>
    <t>revenus totaux</t>
  </si>
  <si>
    <t>Arbitrage</t>
  </si>
  <si>
    <t>Dette sousjacente</t>
  </si>
  <si>
    <t>kcp0</t>
  </si>
  <si>
    <t>kd1</t>
  </si>
  <si>
    <t>k0</t>
  </si>
  <si>
    <t>AE0</t>
  </si>
  <si>
    <t>Vd1</t>
  </si>
  <si>
    <t>Vcp1</t>
  </si>
  <si>
    <t>AE1</t>
  </si>
  <si>
    <t>kcp1</t>
  </si>
  <si>
    <t>β0</t>
  </si>
  <si>
    <t>k1</t>
  </si>
  <si>
    <t>β1</t>
  </si>
  <si>
    <t>βcp0</t>
  </si>
  <si>
    <t>βcp1</t>
  </si>
  <si>
    <t>βd1</t>
  </si>
  <si>
    <t>IS</t>
  </si>
  <si>
    <t>Vcp0</t>
  </si>
  <si>
    <t>V eco impôt</t>
  </si>
  <si>
    <t>Vd total</t>
  </si>
  <si>
    <t>Nouvelle dette</t>
  </si>
  <si>
    <t>Δ Vd1</t>
  </si>
  <si>
    <t>Δ Vd2</t>
  </si>
  <si>
    <t>V eco impôt non reçue &gt; 4 ans</t>
  </si>
  <si>
    <t>Impôts totaux</t>
  </si>
  <si>
    <t>Verfinance</t>
  </si>
  <si>
    <t>Années avant décès</t>
  </si>
  <si>
    <t>V actions Uninet</t>
  </si>
  <si>
    <t>n actions Uninet</t>
  </si>
  <si>
    <t>Options d'achat Uninet</t>
  </si>
  <si>
    <t>Prix exercice</t>
  </si>
  <si>
    <t>Option à 5 ans</t>
  </si>
  <si>
    <t>Options à 7 ans</t>
  </si>
  <si>
    <t>Vcp verfinance</t>
  </si>
  <si>
    <t>Vd verfinance</t>
  </si>
  <si>
    <t>Vd verfinance/n actions</t>
  </si>
  <si>
    <t>Option 1: Repousser la date d'échéance de la dette à 7 ans, alors:</t>
  </si>
  <si>
    <t>nbre actions cédées</t>
  </si>
  <si>
    <t>Option 2: Céder une partie des actions</t>
  </si>
  <si>
    <t>Vae</t>
  </si>
  <si>
    <t>avant</t>
  </si>
  <si>
    <t>après</t>
  </si>
  <si>
    <t>Augmentation de capital</t>
  </si>
  <si>
    <t>Δ Vcp</t>
  </si>
  <si>
    <t>Δ Vd</t>
  </si>
  <si>
    <t>Holding SA</t>
  </si>
  <si>
    <t>Options d'achat Fille SA</t>
  </si>
  <si>
    <t>V actions Fille SA</t>
  </si>
  <si>
    <t>Option à 3 ans</t>
  </si>
  <si>
    <t>Valeur unit.</t>
  </si>
  <si>
    <t>nbre</t>
  </si>
  <si>
    <t>V actions Holding SA</t>
  </si>
  <si>
    <t>Obligations émises</t>
  </si>
  <si>
    <t>Actions Fille SA vendues</t>
  </si>
  <si>
    <t>Vcp avant</t>
  </si>
  <si>
    <t>Vd avant</t>
  </si>
  <si>
    <t>Vcp après</t>
  </si>
  <si>
    <t>Vd après</t>
  </si>
  <si>
    <t>Dette/n actions Holding SA</t>
  </si>
  <si>
    <t>option d'achat de 94 actions Fille SA au prix de 300 000, soit:</t>
  </si>
  <si>
    <t>Prix d'exercice</t>
  </si>
  <si>
    <t>Valeur de l'option</t>
  </si>
  <si>
    <t>achat matériel</t>
  </si>
  <si>
    <t>M EUR</t>
  </si>
  <si>
    <t>frais d'installation</t>
  </si>
  <si>
    <t>durée d'utilisation</t>
  </si>
  <si>
    <t>valeur résiduelle</t>
  </si>
  <si>
    <t>augmentation du BFR</t>
  </si>
  <si>
    <t>augmentation annuel de l'EBE</t>
  </si>
  <si>
    <t>amortissement sur</t>
  </si>
  <si>
    <t>Echéancier des flux du projet</t>
  </si>
  <si>
    <t>Flux total</t>
  </si>
  <si>
    <t>Amortissement</t>
  </si>
  <si>
    <t>Δ EBE</t>
  </si>
  <si>
    <t>TRI</t>
  </si>
  <si>
    <t>Achat nouvelle machine</t>
  </si>
  <si>
    <t>Calcul VAN</t>
  </si>
  <si>
    <t>Calcul TRI</t>
  </si>
  <si>
    <t>durée de vie</t>
  </si>
  <si>
    <t>coût</t>
  </si>
  <si>
    <t>amortissement linéaire sur 5 ans</t>
  </si>
  <si>
    <t>économies annuelles de charges</t>
  </si>
  <si>
    <t>Cession machine actuelle</t>
  </si>
  <si>
    <t>coût achat an dernier</t>
  </si>
  <si>
    <t>valeur nette comptable aujourd'hui</t>
  </si>
  <si>
    <t>prix de cession possible</t>
  </si>
  <si>
    <t>Taux de rentabilité éxigé</t>
  </si>
  <si>
    <t>achat</t>
  </si>
  <si>
    <t>Δ impôt</t>
  </si>
  <si>
    <t>cession</t>
  </si>
  <si>
    <t>moins value de cession</t>
  </si>
  <si>
    <t>Flux actualisés et cumulés</t>
  </si>
  <si>
    <t>subvention</t>
  </si>
  <si>
    <t>investissement initial</t>
  </si>
  <si>
    <t>Chronique de flux</t>
  </si>
  <si>
    <t>- Flux d'investissement</t>
  </si>
  <si>
    <t>acheteur/ emprunte</t>
  </si>
  <si>
    <t>vendeur/ prête</t>
  </si>
  <si>
    <t>(point de vue de la banque)</t>
  </si>
  <si>
    <t>Dividendes (p)</t>
  </si>
  <si>
    <t>1 - en se plaçant en début d'année 0</t>
  </si>
  <si>
    <t xml:space="preserve">Flux actualisés </t>
  </si>
  <si>
    <t>2- en se plaçant en fin de période 0</t>
  </si>
  <si>
    <t>date</t>
  </si>
  <si>
    <t>investissement</t>
  </si>
  <si>
    <t>Investissement machine</t>
  </si>
  <si>
    <t>Coût unitaire</t>
  </si>
  <si>
    <t>Nbre de pieces/an</t>
  </si>
  <si>
    <t>Charges</t>
  </si>
  <si>
    <t>Exploitation</t>
  </si>
  <si>
    <t>Amortissements</t>
  </si>
  <si>
    <t>Produits</t>
  </si>
  <si>
    <t>Parking</t>
  </si>
  <si>
    <t>Garage</t>
  </si>
  <si>
    <t>Station service</t>
  </si>
  <si>
    <t>Investissement initial</t>
  </si>
  <si>
    <t>Revenus net</t>
  </si>
  <si>
    <t>Flux cumulés et actualisés</t>
  </si>
  <si>
    <t>Délai de récupération</t>
  </si>
  <si>
    <t>VAN à 10%</t>
  </si>
  <si>
    <t>Calcul de la rentabilité économique</t>
  </si>
  <si>
    <t>Calcul du délai de récupération &amp; VAN à 10%</t>
  </si>
  <si>
    <t>Calcul du TRI</t>
  </si>
  <si>
    <t>VNC des immo</t>
  </si>
  <si>
    <t>BFR moyen</t>
  </si>
  <si>
    <t>Chronique de flux nouvelle machine</t>
  </si>
  <si>
    <t>Cession ancienne machine</t>
  </si>
  <si>
    <t>Taux de crédit d'impôt sur - values</t>
  </si>
  <si>
    <t>Prix d'achat</t>
  </si>
  <si>
    <t>Durée totale d'amortissement</t>
  </si>
  <si>
    <t>Crédit d'impôt</t>
  </si>
  <si>
    <t>Valeur nominalement d'amortissement</t>
  </si>
  <si>
    <t>Production annuelle</t>
  </si>
  <si>
    <t>Coûts nouvelle machine</t>
  </si>
  <si>
    <t>Coûts machine initiale</t>
  </si>
  <si>
    <t>main d'œuvre dir/unité</t>
  </si>
  <si>
    <t>mat prem/unité</t>
  </si>
  <si>
    <t>admin/unité</t>
  </si>
  <si>
    <t>Δ IS</t>
  </si>
  <si>
    <t>Δ IS (hors crédit d'impôt)</t>
  </si>
  <si>
    <t>Cession fin de vie</t>
  </si>
  <si>
    <t>Gain coût de fab</t>
  </si>
  <si>
    <t>Gain sur achat extérieur</t>
  </si>
  <si>
    <t>Allongement de la durée du crédit (jours)</t>
  </si>
  <si>
    <t>Accroissement des ventes</t>
  </si>
  <si>
    <t>Chiffre d'affaires annuel</t>
  </si>
  <si>
    <t>Prix vente/unité</t>
  </si>
  <si>
    <t>Prix de revient</t>
  </si>
  <si>
    <t>Coûts fixes</t>
  </si>
  <si>
    <t>Rentabilité exigée avant impôt sur CP</t>
  </si>
  <si>
    <t>CA</t>
  </si>
  <si>
    <t>Chronique des flux actualisés</t>
  </si>
  <si>
    <t>Durée d'allongement optimum</t>
  </si>
  <si>
    <t>Augmentation des créance douteuses</t>
  </si>
  <si>
    <t>Créances douteuses/ventes</t>
  </si>
  <si>
    <t>crédit d'impôt</t>
  </si>
  <si>
    <t>Δ amortissement</t>
  </si>
  <si>
    <t>Chronique des flux de la nouvelle machine par rapport à l'ancienne</t>
  </si>
  <si>
    <t>pièces</t>
  </si>
  <si>
    <t>paiement client actualisé à la date de paiement</t>
  </si>
  <si>
    <t>coûts de fabrication</t>
  </si>
  <si>
    <t>nbre de pièces fabriquées ( en milliers)</t>
  </si>
  <si>
    <t>résultat d'expl.</t>
  </si>
  <si>
    <t>Δ résultat d'expl.</t>
  </si>
  <si>
    <t>VAN av IS</t>
  </si>
  <si>
    <t>VAN ap IS</t>
  </si>
  <si>
    <t>a. Cacul des dilutions</t>
  </si>
  <si>
    <t>Chronique des flux différentiels &amp; actualisés</t>
  </si>
  <si>
    <t>Cotation de l'action</t>
  </si>
  <si>
    <t>Dividendes 5 1ères années</t>
  </si>
  <si>
    <t>Dividendes après</t>
  </si>
  <si>
    <t>flux</t>
  </si>
  <si>
    <t>Valeur nominale de la dette</t>
  </si>
  <si>
    <t>Cotation de la dette</t>
  </si>
  <si>
    <t>rd</t>
  </si>
  <si>
    <t>flux actualisés</t>
  </si>
  <si>
    <t>Nbre d'actions émises</t>
  </si>
  <si>
    <t>Montant comptable</t>
  </si>
  <si>
    <t>CP</t>
  </si>
  <si>
    <t>presentation par destination</t>
  </si>
  <si>
    <t>Cout des ventes</t>
  </si>
  <si>
    <t>Rémunération perpétuelle</t>
  </si>
  <si>
    <t>Calcul du coût du capital</t>
  </si>
  <si>
    <t>Coût</t>
  </si>
  <si>
    <t>Flux avant impôt</t>
  </si>
  <si>
    <t>Structure de financement</t>
  </si>
  <si>
    <t>Proportion</t>
  </si>
  <si>
    <t>Coût avant impôt</t>
  </si>
  <si>
    <t>Coût après impôt</t>
  </si>
  <si>
    <t>flux av IS</t>
  </si>
  <si>
    <t>flux ap IS</t>
  </si>
  <si>
    <t>Exercice 6: cas Cyclone</t>
  </si>
  <si>
    <t>Division trasport maritime</t>
  </si>
  <si>
    <t>Division chantier naval</t>
  </si>
  <si>
    <t>Capitalisation boursière</t>
  </si>
  <si>
    <t>Re av IS</t>
  </si>
  <si>
    <t>βd estimé</t>
  </si>
  <si>
    <t>βcp observé</t>
  </si>
  <si>
    <t>Taux ss risque</t>
  </si>
  <si>
    <t>rm</t>
  </si>
  <si>
    <t>Groupe</t>
  </si>
  <si>
    <t>Apport aujourd'hui</t>
  </si>
  <si>
    <t>Retour dans 5 ans</t>
  </si>
  <si>
    <t>maxi!</t>
  </si>
  <si>
    <t>Investissement proposé</t>
  </si>
  <si>
    <t>Re ap IS</t>
  </si>
  <si>
    <t>g objectif</t>
  </si>
  <si>
    <t>rd av IS</t>
  </si>
  <si>
    <t>Structure financière implicitement choisie</t>
  </si>
  <si>
    <t>D/C</t>
  </si>
  <si>
    <t>Taux de croissance implicitement prévu</t>
  </si>
  <si>
    <t>AE</t>
  </si>
  <si>
    <t>Res. d'expl. ap IS</t>
  </si>
  <si>
    <t>Frais fi. ap IS</t>
  </si>
  <si>
    <t>Résultat réinvesti</t>
  </si>
  <si>
    <t>CP ap répartition</t>
  </si>
  <si>
    <t>rendement net</t>
  </si>
  <si>
    <t>nb actions</t>
  </si>
  <si>
    <t>Levée</t>
  </si>
  <si>
    <t>valeur action émise</t>
  </si>
  <si>
    <t>Vdps</t>
  </si>
  <si>
    <t>dil apparente</t>
  </si>
  <si>
    <t>dil réelle</t>
  </si>
  <si>
    <t>dil technique</t>
  </si>
  <si>
    <t>coef d'ajustement</t>
  </si>
  <si>
    <t>Proportion de souscription</t>
  </si>
  <si>
    <t>Distribution d'actions gratuites?</t>
  </si>
  <si>
    <t>produit de la vente des DPS</t>
  </si>
  <si>
    <t>nb de DPS à vendre</t>
  </si>
  <si>
    <t>achat d'actions avec les DPS restants</t>
  </si>
  <si>
    <t>bilan vente/achat</t>
  </si>
  <si>
    <t>nb d'actions achetées</t>
  </si>
  <si>
    <t>C'est équivalent à la distribution de</t>
  </si>
  <si>
    <t>actions gratuites</t>
  </si>
  <si>
    <t>L'actionnaire ne suit pas…</t>
  </si>
  <si>
    <t>Tous les actionnaires suivent</t>
  </si>
  <si>
    <t>augmentation capital</t>
  </si>
  <si>
    <t>souscription par actionnaire X</t>
  </si>
  <si>
    <t>Nouveau BPA</t>
  </si>
  <si>
    <t>Ancien BPA</t>
  </si>
  <si>
    <t>Croissance des CP</t>
  </si>
  <si>
    <t>CP av</t>
  </si>
  <si>
    <t>CP ap</t>
  </si>
  <si>
    <t>croissance CP</t>
  </si>
  <si>
    <t>CPA av</t>
  </si>
  <si>
    <t>CPA ap</t>
  </si>
  <si>
    <t>sans brutale fièvre</t>
  </si>
  <si>
    <t>avec brutale fièvre</t>
  </si>
  <si>
    <t>Nb actions</t>
  </si>
  <si>
    <t>Rapport de souscription</t>
  </si>
  <si>
    <t>en % de Vcp</t>
  </si>
  <si>
    <t>V AE</t>
  </si>
  <si>
    <t>Placement</t>
  </si>
  <si>
    <t>revenu</t>
  </si>
  <si>
    <t>Comparaison des 2 investissements concurrents</t>
  </si>
  <si>
    <t>% d'actions</t>
  </si>
  <si>
    <t>Somme initiale à investir</t>
  </si>
  <si>
    <t>j'emprunte aujourd'hui pour 6 mois</t>
  </si>
  <si>
    <t>Δ coût crédit client</t>
  </si>
  <si>
    <t>Actions</t>
  </si>
  <si>
    <t>Obligations</t>
  </si>
  <si>
    <t>Valeur nominale</t>
  </si>
  <si>
    <t>Bénéfice attendu</t>
  </si>
  <si>
    <t>Taux imposition</t>
  </si>
  <si>
    <t>BPA "fully diluted"</t>
  </si>
  <si>
    <t>Obligation convertible</t>
  </si>
  <si>
    <t>Taux d'intérêt</t>
  </si>
  <si>
    <t>Prix de souscription de l'action X</t>
  </si>
  <si>
    <t>Taux de placement avant impôt</t>
  </si>
  <si>
    <t>OBSA
(placement fonds à 8%)</t>
  </si>
  <si>
    <t>OBSA
(rachat actions)</t>
  </si>
  <si>
    <t>Taux emprunt initial</t>
  </si>
  <si>
    <t>Émission de l'OBSA pour rembourser un emprunt</t>
  </si>
  <si>
    <t>Gain</t>
  </si>
  <si>
    <t>Gain par action (fully diluted)</t>
  </si>
  <si>
    <t>Nbre d'actions</t>
  </si>
  <si>
    <t>Cours de bourse</t>
  </si>
  <si>
    <t>Capitaux propres comptables</t>
  </si>
  <si>
    <t>Rachat</t>
  </si>
  <si>
    <t>Prix</t>
  </si>
  <si>
    <t>CPA</t>
  </si>
  <si>
    <t>initial</t>
  </si>
  <si>
    <t>Coût dette après impôt</t>
  </si>
  <si>
    <t>rachat à 500</t>
  </si>
  <si>
    <t>rachat à 1500</t>
  </si>
  <si>
    <t>un indice est donne case A137 de cette feuille</t>
  </si>
  <si>
    <t>Société Boislevé - compte de résultat (présentation par fonction)</t>
  </si>
  <si>
    <t>Capitaux propres comptables part du groupe</t>
  </si>
  <si>
    <t>- Δ BFR</t>
  </si>
  <si>
    <t>Frais financiers avant impôt</t>
  </si>
  <si>
    <t>Taux impôt</t>
  </si>
  <si>
    <t>Financement par capitaux propres …</t>
  </si>
  <si>
    <t>Taux de croissance du BPA</t>
  </si>
  <si>
    <t>… ou par endettement</t>
  </si>
  <si>
    <t>Valeur attendue</t>
  </si>
  <si>
    <t>Avant absorbsion</t>
  </si>
  <si>
    <t>Après absorbsion…</t>
  </si>
  <si>
    <t>Méthode bénéfice net</t>
  </si>
  <si>
    <t>Méthode Vcp</t>
  </si>
  <si>
    <t>Méthode CP</t>
  </si>
  <si>
    <t>b. PER différents</t>
  </si>
  <si>
    <t>c. Partage des synergies?</t>
  </si>
  <si>
    <t>Accroissement du bénéf</t>
  </si>
  <si>
    <t>PER ap fusion</t>
  </si>
  <si>
    <t>Valeur créée par la fusion</t>
  </si>
  <si>
    <t>e. Valeur créée</t>
  </si>
  <si>
    <t>V créée</t>
  </si>
  <si>
    <t>Synergie</t>
  </si>
  <si>
    <t>… dans (ans)</t>
  </si>
  <si>
    <t>Consommations</t>
  </si>
  <si>
    <t>Flux d'exploitation</t>
  </si>
  <si>
    <t>Moyenne PER</t>
  </si>
  <si>
    <t>Période</t>
  </si>
  <si>
    <t>Recettes d'explotation</t>
  </si>
  <si>
    <t>Dépenses d'exploitation</t>
  </si>
  <si>
    <t>ETE</t>
  </si>
  <si>
    <t>Investissement</t>
  </si>
  <si>
    <t>Flux de trésorie disponible avant impôt</t>
  </si>
  <si>
    <t>Flux revenant aux créanciers</t>
  </si>
  <si>
    <t>Flux revenant aux actionnaires</t>
  </si>
  <si>
    <t>Stock</t>
  </si>
  <si>
    <t>Frais de personnel</t>
  </si>
  <si>
    <t>Transport</t>
  </si>
  <si>
    <t>Total</t>
  </si>
  <si>
    <t>Prêt</t>
  </si>
  <si>
    <t>Intérêt</t>
  </si>
  <si>
    <t>Année</t>
  </si>
  <si>
    <t>Présentation par nature</t>
  </si>
  <si>
    <t>Moyenne des Re</t>
  </si>
  <si>
    <t>Augmentation du chiffre d'affaires</t>
  </si>
  <si>
    <t>Production vendue</t>
  </si>
  <si>
    <t>Production stockée</t>
  </si>
  <si>
    <t>Production</t>
  </si>
  <si>
    <t>Charges d'exploitation consommées</t>
  </si>
  <si>
    <t>Impôts sur les résultats</t>
  </si>
  <si>
    <t>Carlsberg</t>
  </si>
  <si>
    <t>L'Oréal</t>
  </si>
  <si>
    <t>en MdDKR</t>
  </si>
  <si>
    <t>après JC</t>
  </si>
  <si>
    <t>Flux de l'année</t>
  </si>
  <si>
    <t>vaut</t>
  </si>
  <si>
    <t>cumul</t>
  </si>
  <si>
    <t>placé au bout de …. ans</t>
  </si>
  <si>
    <t xml:space="preserve">Si valeur finale = </t>
  </si>
  <si>
    <t>par an</t>
  </si>
  <si>
    <t>alors la somme annuelle placée à 4 % est :</t>
  </si>
  <si>
    <t>sans calcul</t>
  </si>
  <si>
    <t xml:space="preserve">3 pour 4 </t>
  </si>
  <si>
    <t>Prix d'émission de 3 actions +4 DS</t>
  </si>
  <si>
    <t>Valeur de 3 actions - 3 DS</t>
  </si>
  <si>
    <t>- 3 DS</t>
  </si>
  <si>
    <t>+ 4 DS</t>
  </si>
  <si>
    <t>Capitalisation Boursière</t>
  </si>
  <si>
    <t xml:space="preserve">BFR induit </t>
  </si>
  <si>
    <t>Taux d' IS</t>
  </si>
  <si>
    <t>Flux de tresorererie</t>
  </si>
  <si>
    <t>amortissement lineaire sur … ans</t>
  </si>
  <si>
    <t>année</t>
  </si>
  <si>
    <t>dotation aux amortissements</t>
  </si>
  <si>
    <t>Flux de tresorerie</t>
  </si>
  <si>
    <t>amortissement dégressif sur … ans</t>
  </si>
  <si>
    <t>le calcul du taux de rentabilité économique est donné dans le Vernimmen.</t>
  </si>
  <si>
    <t>Fond Objectif Syldavie</t>
  </si>
  <si>
    <t>Fond Syldavie Diversification</t>
  </si>
  <si>
    <t>Klow 300</t>
  </si>
  <si>
    <t>Exédent Brut d'Exploitation (EBE)</t>
  </si>
  <si>
    <t>Dotations aux amortissements</t>
  </si>
  <si>
    <t>Société Castafiore Spa</t>
  </si>
  <si>
    <t>Société Nestor</t>
  </si>
  <si>
    <t>Sociétés Tryphon et Tournesol</t>
  </si>
  <si>
    <t>Tryphon</t>
  </si>
  <si>
    <t>Tournesol</t>
  </si>
  <si>
    <t>Société Ottokar</t>
  </si>
  <si>
    <t>Société Bianca</t>
  </si>
  <si>
    <t>Société Castafiore</t>
  </si>
  <si>
    <t>Exercice 1: La machine à coudre nucléaire !</t>
  </si>
  <si>
    <t>Société Enron</t>
  </si>
  <si>
    <t>Publicis</t>
  </si>
  <si>
    <t>Dupont</t>
  </si>
  <si>
    <t>Control par Mr Dupont</t>
  </si>
  <si>
    <t>Dupond</t>
  </si>
  <si>
    <t>Control par Mr Dupond</t>
  </si>
  <si>
    <t>Séraphin</t>
  </si>
  <si>
    <t>Lampion</t>
  </si>
  <si>
    <t>a. Après absorbsion de Lampion par Séraphin…</t>
  </si>
  <si>
    <t>Actionnaires Séraphin</t>
  </si>
  <si>
    <t>Actionnaires Lampion</t>
  </si>
  <si>
    <t>PER de Séraphin</t>
  </si>
  <si>
    <t>Parité min (Séraphin/Lampion)</t>
  </si>
  <si>
    <t>Parité max (Séraphin/Lampion)</t>
  </si>
  <si>
    <t>d. Valeur de Mondass</t>
  </si>
  <si>
    <t>V Mondass</t>
  </si>
  <si>
    <t>Revalorisation de Lampion</t>
  </si>
  <si>
    <t>Variation des provisions sur actifs immobilisés</t>
  </si>
  <si>
    <t>Résultat d'exploitation</t>
  </si>
  <si>
    <t>Charges financières nettes des produits financiers</t>
  </si>
  <si>
    <t>Resultat courant</t>
  </si>
  <si>
    <t>Resultat exceptionnel</t>
  </si>
  <si>
    <t>Impôt sur les sociétés</t>
  </si>
  <si>
    <t>Resultat net</t>
  </si>
  <si>
    <t>Dividendes</t>
  </si>
  <si>
    <t>Résultat mis en réserve</t>
  </si>
  <si>
    <t>Produits finis</t>
  </si>
  <si>
    <t>Valeur unitaire</t>
  </si>
  <si>
    <t>Boitier</t>
  </si>
  <si>
    <t>Carte mère</t>
  </si>
  <si>
    <t>Processeur</t>
  </si>
  <si>
    <t>Mémoire vive</t>
  </si>
  <si>
    <t>Carte graphique</t>
  </si>
  <si>
    <t>Disque dur</t>
  </si>
  <si>
    <t>Ecran</t>
  </si>
  <si>
    <t>Consommation composants</t>
  </si>
  <si>
    <t>Variation de stock composants</t>
  </si>
  <si>
    <t>Composants</t>
  </si>
  <si>
    <t>Prix de vente</t>
  </si>
  <si>
    <t>Plus value vente locaux</t>
  </si>
  <si>
    <t>Achat local</t>
  </si>
  <si>
    <t>Vente local</t>
  </si>
  <si>
    <t>Durée amort</t>
  </si>
  <si>
    <t>Durée amortie</t>
  </si>
  <si>
    <t>Amortissement locaux</t>
  </si>
  <si>
    <t>Nombre de mois</t>
  </si>
  <si>
    <t>Intérêt emprunt</t>
  </si>
  <si>
    <t>Emprunt</t>
  </si>
  <si>
    <t>Taux annuel</t>
  </si>
  <si>
    <t>Nbre de mois de l'année avant remboursement</t>
  </si>
  <si>
    <t>Taux d'imposition sur les sociétés</t>
  </si>
  <si>
    <t>Excédent brut d'exploitation (EBE)</t>
  </si>
  <si>
    <t>Dotation aux amortissements</t>
  </si>
  <si>
    <t>Charges financières</t>
  </si>
  <si>
    <t>Résultat courant</t>
  </si>
  <si>
    <t>Résultat net</t>
  </si>
  <si>
    <t>Immobilisation nettes (A)</t>
  </si>
  <si>
    <t>Actif économique (A+B)</t>
  </si>
  <si>
    <t xml:space="preserve">Capitaux propres (C) </t>
  </si>
  <si>
    <t>dont dividendes à verser</t>
  </si>
  <si>
    <t>Eléments exceptionnels</t>
  </si>
  <si>
    <t>Bénéfice par action dilué</t>
  </si>
  <si>
    <t>Spread Boucherie Sanzot</t>
  </si>
  <si>
    <t>Taux + spread Sanzot</t>
  </si>
  <si>
    <t>Flux Boucherie Sanzot</t>
  </si>
  <si>
    <t>VA Oblig. Boucherie Sanzot</t>
  </si>
  <si>
    <t>source : Les Echos de Moulinsart</t>
  </si>
  <si>
    <t>Exercice 3: emprunts d'Etat belges</t>
  </si>
  <si>
    <t>faible</t>
  </si>
  <si>
    <t>Application de Black Scholes pour recalcul de la valeur</t>
  </si>
  <si>
    <t>Variation de valeur</t>
  </si>
  <si>
    <t>Exercice 1 : Soazic SA</t>
  </si>
  <si>
    <t xml:space="preserve">Exercice 3 : Picchi </t>
  </si>
  <si>
    <t>Exercice 4 : Nestlé</t>
  </si>
  <si>
    <t>Pourcentage détenu</t>
  </si>
  <si>
    <t>mise en équivalence</t>
  </si>
  <si>
    <t>L'Oréal (Cosmétiques)</t>
  </si>
  <si>
    <t>MdFS</t>
  </si>
  <si>
    <t>Vcp Nestlé</t>
  </si>
  <si>
    <t>soit</t>
  </si>
  <si>
    <t>Avant augmentation de capital</t>
  </si>
  <si>
    <t>Dernier cours</t>
  </si>
  <si>
    <t>Termes de l'augmentation</t>
  </si>
  <si>
    <t>CP comptables</t>
  </si>
  <si>
    <t>Montant de l'augmentation</t>
  </si>
  <si>
    <t>Dilution</t>
  </si>
  <si>
    <t>Nbre actions Séraphin</t>
  </si>
  <si>
    <t>action Séraphin pour 1 action Lampion</t>
  </si>
  <si>
    <t>Actionnaires hors augmentation de capital</t>
  </si>
  <si>
    <t>Enrichissement/appauvrissement</t>
  </si>
  <si>
    <t>Actionnaires ayant souscrit l'augmentation de capital</t>
  </si>
  <si>
    <t>Je place dans 3 mois</t>
  </si>
  <si>
    <t>On me rends dans 6 mois</t>
  </si>
  <si>
    <t>Capitaux propres par action</t>
  </si>
  <si>
    <t>Gain de l'arbitrage</t>
  </si>
  <si>
    <t>Stratégie d'arbitrage</t>
  </si>
  <si>
    <t>Je rend dans 6 mois</t>
  </si>
  <si>
    <t>Résultat opérationnel</t>
  </si>
  <si>
    <t>Dividende par action</t>
  </si>
  <si>
    <t>Total de l'actif</t>
  </si>
  <si>
    <t>Flux de trésorerie d'exploitation (hors variation du BFR)</t>
  </si>
  <si>
    <t>Cours de l'action au 31/12</t>
  </si>
  <si>
    <t>Comptes non audités en M$</t>
  </si>
  <si>
    <t>Pourquoi les comptes sont-ils non audités ?</t>
  </si>
  <si>
    <t>L'exceptionnel est-il récurrent ou non ?</t>
  </si>
  <si>
    <t>Quel est l'impact du BFR et de la variation de BFR ?</t>
  </si>
  <si>
    <t>Pourquoi les multiples (PER) sont-ils élevés ?</t>
  </si>
  <si>
    <t>Points essentiels à étudier</t>
  </si>
  <si>
    <t>Indice : il s'agit des comptes d'Enron</t>
  </si>
  <si>
    <t>Coût des ventes</t>
  </si>
  <si>
    <t>Frais commerciaux</t>
  </si>
  <si>
    <t>Frais administratifs</t>
  </si>
  <si>
    <t>Marge commerciale</t>
  </si>
  <si>
    <t>Consommations de matières premières</t>
  </si>
  <si>
    <t>Autres consommations externes</t>
  </si>
  <si>
    <t>Excédent Brut d'Exploitation</t>
  </si>
  <si>
    <t>Production d'électricité</t>
  </si>
  <si>
    <t>Dotations aux am.</t>
  </si>
  <si>
    <t>Grande distribution</t>
  </si>
  <si>
    <t>Marge comm. faible</t>
  </si>
  <si>
    <t>Travail temporaire</t>
  </si>
  <si>
    <t>Distribution spécialisée</t>
  </si>
  <si>
    <t>Marge comm. forte</t>
  </si>
  <si>
    <t>BTP</t>
  </si>
  <si>
    <t>Secteur</t>
  </si>
  <si>
    <t>Indices</t>
  </si>
  <si>
    <t>Dettes bancaires et financières à court, moyen et long terme</t>
  </si>
  <si>
    <t>- Disponible</t>
  </si>
  <si>
    <t>- Placement financier</t>
  </si>
  <si>
    <t>Capitaux investis dans l'exploitation (C+D)</t>
  </si>
  <si>
    <t>+ Créances d'exploitation</t>
  </si>
  <si>
    <t>- Dettes d'exploitation</t>
  </si>
  <si>
    <t>= Besoin en fond de roulement d'exploitation</t>
  </si>
  <si>
    <t>+ Besoin en fond de roulement hors exploitation</t>
  </si>
  <si>
    <t>= Besoin en fond de roulement (B)</t>
  </si>
  <si>
    <t>= Endettement net (D)</t>
  </si>
  <si>
    <t>Recettes d'exploitation</t>
  </si>
  <si>
    <t>Qté initiale</t>
  </si>
  <si>
    <t>Qté finale</t>
  </si>
  <si>
    <t>Valeur initiale</t>
  </si>
  <si>
    <t>Valeur finale</t>
  </si>
  <si>
    <t>Variation</t>
  </si>
  <si>
    <t>Achat</t>
  </si>
  <si>
    <t>Coûts de main d'œuvre associés</t>
  </si>
  <si>
    <t>Coût de main d'œuvre sur l'exercice</t>
  </si>
  <si>
    <t>Valeur matière de la production</t>
  </si>
  <si>
    <t>Vendue</t>
  </si>
  <si>
    <t>Salaires</t>
  </si>
  <si>
    <t>Charges sociales</t>
  </si>
  <si>
    <t>Valeur amortie</t>
  </si>
  <si>
    <t>Plus value</t>
  </si>
  <si>
    <t>Désendettement net</t>
  </si>
  <si>
    <t>+ Dotations aux amortissements</t>
  </si>
  <si>
    <t>+ Variation des provisions pour dépréciation d'actifs immobilisés</t>
  </si>
  <si>
    <t>- Variation du besoin en fonds de roulement d'exploitation</t>
  </si>
  <si>
    <t>- Investissements</t>
  </si>
  <si>
    <t>+ Cessions d'actifs</t>
  </si>
  <si>
    <t>+ Augmentation de capital</t>
  </si>
  <si>
    <t>- Dividendes versés</t>
  </si>
  <si>
    <t>Achats</t>
  </si>
  <si>
    <t>Ventes</t>
  </si>
  <si>
    <t>- coûts administratifs et commerciaux</t>
  </si>
  <si>
    <t>- frais de recherche et développement</t>
  </si>
  <si>
    <t>- coût de production</t>
  </si>
  <si>
    <t>date 0</t>
  </si>
  <si>
    <t>fin année 1</t>
  </si>
  <si>
    <t>fin année 2</t>
  </si>
  <si>
    <t>Stock produits finis</t>
  </si>
  <si>
    <t>Stock composants</t>
  </si>
  <si>
    <t>Capacité d'autofinancement</t>
  </si>
  <si>
    <t>Flux de trésorie disponible après impôt et frais financiers</t>
  </si>
  <si>
    <t>Flux de trésorie provenant de l'exploitation</t>
  </si>
  <si>
    <t>Remboursement d'emprunts</t>
  </si>
  <si>
    <t>- Nouveaux emprunts</t>
  </si>
  <si>
    <t>+ Variation des placements financiers</t>
  </si>
  <si>
    <t>+ Variation du disponible</t>
  </si>
  <si>
    <t>fin année 3</t>
  </si>
  <si>
    <t>Année 1</t>
  </si>
  <si>
    <t>Année 2</t>
  </si>
  <si>
    <t>Année 3</t>
  </si>
  <si>
    <t>Eléments du compte de résultat</t>
  </si>
  <si>
    <t>Sociétés</t>
  </si>
  <si>
    <t>Chiffre d'affaires</t>
  </si>
  <si>
    <t>Achats consommés</t>
  </si>
  <si>
    <t>Autres charges d'exploitation</t>
  </si>
  <si>
    <t>dont frais de personnel</t>
  </si>
  <si>
    <t>Frais financiers</t>
  </si>
  <si>
    <t>Impôts</t>
  </si>
  <si>
    <t>Frais d'installation</t>
  </si>
  <si>
    <t>Immobilisations corporelles</t>
  </si>
  <si>
    <t>dont terrains et constructions</t>
  </si>
  <si>
    <t>dont agencements et installations</t>
  </si>
  <si>
    <t>dont matériel de transport</t>
  </si>
  <si>
    <t>dont matériel de bureau</t>
  </si>
  <si>
    <t>Immobilisations financières</t>
  </si>
  <si>
    <t>Immobilisations incorporelles</t>
  </si>
  <si>
    <t>Stocks</t>
  </si>
  <si>
    <t>Créances d'exploitation</t>
  </si>
  <si>
    <t>Disponibilités</t>
  </si>
  <si>
    <t>Total Actif</t>
  </si>
  <si>
    <t>Capitaux propres</t>
  </si>
  <si>
    <t>Dettes à long et moyen terme</t>
  </si>
  <si>
    <t>Fournisseurs</t>
  </si>
  <si>
    <t>Autres dettes d'exploitation</t>
  </si>
  <si>
    <t>Dettes bancaires à court terme</t>
  </si>
  <si>
    <t>Total passif</t>
  </si>
  <si>
    <t>Produits financiers</t>
  </si>
  <si>
    <t>Excédent brut d'exploitation</t>
  </si>
  <si>
    <t>Besoin en fond de roulement</t>
  </si>
  <si>
    <t>Actif économique</t>
  </si>
  <si>
    <t>Endettement net</t>
  </si>
  <si>
    <t>Actif</t>
  </si>
  <si>
    <t>Immobilisations corporelles et incorporelles</t>
  </si>
  <si>
    <t>Titres de participation</t>
  </si>
  <si>
    <t>de la filiale</t>
  </si>
  <si>
    <t>autres</t>
  </si>
  <si>
    <t>Actif circulant</t>
  </si>
  <si>
    <t>M</t>
  </si>
  <si>
    <t>Passif</t>
  </si>
  <si>
    <t>Capital social</t>
  </si>
  <si>
    <t>Réserves</t>
  </si>
  <si>
    <t>Passif exigible</t>
  </si>
  <si>
    <t>Compte de résultat</t>
  </si>
  <si>
    <t>+ Chiffre d'affaires</t>
  </si>
  <si>
    <t>+ Produits financiers</t>
  </si>
  <si>
    <t>+ Produits exceptionnels</t>
  </si>
  <si>
    <t>= Résultat net</t>
  </si>
  <si>
    <t>- Impôt sur les bénéfices</t>
  </si>
  <si>
    <t>- Charges exceptionnelles</t>
  </si>
  <si>
    <t>- Charges financières</t>
  </si>
  <si>
    <t>- Charges de personnel</t>
  </si>
  <si>
    <t>- Autres services externes</t>
  </si>
  <si>
    <t>- Variations de stock</t>
  </si>
  <si>
    <t>- Achat</t>
  </si>
  <si>
    <t>Part du groupe</t>
  </si>
  <si>
    <t>Intérêts minoritaires</t>
  </si>
  <si>
    <t>Exercice 1</t>
  </si>
  <si>
    <t>BFR</t>
  </si>
  <si>
    <t>Exercice 2</t>
  </si>
  <si>
    <t>Etat du monde</t>
  </si>
  <si>
    <t>Remboursement de dette</t>
  </si>
  <si>
    <t>Flux pour les actionnaires</t>
  </si>
  <si>
    <t>Valeur de la dette</t>
  </si>
  <si>
    <t>Valeur de l'actif économique</t>
  </si>
  <si>
    <t>Valeur du projet d'investissement</t>
  </si>
  <si>
    <t>Financement maximum par les actionnaires</t>
  </si>
  <si>
    <t>Cas 1 : financement par dette</t>
  </si>
  <si>
    <t>Cas 2 : financement par CP</t>
  </si>
  <si>
    <t>Condition pour l'entrée de nouveaux créanciers : remboursement prioritaire par rapport aux créanciers existants</t>
  </si>
  <si>
    <t>Oui, mais problème amplifié par la situation en quasi-faillite de la société</t>
  </si>
  <si>
    <t>Dettes subordonnées</t>
  </si>
  <si>
    <t>Dettes senior</t>
  </si>
  <si>
    <t>Valeur de la dette sub.</t>
  </si>
  <si>
    <t>Valeur de la dette senior</t>
  </si>
  <si>
    <t>Activité en décroissance</t>
  </si>
  <si>
    <t>Marges négatives en chute</t>
  </si>
  <si>
    <t>-&gt; Menace de faillite</t>
  </si>
  <si>
    <t>Cession d'une partie de l'AE</t>
  </si>
  <si>
    <t>actions nouvelles</t>
  </si>
  <si>
    <t>prix d'émission</t>
  </si>
  <si>
    <t>Dette subordonnée</t>
  </si>
  <si>
    <t>Remboursement</t>
  </si>
  <si>
    <t>Dette senior</t>
  </si>
  <si>
    <t>Abndon de créance</t>
  </si>
  <si>
    <t>Emission bons de souscription</t>
  </si>
  <si>
    <t>Valeur d'un bon</t>
  </si>
  <si>
    <t>Créanciers senior</t>
  </si>
  <si>
    <t>Valeur ap. augm. cap.</t>
  </si>
  <si>
    <t>Remboursement issu de l'augm. cap</t>
  </si>
  <si>
    <t>Valeur des bons</t>
  </si>
  <si>
    <t>Patrimoine</t>
  </si>
  <si>
    <t>Valeur av. augm. cap</t>
  </si>
  <si>
    <t>Dette sub.</t>
  </si>
  <si>
    <t>Valeur par action</t>
  </si>
  <si>
    <t>Créanciers subordonnés</t>
  </si>
  <si>
    <t>d) Les créanciers sont les grands bénéficiaires du plan</t>
  </si>
  <si>
    <t>MARGE BRUTE</t>
  </si>
  <si>
    <t>VALEUR AJOUTEE</t>
  </si>
  <si>
    <t>Impôts et taxes</t>
  </si>
  <si>
    <t>EXCEDENT BRUT D'EXPLOITATION</t>
  </si>
  <si>
    <t>RESULTAT D'EXPLOITATION</t>
  </si>
  <si>
    <t>RESULTAT FINANCIER</t>
  </si>
  <si>
    <t>RESULTAT COURANT</t>
  </si>
  <si>
    <t>RESULTAT EXCEPTIONNEL</t>
  </si>
  <si>
    <t>Impôt sur les bénéfices</t>
  </si>
  <si>
    <t>RESULTAT NET</t>
  </si>
  <si>
    <t>Exercice</t>
  </si>
  <si>
    <t>Résultat net part du groupe</t>
  </si>
  <si>
    <t>Dettes fournisseurs</t>
  </si>
  <si>
    <t>+ Autres créances d'exploitation courante</t>
  </si>
  <si>
    <t>+ Autres dettes d'exploitation courante</t>
  </si>
  <si>
    <t>ACTIF IMMOBILISE (Immo)</t>
  </si>
  <si>
    <t>Stock Total</t>
  </si>
  <si>
    <t>+ Créances clients nettes de provisions</t>
  </si>
  <si>
    <t>= EMPLOI DU CYCLE D'EXPLOITATION (1)</t>
  </si>
  <si>
    <t>Encours fournisseurs d'exploitation (net des avances)</t>
  </si>
  <si>
    <t>= RESSOURCES DU CYCLE D'EXPLOITATION (2)</t>
  </si>
  <si>
    <t>BESOIN EN FONDS DE ROULEMENT HORS EXPLOITATION</t>
  </si>
  <si>
    <t>ACTIF ECONOMIQUE (IMMO + BFR) + BFR HORS EXPLOITATION</t>
  </si>
  <si>
    <t>CAPITAUX PROPRES TOTAUX (CP)</t>
  </si>
  <si>
    <t>Dettes bancaires et financières LMT (y compris crédit-bail)</t>
  </si>
  <si>
    <t>+ Concours bancaires courant</t>
  </si>
  <si>
    <t>- Placements financiers et disponible</t>
  </si>
  <si>
    <t>= ENDETTEMENT NET (D)</t>
  </si>
  <si>
    <t xml:space="preserve">Compte de résultat </t>
  </si>
  <si>
    <t>Fabrication et distribution</t>
  </si>
  <si>
    <t>Recettes</t>
  </si>
  <si>
    <t>Dépenses</t>
  </si>
  <si>
    <t>Flux de trésorerie d'exploitation</t>
  </si>
  <si>
    <t>Prix d'un abonnement</t>
  </si>
  <si>
    <t>Nbre d'abonnements vendus</t>
  </si>
  <si>
    <t>Nbre de numéros dans l'année</t>
  </si>
  <si>
    <t>Coût unitaire fabrication/livraison</t>
  </si>
  <si>
    <t>Coût de main d'œuvre par numéro</t>
  </si>
  <si>
    <t>+ Provisions à caractère d'endettement net</t>
  </si>
  <si>
    <t>Frais de R&amp;D</t>
  </si>
  <si>
    <t>Agence de voyage</t>
  </si>
  <si>
    <t xml:space="preserve">Marge d'expl. faible
Coût des ventes élevé </t>
  </si>
  <si>
    <t>Produits de luxe</t>
  </si>
  <si>
    <t>Equipement télécom</t>
  </si>
  <si>
    <t>Biens de grande conso.</t>
  </si>
  <si>
    <t>Frais comm. et 
R&amp;D élevés</t>
  </si>
  <si>
    <t>Production de ciment</t>
  </si>
  <si>
    <t>R&amp;D limité</t>
  </si>
  <si>
    <t>R&amp;D élevé</t>
  </si>
  <si>
    <t>Marge d'expl. élevée
Frais comm. élevés</t>
  </si>
  <si>
    <t>Exercice 1: Société Daniel Lucot</t>
  </si>
  <si>
    <t>Exercice 2: Société Jean-Michel Palaric</t>
  </si>
  <si>
    <t>Frais généraux et administratifs</t>
  </si>
  <si>
    <t>Autres produits et charges d'exploitation</t>
  </si>
  <si>
    <t>Résultat d'exploitation récurrent</t>
  </si>
  <si>
    <t>Autres actifs non courants</t>
  </si>
  <si>
    <t>Dettes fournisseurs d'exploitation</t>
  </si>
  <si>
    <t xml:space="preserve">Besoin en fond de roulement </t>
  </si>
  <si>
    <t>Engagements de retraite</t>
  </si>
  <si>
    <t>Impôts différés passifs</t>
  </si>
  <si>
    <t>Frais de recherche et développement</t>
  </si>
  <si>
    <t>Autres immobilisations incorporelles</t>
  </si>
  <si>
    <t>Trésorerie et équivalent trésorerie</t>
  </si>
  <si>
    <t>Nb actions ap. augm.</t>
  </si>
  <si>
    <t>- Plus-values de cession</t>
  </si>
  <si>
    <t>- Variation du besoin en fonds de roulement</t>
  </si>
  <si>
    <t>= Flux de trésorerie provenant de l'exploitation (A)</t>
  </si>
  <si>
    <t>Investissement d'exploitation</t>
  </si>
  <si>
    <t>+ Investissements financiers</t>
  </si>
  <si>
    <t>- Cessions d'immobilisations</t>
  </si>
  <si>
    <t>Augmentation de capital en numéraire ( C )</t>
  </si>
  <si>
    <t>(A-B+C-D) = Désendettement net</t>
  </si>
  <si>
    <t>n+1</t>
  </si>
  <si>
    <t>n+2</t>
  </si>
  <si>
    <t>Variation BFR</t>
  </si>
  <si>
    <t>n</t>
  </si>
  <si>
    <t>Variation des effets remis à l'escompte et non échus</t>
  </si>
  <si>
    <t>Calcul de la variation de BFR</t>
  </si>
  <si>
    <t>Société Masque</t>
  </si>
  <si>
    <t>CHIFFRES D'AFFAIRES</t>
  </si>
  <si>
    <t>PRODUCTION (100%)</t>
  </si>
  <si>
    <t>achats consommés</t>
  </si>
  <si>
    <t>autres consommations et charges externes (hors crédit-bail et sous-traitance)</t>
  </si>
  <si>
    <t>frais de personnel (y.c. sous-traitance et participation)</t>
  </si>
  <si>
    <t>impôts et taxes</t>
  </si>
  <si>
    <t>CAC 40</t>
  </si>
  <si>
    <t>Ecart type rent CAC 40</t>
  </si>
  <si>
    <t>cyclique</t>
  </si>
  <si>
    <t>Actif économique fin d'année</t>
  </si>
  <si>
    <t>Re sur AE moyen</t>
  </si>
  <si>
    <t>β TI</t>
  </si>
  <si>
    <t>kcp TI</t>
  </si>
  <si>
    <t>k TI</t>
  </si>
  <si>
    <t>kd TI</t>
  </si>
  <si>
    <t>Vcp/V TI</t>
  </si>
  <si>
    <t>Vd/V TI</t>
  </si>
  <si>
    <t>Vd/Vcp TI</t>
  </si>
  <si>
    <t xml:space="preserve">Exercice </t>
  </si>
  <si>
    <t>Participation</t>
  </si>
  <si>
    <t>Sans droits de vote double</t>
  </si>
  <si>
    <t>Avec droits de vote doubles</t>
  </si>
  <si>
    <t>Représentation en AG</t>
  </si>
  <si>
    <t>% en AG</t>
  </si>
  <si>
    <t>du capital</t>
  </si>
  <si>
    <t>DPA</t>
  </si>
  <si>
    <t>pour VAE =</t>
  </si>
  <si>
    <t>n+3</t>
  </si>
  <si>
    <t>n+4</t>
  </si>
  <si>
    <t>n+5</t>
  </si>
  <si>
    <t>Total 3 ans</t>
  </si>
  <si>
    <t>Total année 1</t>
  </si>
  <si>
    <t>Total année 2</t>
  </si>
  <si>
    <t>Total année 3</t>
  </si>
  <si>
    <t>Matieres premieres</t>
  </si>
  <si>
    <t>Chiffres clés</t>
  </si>
  <si>
    <t>Société Remy</t>
  </si>
  <si>
    <t>A noter que contrairement à ce qui est indiqué dans le corrigé les créances clients doivent être 120% en inlcuant la TVA et non 119,6%</t>
  </si>
  <si>
    <t>Exercice 1 : Carlsberg et L'Oréal</t>
  </si>
  <si>
    <t>Flux net</t>
  </si>
  <si>
    <t>Objectif d'écart type 14%</t>
  </si>
  <si>
    <t>Objectif d'écart type 23%</t>
  </si>
  <si>
    <t>chute du cours à 4,5 €</t>
  </si>
  <si>
    <t>Division vente d'équipement</t>
  </si>
  <si>
    <t>gain de frais financiers à 4%</t>
  </si>
  <si>
    <t>EXERCICE  6</t>
  </si>
  <si>
    <t>EXERCICE  7</t>
  </si>
  <si>
    <t xml:space="preserve">Coût du capital </t>
  </si>
  <si>
    <t>BFR/ Actif économique</t>
  </si>
  <si>
    <t>Baisse du résultat d'exploitation</t>
  </si>
  <si>
    <t>Coût de l'opération</t>
  </si>
  <si>
    <t>A noter dans le corrigé papier un 50% "en trop" dans la formule</t>
  </si>
  <si>
    <t>Apport</t>
  </si>
  <si>
    <t>% du capital obtenu</t>
  </si>
  <si>
    <t>Valeur post money</t>
  </si>
  <si>
    <t>Valeur pre-money</t>
  </si>
  <si>
    <t>Financement</t>
  </si>
  <si>
    <t>Apport de l'Entrepreneur</t>
  </si>
  <si>
    <t>% du capital busines angels</t>
  </si>
  <si>
    <t>Valeur 2 mois plus tard</t>
  </si>
  <si>
    <t>Gain (perte) entrepreneur</t>
  </si>
  <si>
    <t>Gain (perte) business angels</t>
  </si>
  <si>
    <t>Cas 1</t>
  </si>
  <si>
    <t>Cas 2</t>
  </si>
  <si>
    <t>Goodwill</t>
  </si>
  <si>
    <t>Prix par action investisseurs</t>
  </si>
  <si>
    <t>Nombre d'actions fondateurs</t>
  </si>
  <si>
    <t>Nombre d'actions investisseurs</t>
  </si>
  <si>
    <t>Prix par action fondateurs</t>
  </si>
  <si>
    <t>Investissement Fonds</t>
  </si>
  <si>
    <t>% obtenu</t>
  </si>
  <si>
    <t>% fondateurs</t>
  </si>
  <si>
    <t>% investisseurs</t>
  </si>
  <si>
    <t>% Fonds</t>
  </si>
  <si>
    <t>Sans full ratchet</t>
  </si>
  <si>
    <t>Avec full ratchet</t>
  </si>
  <si>
    <t>Valeur implicite pour 100%</t>
  </si>
  <si>
    <t>Options</t>
  </si>
  <si>
    <t>25%-30%</t>
  </si>
  <si>
    <t>30%-35%</t>
  </si>
  <si>
    <t>&gt;35%</t>
  </si>
  <si>
    <t>Prix à 5 ans</t>
  </si>
  <si>
    <t>TRI avant option</t>
  </si>
  <si>
    <t>TRI après option</t>
  </si>
  <si>
    <t>Taux de réinvestissement</t>
  </si>
  <si>
    <t>TRAM (TRIG)</t>
  </si>
  <si>
    <t>Flux capitalisés au taux de réinvestissement</t>
  </si>
  <si>
    <t>Nouvelle séquence de flux</t>
  </si>
  <si>
    <t>= CAPITAUX INVESTIS DANS L'EXPLOITATION (CP+D)</t>
  </si>
  <si>
    <t>S</t>
  </si>
  <si>
    <t>Bilan M+S</t>
  </si>
  <si>
    <t>Voir corrigé dans l'ouvrage</t>
  </si>
  <si>
    <t>P1</t>
  </si>
  <si>
    <t>P2</t>
  </si>
  <si>
    <t>P3</t>
  </si>
  <si>
    <t>P4</t>
  </si>
  <si>
    <t>P5</t>
  </si>
  <si>
    <t>kcp Orange</t>
  </si>
  <si>
    <t>kd Orange</t>
  </si>
  <si>
    <t>Vd/Vcp Orange</t>
  </si>
  <si>
    <t>Vcp/V Orange</t>
  </si>
  <si>
    <t>Vd/V Orange</t>
  </si>
  <si>
    <t>k Orange</t>
  </si>
  <si>
    <t>Corrigé dans l'ouvrage</t>
  </si>
  <si>
    <t xml:space="preserve">très forte </t>
  </si>
  <si>
    <t>Exercice Lefuribard</t>
  </si>
  <si>
    <t>COMPTE DE RESULTAT</t>
  </si>
  <si>
    <t>N</t>
  </si>
  <si>
    <t>N+1</t>
  </si>
  <si>
    <t>N+2</t>
  </si>
  <si>
    <t>N+3</t>
  </si>
  <si>
    <t>N+4</t>
  </si>
  <si>
    <t>N+5</t>
  </si>
  <si>
    <t>N+6</t>
  </si>
  <si>
    <t>N+7</t>
  </si>
  <si>
    <t>N+8</t>
  </si>
  <si>
    <t>N+9</t>
  </si>
  <si>
    <t>N+10</t>
  </si>
  <si>
    <t>N+11</t>
  </si>
  <si>
    <t>N+12</t>
  </si>
  <si>
    <t>N+13</t>
  </si>
  <si>
    <t>N+14</t>
  </si>
  <si>
    <t>N+15</t>
  </si>
  <si>
    <t>N+16</t>
  </si>
  <si>
    <t>N+17</t>
  </si>
  <si>
    <t>N+18</t>
  </si>
  <si>
    <t>N+19</t>
  </si>
  <si>
    <t>N+20</t>
  </si>
  <si>
    <t>Autres charges d'exploitation (hors loyers et dotation aux amortissements)</t>
  </si>
  <si>
    <t>Loyers</t>
  </si>
  <si>
    <t>IS (35%)</t>
  </si>
  <si>
    <t>Résultat Net</t>
  </si>
  <si>
    <t>BILAN</t>
  </si>
  <si>
    <t>Immobilisations</t>
  </si>
  <si>
    <t>Dette financière nette</t>
  </si>
  <si>
    <t>Capitaux investis</t>
  </si>
  <si>
    <t>TABLEAU DE FLUX</t>
  </si>
  <si>
    <t>Variation de BFR</t>
  </si>
  <si>
    <t>Flux de trésorerie d'exploitation (*)</t>
  </si>
  <si>
    <t>Investissements</t>
  </si>
  <si>
    <t>Augmentation (Diminution) de l'endettement net</t>
  </si>
  <si>
    <t>Hypothèse dette</t>
  </si>
  <si>
    <t>kd avant impôt</t>
  </si>
  <si>
    <t>(*) Après frais financiers.</t>
  </si>
  <si>
    <t>Flux post financement</t>
  </si>
  <si>
    <t>EN LOCATION</t>
  </si>
  <si>
    <t>EN PROPRIETE</t>
  </si>
  <si>
    <t>LVMH</t>
  </si>
  <si>
    <t>Exercice 1: LVMH</t>
  </si>
  <si>
    <t>Rentabilité LVMH</t>
  </si>
  <si>
    <t>Risque total de LVMH</t>
  </si>
  <si>
    <t>Risque de marché de LVMH</t>
  </si>
  <si>
    <t>Risque  spécifique de LVMH</t>
  </si>
  <si>
    <t>Rentabilité C</t>
  </si>
  <si>
    <t>ρ H,C</t>
  </si>
  <si>
    <t>XC</t>
  </si>
  <si>
    <t>σ H,C</t>
  </si>
  <si>
    <t>E(r H,C)</t>
  </si>
  <si>
    <t>XC (Z)</t>
  </si>
  <si>
    <t>Exercice 2 : ArcelorMittal</t>
  </si>
  <si>
    <t>en M$</t>
  </si>
  <si>
    <t>β Orange</t>
  </si>
  <si>
    <t>Produits (charges) non récurrentes</t>
  </si>
  <si>
    <t>Exercice 3: Société Marié-Sall</t>
  </si>
  <si>
    <t>Voir corrigé dans le livre</t>
  </si>
  <si>
    <t>Exercice 15 - Le Furibard</t>
  </si>
  <si>
    <t>Exercice 16</t>
  </si>
  <si>
    <t>Exercice 17</t>
  </si>
  <si>
    <t>Exercice 18</t>
  </si>
  <si>
    <t>Exercice 19</t>
  </si>
  <si>
    <t>Exercice 20</t>
  </si>
  <si>
    <t>Exercice 21</t>
  </si>
  <si>
    <t>Exercice 22</t>
  </si>
  <si>
    <t>Exercice 23</t>
  </si>
  <si>
    <t>Exercice 24</t>
  </si>
  <si>
    <t>Exercice 25</t>
  </si>
  <si>
    <t>Les écarts avec le corrigé du livre s'expliquent par les arrondis</t>
  </si>
  <si>
    <t>Rémy Cointreau</t>
  </si>
  <si>
    <t>Nokia</t>
  </si>
  <si>
    <t>nulle</t>
  </si>
  <si>
    <t>hausse cours à 13,5 €</t>
  </si>
  <si>
    <t>= Résultat d'exploitation</t>
  </si>
  <si>
    <t>- Coût de l'endettement net</t>
  </si>
  <si>
    <t>+ Autres éléments financiers</t>
  </si>
  <si>
    <t>= Résultat avant impôt</t>
  </si>
  <si>
    <t xml:space="preserve">- Impôt sur les bénéfices </t>
  </si>
  <si>
    <t>= Capacité d’autofinancement</t>
  </si>
  <si>
    <t>= Flux d’exploitation (1)</t>
  </si>
  <si>
    <t>= Flux d'investissement (2)</t>
  </si>
  <si>
    <t>- Dividendes</t>
  </si>
  <si>
    <t>= Réduction (augmentation) de l’endettement net</t>
  </si>
  <si>
    <t>+ Immobilisations corporelles</t>
  </si>
  <si>
    <t>+ Immobilisations financières</t>
  </si>
  <si>
    <t>= Actifs immobilisés (1)</t>
  </si>
  <si>
    <t>+ Autres actifs d'exploitation</t>
  </si>
  <si>
    <t>- Autres dettes d'exploitation</t>
  </si>
  <si>
    <t>= Besoin en fonds de roulement (2)</t>
  </si>
  <si>
    <t>+ Intérêts minoritaires</t>
  </si>
  <si>
    <t>- Trésorerie et équivalents de trésorerie</t>
  </si>
  <si>
    <t>Projet A</t>
  </si>
  <si>
    <t>Projet B</t>
  </si>
  <si>
    <t>Van @ 5%</t>
  </si>
  <si>
    <t>Van @ 10%</t>
  </si>
  <si>
    <t>Projet B (avec réinvestissement du coupon)</t>
  </si>
  <si>
    <t>Flux en période 2 en fonction du taux de réinvestissement</t>
  </si>
  <si>
    <t>élevé</t>
  </si>
  <si>
    <t>BPA estimé</t>
  </si>
  <si>
    <t>Md CHF</t>
  </si>
  <si>
    <t>Côte d'Ivoire</t>
  </si>
  <si>
    <t>US</t>
  </si>
  <si>
    <t>D=0</t>
  </si>
  <si>
    <t>D=500 à 7%</t>
  </si>
  <si>
    <t>Résultat avant impôt sur les sociétés</t>
  </si>
  <si>
    <t>Dividende</t>
  </si>
  <si>
    <t>Impôt sur le revenu sur les dividendes</t>
  </si>
  <si>
    <t>Impôt sur le revenu sur les intérêts</t>
  </si>
  <si>
    <t>Revenu net pour l'actionnaire</t>
  </si>
  <si>
    <t>Taux de rentabilité pour l'actionnaire</t>
  </si>
  <si>
    <t>Revenu net pour le créancier</t>
  </si>
  <si>
    <t>Taux de rentabilité net pour le créancier</t>
  </si>
  <si>
    <t>Revenu net pour les investisseurs</t>
  </si>
  <si>
    <t>Impôt sur le revenu sur les dividendes à 42,5%</t>
  </si>
  <si>
    <t>Impôt sur le revenu sur les intérêts à 60,5%</t>
  </si>
  <si>
    <t>Etats-Unis</t>
  </si>
  <si>
    <t>Ecarts d'acquisition</t>
  </si>
  <si>
    <t>Titres mis en équivalence</t>
  </si>
  <si>
    <t>Impôts différés actifs</t>
  </si>
  <si>
    <t>Total de l'actif non courant</t>
  </si>
  <si>
    <t>Capitaux propres du groupe</t>
  </si>
  <si>
    <t>Capitaux propres de l'ensemble consolidé</t>
  </si>
  <si>
    <t>Créances d'impôts courants</t>
  </si>
  <si>
    <t>Dettes financières long terme - part long terme</t>
  </si>
  <si>
    <t>Autres créances</t>
  </si>
  <si>
    <t>Provisions pour retraites et avantages au personnel</t>
  </si>
  <si>
    <t>Actifs détenus en vue de la vente</t>
  </si>
  <si>
    <t>Disponibilités et équivalents trésorerie</t>
  </si>
  <si>
    <t>Autres provisions et passifs non courants</t>
  </si>
  <si>
    <t>Total de l'actif courant</t>
  </si>
  <si>
    <t>Total des dettes non courantes</t>
  </si>
  <si>
    <t xml:space="preserve">Dettes financières long terme - part court terme </t>
  </si>
  <si>
    <t>Autres provisions et passifs courants</t>
  </si>
  <si>
    <t>Dettes d'impôts courants</t>
  </si>
  <si>
    <t>Autres dettes</t>
  </si>
  <si>
    <t>Passifs détenus en vue de la vente</t>
  </si>
  <si>
    <t>Emprunts à moins d'un an et banques créditrices</t>
  </si>
  <si>
    <t>Total des dettes courantes</t>
  </si>
  <si>
    <t>Total du passif</t>
  </si>
  <si>
    <t>Bilan économique de Saint-Gobain (en Md€)</t>
  </si>
  <si>
    <t>Ports USB</t>
  </si>
  <si>
    <t>1.      Le producteur paie à tous ses fournisseurs 900 le jour 1 et reçoit de son client distributeur 980 le jour 60. Le distributeur paie le jour 60 son fournisseur (le producteur) 980 et 100 à d’autres fournisseurs et touche le jour 90 1100 de ses clients. Pendant 60 jours le producteur a un déficit de trésorerie de 900, c’est son BFR, et il réalise une marge de 80. Pendant 30 jours le distributeur a un déficit de trésorerie de 1 080, c’est son BFR, et il réalise une marge de 1 100 – 980 – 100 = 20.</t>
  </si>
  <si>
    <t>    Reprenons l’exemple précédent. C’est maintenant le distributeur qui achète le producteur. Il portait 1 080 pendant 30 jours. Maintenant il doit porter 900 pendant 90 jours et 100 pendant 30 jours, soit 933 en moyenne sur 90 jours. Son BFR a donc augmenté.</t>
  </si>
  <si>
    <r>
      <t xml:space="preserve">c) </t>
    </r>
    <r>
      <rPr>
        <i/>
        <u/>
        <sz val="10"/>
        <rFont val="Calibri"/>
        <family val="2"/>
        <scheme val="minor"/>
      </rPr>
      <t>Bilan de l'opération</t>
    </r>
  </si>
  <si>
    <r>
      <t>k</t>
    </r>
    <r>
      <rPr>
        <vertAlign val="subscript"/>
        <sz val="10"/>
        <rFont val="Calibri"/>
        <family val="2"/>
        <scheme val="minor"/>
      </rPr>
      <t>CP</t>
    </r>
  </si>
  <si>
    <r>
      <t>V</t>
    </r>
    <r>
      <rPr>
        <vertAlign val="subscript"/>
        <sz val="10"/>
        <rFont val="Calibri"/>
        <family val="2"/>
        <scheme val="minor"/>
      </rPr>
      <t>CP</t>
    </r>
  </si>
  <si>
    <r>
      <t>V</t>
    </r>
    <r>
      <rPr>
        <vertAlign val="subscript"/>
        <sz val="10"/>
        <rFont val="Calibri"/>
        <family val="2"/>
        <scheme val="minor"/>
      </rPr>
      <t>D</t>
    </r>
  </si>
  <si>
    <r>
      <t>V</t>
    </r>
    <r>
      <rPr>
        <vertAlign val="subscript"/>
        <sz val="10"/>
        <rFont val="Calibri"/>
        <family val="2"/>
        <scheme val="minor"/>
      </rPr>
      <t>D</t>
    </r>
    <r>
      <rPr>
        <sz val="10"/>
        <rFont val="Calibri"/>
        <family val="2"/>
        <scheme val="minor"/>
      </rPr>
      <t>/(V</t>
    </r>
    <r>
      <rPr>
        <vertAlign val="subscript"/>
        <sz val="10"/>
        <rFont val="Calibri"/>
        <family val="2"/>
        <scheme val="minor"/>
      </rPr>
      <t>CP</t>
    </r>
    <r>
      <rPr>
        <sz val="10"/>
        <rFont val="Calibri"/>
        <family val="2"/>
        <scheme val="minor"/>
      </rPr>
      <t>+V</t>
    </r>
    <r>
      <rPr>
        <vertAlign val="subscript"/>
        <sz val="10"/>
        <rFont val="Calibri"/>
        <family val="2"/>
        <scheme val="minor"/>
      </rPr>
      <t>D</t>
    </r>
    <r>
      <rPr>
        <sz val="10"/>
        <rFont val="Calibri"/>
        <family val="2"/>
        <scheme val="minor"/>
      </rPr>
      <t>)</t>
    </r>
  </si>
  <si>
    <r>
      <t>k</t>
    </r>
    <r>
      <rPr>
        <vertAlign val="subscript"/>
        <sz val="8"/>
        <rFont val="Calibri"/>
        <family val="2"/>
        <scheme val="minor"/>
      </rPr>
      <t>D</t>
    </r>
  </si>
  <si>
    <r>
      <t>r</t>
    </r>
    <r>
      <rPr>
        <vertAlign val="subscript"/>
        <sz val="10"/>
        <rFont val="Calibri"/>
        <family val="2"/>
        <scheme val="minor"/>
      </rPr>
      <t>F</t>
    </r>
  </si>
  <si>
    <r>
      <t>(r</t>
    </r>
    <r>
      <rPr>
        <vertAlign val="subscript"/>
        <sz val="10"/>
        <rFont val="Calibri"/>
        <family val="2"/>
        <scheme val="minor"/>
      </rPr>
      <t>F</t>
    </r>
    <r>
      <rPr>
        <sz val="10"/>
        <rFont val="Calibri"/>
        <family val="2"/>
        <scheme val="minor"/>
      </rPr>
      <t>+σ²/2)*T</t>
    </r>
  </si>
  <si>
    <r>
      <t>r</t>
    </r>
    <r>
      <rPr>
        <vertAlign val="subscript"/>
        <sz val="10"/>
        <rFont val="Calibri"/>
        <family val="2"/>
        <scheme val="minor"/>
      </rPr>
      <t>CP</t>
    </r>
  </si>
  <si>
    <t xml:space="preserve">=BESOIN EN FONDS DE ROULEMENT D'EXPLOITATION (BFR) (1+2) = </t>
  </si>
  <si>
    <t>Air Liquide alterne depuis 1993 des phases d'investissements très nettement supérieurs à celles des années précédentes (souvent un doublement), comme en 1996-1999 ou en 2006-2008 et en 2012-2013, suivies de phases d'investissements nettement plus modérées. Les phases de fort investissement suivent en générale les périodes où les flux de trésorerie générés par l'exploitation étaient devenus stagnants (1993-1995, 2000-2005, 2009-2011 et 2013-2015). Les phases de gros efforts d'investissements sont suivies de périodes de croissance accélérée des flux de trésorerie d'exploitation (2000-2002, 2008-2009, 2016-2018) qui témoignent de la bonne rentabilité de ces investissements. La forte hausse des flux de trésorerie d'exploitation en 2017, malgré une baisse des investissements corporels, est due à l'acquisition d'Airgas, qui a donné des capacité de production supplémentaires à Air Liquide sans investissements corporels nouveaux.</t>
  </si>
  <si>
    <t>. Pour consolider F, H utilise l'intégration globale car H contrôle F (H détient 56% de F).
. Pour consolider H, V utilise l'intégration proportionnelle car V partage le contrôe de H avec K (50% / 50%).
. Si le résultat net de F est de 100, H en constatera 100 dans ses comptes dont 44 en minoritaires et V en constatera 50 dans ses comptes dont 50% x 56% = 28 en part du groupe et 50% x 44 = 22 en minoritaires.
Mais avec les nouvelles normes IFRS, suivant la gouvernance dans la société H, V pourrait à l'avenir être contraint de consolidé H par mise en équivalence.</t>
  </si>
  <si>
    <t>AB Inbev</t>
  </si>
  <si>
    <t>Axa</t>
  </si>
  <si>
    <t>r calculé</t>
  </si>
  <si>
    <t>Il s'agit d'une option d'achat à prix d'exercice nul couplé à une option de vente à prix d'exercice nul dont la valeur dépend de l'affluence au concert.</t>
  </si>
  <si>
    <t>Le coût de l’électricité varie dans l’année et il peut ne pas être économiquement viable de faire fonctionner la centrale à tout moment. Le management d’Enron se fondait sur des données historiques montrant que ponctuellement le prix de l’électricité pouvait grimper de 40 $ à 7 000 $ certains jours de très forte consommation. La centrale pouvait alors être rentable en ne fonctionnant que quelques jours par an. Les limites de ce raisonnement sont la capacité de n’opérer que quelques jours par an (nécessité d’avoir la centrale parfaitement disponible, difficulté de gestion des ressources humaines, capacité de mettre en oeuvre la production suffisamment rapidement…), la très forte dépendance à la volatilité de la consommation d’électricité (et donc un très fort risque pris : si deux années de suite l’hiver est très doux !), la capacité à maintenir réduits les coûts de maintenance lorsque la centrale ne fonctionne pas…
Rien d’évident !</t>
  </si>
  <si>
    <t>= Marge brute</t>
  </si>
  <si>
    <t>Exercice 26</t>
  </si>
  <si>
    <t>K</t>
  </si>
  <si>
    <t>1/ Fever Tech.</t>
  </si>
  <si>
    <t>2/ Société Boislevé - compte de résultat (présentation par nature)</t>
  </si>
  <si>
    <t>3/ Tour du monde magazine</t>
  </si>
  <si>
    <t>1/ Société Boislevé - bilan économique</t>
  </si>
  <si>
    <t xml:space="preserve">2/ Saint Gobain </t>
  </si>
  <si>
    <t>Charges fixes</t>
  </si>
  <si>
    <t>Charges variables</t>
  </si>
  <si>
    <t>n-1</t>
  </si>
  <si>
    <t>Stock de produits finis</t>
  </si>
  <si>
    <t>Point mort / chiffre d'affaires</t>
  </si>
  <si>
    <t>Point mort / production</t>
  </si>
  <si>
    <t>2010-2020</t>
  </si>
  <si>
    <t>Taux SYC 3 mois</t>
  </si>
  <si>
    <t>Taux BOK 3 mois</t>
  </si>
  <si>
    <t>BOK</t>
  </si>
  <si>
    <t>1 SYK</t>
  </si>
  <si>
    <t>1 BOK</t>
  </si>
  <si>
    <t>SYK</t>
  </si>
  <si>
    <t>la banque vends dans 3 mois 1 BOK pour ? SYK</t>
  </si>
  <si>
    <t>Je place mes SYK</t>
  </si>
  <si>
    <t>J'emprunte mes SYK</t>
  </si>
  <si>
    <t>Ct (1 SYK)</t>
  </si>
  <si>
    <t>Ct (1 BOK)</t>
  </si>
  <si>
    <t>la banque achète dans 3 mois 1 BOK pour ? SYK</t>
  </si>
  <si>
    <t>J'emprunte BOK</t>
  </si>
  <si>
    <t>Je place mes BOK</t>
  </si>
  <si>
    <t>La banque m'achète mes BOK</t>
  </si>
  <si>
    <t>La banque me vends des BOK</t>
  </si>
  <si>
    <t>Cs (1 BOK)</t>
  </si>
  <si>
    <t>Taux SYK 6 mois</t>
  </si>
  <si>
    <t>1 SYK Spot</t>
  </si>
  <si>
    <t>1 SYK à 6 mois</t>
  </si>
  <si>
    <t>j'emprunte des SYK</t>
  </si>
  <si>
    <t>J'emprunte à quel taux BOK à 6 mois?</t>
  </si>
  <si>
    <t>Je place à quel taux BOK à 6 mois?</t>
  </si>
  <si>
    <t>je vends des BOK</t>
  </si>
  <si>
    <t>je place des SYK</t>
  </si>
  <si>
    <t>j'achète des BOK</t>
  </si>
  <si>
    <t>je vends des BOK dans 6 mois</t>
  </si>
  <si>
    <t>j'achète des BOK dans 6 mois</t>
  </si>
  <si>
    <t>Taux BOK 6 mois</t>
  </si>
  <si>
    <t>500 MBOK dans 3 mois et pour 3 mois</t>
  </si>
  <si>
    <t>BESOIN EN FONDS DE ROULEMENT</t>
  </si>
  <si>
    <t xml:space="preserve">B </t>
  </si>
  <si>
    <t xml:space="preserve">Exercice 4: </t>
  </si>
  <si>
    <t>Cours en €</t>
  </si>
  <si>
    <t>Nombre d'actions en M</t>
  </si>
  <si>
    <t>Capitalisation boursière M€</t>
  </si>
  <si>
    <t>Price to book ratio (PBR)</t>
  </si>
  <si>
    <t xml:space="preserve">C </t>
  </si>
  <si>
    <t>fort</t>
  </si>
  <si>
    <t>faible mais en haut de cycle</t>
  </si>
  <si>
    <t>Bénéfice net (M)</t>
  </si>
  <si>
    <t>Capitaux propres comptables (M)</t>
  </si>
  <si>
    <t>Nombre d'actions (M)</t>
  </si>
  <si>
    <t>Frais publi-promotionnels</t>
  </si>
  <si>
    <t>Actif circulants</t>
  </si>
  <si>
    <t>Total actifs</t>
  </si>
  <si>
    <t>Autres passifs non courants</t>
  </si>
  <si>
    <t>Total passifs</t>
  </si>
  <si>
    <t>Capitaux propres (et impots differes passifs)</t>
  </si>
  <si>
    <t>Sociétés mises en équivalence et participations (y.c. à céder)</t>
  </si>
  <si>
    <t>[4 ou 5 ans… l'énnoncé dit plutôt 5 soit 19.4$ et non 17.3]</t>
  </si>
  <si>
    <t>Impérial Brands</t>
  </si>
  <si>
    <t>Exercice 2 : Parrot</t>
  </si>
  <si>
    <t>Exercice 3 : Parrot</t>
  </si>
  <si>
    <t>Exercice 5 : ARM</t>
  </si>
  <si>
    <t xml:space="preserve">ASML </t>
  </si>
  <si>
    <t>USD</t>
  </si>
  <si>
    <t xml:space="preserve">Infineon Technologies </t>
  </si>
  <si>
    <t>Multiple</t>
  </si>
  <si>
    <t>a</t>
  </si>
  <si>
    <t>b</t>
  </si>
  <si>
    <t>Exercice 2 : augmentation de capital de Neoen</t>
  </si>
  <si>
    <t>Valeur du DPS</t>
  </si>
  <si>
    <t>Exercice 2 : société Filao</t>
  </si>
  <si>
    <t>Exercice 3 : société Evezard</t>
  </si>
  <si>
    <t>Exercice 7 : UWS</t>
  </si>
  <si>
    <t>Exercices 1, 3, 4 et 5</t>
  </si>
  <si>
    <t xml:space="preserve">Quote part de résultat net des sociétés mises en équivalence </t>
  </si>
  <si>
    <t>Dividendes reçus de participations</t>
  </si>
  <si>
    <t>Nvidia</t>
  </si>
  <si>
    <t>Qualcomm</t>
  </si>
  <si>
    <t>Exercice 2 : Tapioca</t>
  </si>
  <si>
    <t>Exercice 1 : Alcazar</t>
  </si>
  <si>
    <t>Nvidia ($)</t>
  </si>
  <si>
    <t>IS sur le résultat d'exploitation</t>
  </si>
  <si>
    <t>Résultat net courant</t>
  </si>
  <si>
    <t>Capitaux propres totaux minoritaires inclus</t>
  </si>
  <si>
    <t>2026e</t>
  </si>
  <si>
    <t>elevée</t>
  </si>
  <si>
    <t>Valeur d'actif économique</t>
  </si>
  <si>
    <t>en Md€</t>
  </si>
  <si>
    <t>Endettement net (net de la participation dans Sanofi pour L'Oréal)</t>
  </si>
  <si>
    <t>Durée en 2026</t>
  </si>
  <si>
    <t>Simulation crise (sur la base du CA 2025)</t>
  </si>
  <si>
    <t>Hypothèse : simulation bâtie sur un chiffre d'affaires 2026 égal à celui de 2025</t>
  </si>
  <si>
    <t>Compte de résultat 2025</t>
  </si>
  <si>
    <t>Bilans simplifiés 2025</t>
  </si>
  <si>
    <t>Compte de résultat en millions d'euros</t>
  </si>
  <si>
    <t>2021-2022</t>
  </si>
  <si>
    <t>2022-2023</t>
  </si>
  <si>
    <t>2023-2024</t>
  </si>
  <si>
    <t>2024-2025</t>
  </si>
  <si>
    <t>Ventes en M de bouteilles</t>
  </si>
  <si>
    <t>Prix de vente moyen de la bouteille HT départ Laurent-Perrier</t>
  </si>
  <si>
    <t>- Coût des ventes</t>
  </si>
  <si>
    <t>- Frais commerciaux</t>
  </si>
  <si>
    <t>- Frais administratif</t>
  </si>
  <si>
    <t>- Charges de restructuration courantes</t>
  </si>
  <si>
    <t>+/- Autres produits/charges</t>
  </si>
  <si>
    <t xml:space="preserve">= Résultat net </t>
  </si>
  <si>
    <t>= Résultat net du groupe</t>
  </si>
  <si>
    <t>Tableau des flux de trésorerie en millions d'euros</t>
  </si>
  <si>
    <t xml:space="preserve">Résultat net </t>
  </si>
  <si>
    <t>+ Dotation aux amortissements et depréciations</t>
  </si>
  <si>
    <t>+/- Charges/produits sans incidence sur la trésorerie</t>
  </si>
  <si>
    <t xml:space="preserve"> Investissements industriels </t>
  </si>
  <si>
    <t>- Produits nets des cessions</t>
  </si>
  <si>
    <t>+ Acquisition de nouvelles filiales nettes de cessions</t>
  </si>
  <si>
    <t>+ Autres</t>
  </si>
  <si>
    <t>Flux de trésorerie disponible après charges financières (1) - (2)</t>
  </si>
  <si>
    <t xml:space="preserve"> Augmentation de capital</t>
  </si>
  <si>
    <t>- Rachats d'actions</t>
  </si>
  <si>
    <t>Endettement net en début de période</t>
  </si>
  <si>
    <t>Endettement net en fin de période</t>
  </si>
  <si>
    <t>Vérification</t>
  </si>
  <si>
    <t>Bilan en millions d'euros, au 31 mars</t>
  </si>
  <si>
    <t>Immobilisations incorporelles (logiciels essentiellement)</t>
  </si>
  <si>
    <t>+ Goodwill</t>
  </si>
  <si>
    <t>Dont vignes</t>
  </si>
  <si>
    <t>Dont matières premières et produits en cours (jus de raisin en vinification)</t>
  </si>
  <si>
    <t>Dont produits intermédiaires et finis (bouteilles en vieillissement)</t>
  </si>
  <si>
    <t>Actif économique = (1) + (2)</t>
  </si>
  <si>
    <t>- Impôts différés actifs</t>
  </si>
  <si>
    <t>+ Impôts différés passifs</t>
  </si>
  <si>
    <t>= Capitaux propres (3)</t>
  </si>
  <si>
    <t>Dettes financières à long terme</t>
  </si>
  <si>
    <t>+ Dettes financières à court terme</t>
  </si>
  <si>
    <t>= Endettement bancaire et financier net (4)</t>
  </si>
  <si>
    <t>Capitaux investis = (3) + (4)</t>
  </si>
  <si>
    <t>Divers élements du secteur du champagne</t>
  </si>
  <si>
    <t>Nombre de bouteilles de champagne vendues</t>
  </si>
  <si>
    <t>298 M</t>
  </si>
  <si>
    <t>244 M</t>
  </si>
  <si>
    <t>320 M</t>
  </si>
  <si>
    <t>326 M</t>
  </si>
  <si>
    <t>299 M</t>
  </si>
  <si>
    <t>272 M</t>
  </si>
  <si>
    <t>Prix de vente moyen d'une bouteille de champagne</t>
  </si>
  <si>
    <t xml:space="preserve">Prix de vente moyen d'un kilo de raisin de Champagne </t>
  </si>
  <si>
    <t>Taux d'inflation en France</t>
  </si>
  <si>
    <t>Au 21 février 2027</t>
  </si>
  <si>
    <t>Taux de distribution 2026e</t>
  </si>
  <si>
    <t>Taux de rendement 2026</t>
  </si>
  <si>
    <t>Taux de croissance du BPA 2025-2027</t>
  </si>
  <si>
    <t>PER 2026</t>
  </si>
  <si>
    <t>Bêta</t>
  </si>
  <si>
    <t>2027e</t>
  </si>
  <si>
    <t>Air France KLM (€)</t>
  </si>
  <si>
    <t>M6 (€)</t>
  </si>
  <si>
    <t>Europe</t>
  </si>
  <si>
    <t>BPA 2026</t>
  </si>
  <si>
    <t>Dividende 2025</t>
  </si>
  <si>
    <t>Dividende 2026</t>
  </si>
  <si>
    <t>Taux de distribution 2026</t>
  </si>
  <si>
    <t>Capitaux propres comptables 2025</t>
  </si>
  <si>
    <t>Endettement net (31/12/2025)</t>
  </si>
  <si>
    <t>REX 2026e</t>
  </si>
  <si>
    <t>Résultat net 2026e</t>
  </si>
  <si>
    <t>REX 2025</t>
  </si>
  <si>
    <t>Multiple REX 2025 Agroalimentaire</t>
  </si>
  <si>
    <t>Chiffres en millions</t>
  </si>
  <si>
    <t>Chiffre d'affaires 2025</t>
  </si>
  <si>
    <t>EBE 2025</t>
  </si>
  <si>
    <t>Résultat d'exploitation 2025</t>
  </si>
  <si>
    <t>Résultat d'exploitation 2028e</t>
  </si>
  <si>
    <t>Résultat net 2028e</t>
  </si>
  <si>
    <t>ARM</t>
  </si>
  <si>
    <t>AMD</t>
  </si>
  <si>
    <t>Multiple  Rex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</si>
</sst>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164" formatCode="#,##0.00\ &quot;€&quot;;[Red]\-#,##0.00\ &quot;€&quot;"/>
    <numFmt numFmtId="165" formatCode="_(* #,##0.00_);_(* \(#,##0.00\);_(* &quot;-&quot;??_);_(@_)"/>
    <numFmt numFmtId="166" formatCode="_-* #,##0.00\ _F_-;\-* #,##0.00\ _F_-;_-* &quot;-&quot;??\ _F_-;_-@_-"/>
    <numFmt numFmtId="167" formatCode="0.0"/>
    <numFmt numFmtId="168" formatCode="#,##0.00\ _F"/>
    <numFmt numFmtId="169" formatCode="#,##0.0\ _F"/>
    <numFmt numFmtId="170" formatCode="#,##0\ _F"/>
    <numFmt numFmtId="171" formatCode="0.0%"/>
    <numFmt numFmtId="172" formatCode="0.000"/>
    <numFmt numFmtId="173" formatCode="0.0000"/>
    <numFmt numFmtId="174" formatCode="_-* #,##0\ _F_-;\-* #,##0\ _F_-;_-* &quot;-&quot;??\ _F_-;_-@_-"/>
    <numFmt numFmtId="175" formatCode="0.000%"/>
    <numFmt numFmtId="176" formatCode="0.0000%"/>
    <numFmt numFmtId="177" formatCode="0.00000%"/>
    <numFmt numFmtId="178" formatCode="#,##0\ _€"/>
    <numFmt numFmtId="179" formatCode="#,##0.0\ _€"/>
    <numFmt numFmtId="180" formatCode="#,##0.00\ _€"/>
    <numFmt numFmtId="181" formatCode="#,##0.0"/>
    <numFmt numFmtId="182" formatCode="#,##0_);\(#,##0\);&quot;-&quot;_);@_)"/>
    <numFmt numFmtId="183" formatCode="#,##0.0_);\(#,##0.0\);&quot;-&quot;_);@_)"/>
    <numFmt numFmtId="184" formatCode="#,##0.000"/>
    <numFmt numFmtId="185" formatCode="#,##0\ &quot;€&quot;"/>
    <numFmt numFmtId="186" formatCode="0.00000000000000000%"/>
    <numFmt numFmtId="187" formatCode="_-* #,##0.0000\ _€_-;\-* #,##0.0000\ _€_-;_-* &quot;-&quot;????\ _€_-;_-@_-"/>
    <numFmt numFmtId="188" formatCode="_-* #,##0.0\ _F_-;\-* #,##0.0\ _F_-;_-* &quot;-&quot;??\ _F_-;_-@_-"/>
    <numFmt numFmtId="189" formatCode="mmm"/>
    <numFmt numFmtId="190" formatCode="#,##0;\(#,##0\);&quot;-&quot;"/>
    <numFmt numFmtId="191" formatCode="#,##0_ ;[Red]\-#,##0\ "/>
    <numFmt numFmtId="192" formatCode="#,##0_);\ \(#,##0\);&quot;-&quot;_);@_)"/>
    <numFmt numFmtId="193" formatCode="#,##0.000\ _F"/>
    <numFmt numFmtId="194" formatCode="#,##0.0_);\ \(#,##0.0\);&quot;-&quot;_);@_)"/>
    <numFmt numFmtId="195" formatCode="_-* #,##0.00\ _€_-;\-* #,##0.00\ _€_-;_-* &quot;-&quot;??\ _€_-;_-@_-"/>
    <numFmt numFmtId="196" formatCode="0.0;\(0.0\);0.0;&quot;n.s.&quot;"/>
    <numFmt numFmtId="197" formatCode="0.000E+00"/>
    <numFmt numFmtId="198" formatCode="#,##0.0_);\(#,##0.0\)"/>
    <numFmt numFmtId="199" formatCode="0&quot; x&quot;"/>
    <numFmt numFmtId="200" formatCode="0.0&quot; x&quot;"/>
    <numFmt numFmtId="201" formatCode="#,##0.0\ &quot;€&quot;_);\(#,##0.0\ &quot;€&quot;\)"/>
    <numFmt numFmtId="202" formatCode="#,##0.00_);\ \(#,##0.00\);&quot;-&quot;_);@_)"/>
    <numFmt numFmtId="203" formatCode="#,##0.0\ &quot;€&quot;"/>
    <numFmt numFmtId="204" formatCode="#,##0.00\ &quot;€&quot;"/>
  </numFmts>
  <fonts count="58" x14ac:knownFonts="1">
    <font>
      <sz val="10"/>
      <name val="Verdana"/>
      <family val="2"/>
    </font>
    <font>
      <sz val="10"/>
      <name val="Arial"/>
      <family val="2"/>
    </font>
    <font>
      <b/>
      <sz val="10"/>
      <name val="Verdana"/>
      <family val="2"/>
    </font>
    <font>
      <b/>
      <sz val="11"/>
      <name val="Verdana"/>
      <family val="2"/>
    </font>
    <font>
      <sz val="8"/>
      <name val="Verdana"/>
      <family val="2"/>
    </font>
    <font>
      <sz val="10"/>
      <name val="Verdana"/>
      <family val="2"/>
    </font>
    <font>
      <i/>
      <u/>
      <sz val="10"/>
      <name val="Verdana"/>
      <family val="2"/>
    </font>
    <font>
      <i/>
      <sz val="10"/>
      <color indexed="53"/>
      <name val="Verdana"/>
      <family val="2"/>
    </font>
    <font>
      <sz val="8"/>
      <color indexed="81"/>
      <name val="Tahoma"/>
      <family val="2"/>
    </font>
    <font>
      <b/>
      <sz val="11"/>
      <color indexed="8"/>
      <name val="Calibri"/>
      <family val="2"/>
      <scheme val="minor"/>
    </font>
    <font>
      <sz val="11"/>
      <color indexed="8"/>
      <name val="Calibri"/>
      <family val="2"/>
      <scheme val="minor"/>
    </font>
    <font>
      <sz val="10"/>
      <name val="Calibri"/>
      <family val="2"/>
      <scheme val="minor"/>
    </font>
    <font>
      <b/>
      <sz val="10"/>
      <name val="Calibri"/>
      <family val="2"/>
      <scheme val="minor"/>
    </font>
    <font>
      <b/>
      <sz val="11"/>
      <name val="Calibri"/>
      <family val="2"/>
      <scheme val="minor"/>
    </font>
    <font>
      <sz val="8"/>
      <name val="Calibri"/>
      <family val="2"/>
      <scheme val="minor"/>
    </font>
    <font>
      <b/>
      <u/>
      <sz val="10"/>
      <name val="Calibri"/>
      <family val="2"/>
      <scheme val="minor"/>
    </font>
    <font>
      <sz val="10"/>
      <color indexed="12"/>
      <name val="Calibri"/>
      <family val="2"/>
      <scheme val="minor"/>
    </font>
    <font>
      <i/>
      <u/>
      <sz val="10"/>
      <name val="Calibri"/>
      <family val="2"/>
      <scheme val="minor"/>
    </font>
    <font>
      <i/>
      <sz val="10"/>
      <name val="Calibri"/>
      <family val="2"/>
      <scheme val="minor"/>
    </font>
    <font>
      <sz val="10"/>
      <color theme="0"/>
      <name val="Calibri"/>
      <family val="2"/>
      <scheme val="minor"/>
    </font>
    <font>
      <b/>
      <sz val="8"/>
      <name val="Calibri"/>
      <family val="2"/>
      <scheme val="minor"/>
    </font>
    <font>
      <sz val="9"/>
      <name val="Calibri"/>
      <family val="2"/>
      <scheme val="minor"/>
    </font>
    <font>
      <sz val="11"/>
      <name val="Calibri"/>
      <family val="2"/>
      <scheme val="minor"/>
    </font>
    <font>
      <b/>
      <sz val="10"/>
      <color indexed="8"/>
      <name val="Calibri"/>
      <family val="2"/>
      <scheme val="minor"/>
    </font>
    <font>
      <i/>
      <sz val="10"/>
      <color indexed="53"/>
      <name val="Calibri"/>
      <family val="2"/>
      <scheme val="minor"/>
    </font>
    <font>
      <u/>
      <sz val="10"/>
      <name val="Calibri"/>
      <family val="2"/>
      <scheme val="minor"/>
    </font>
    <font>
      <b/>
      <sz val="10"/>
      <color theme="1"/>
      <name val="Calibri"/>
      <family val="2"/>
      <scheme val="minor"/>
    </font>
    <font>
      <sz val="10"/>
      <color theme="1"/>
      <name val="Calibri"/>
      <family val="2"/>
      <scheme val="minor"/>
    </font>
    <font>
      <vertAlign val="subscript"/>
      <sz val="10"/>
      <name val="Calibri"/>
      <family val="2"/>
      <scheme val="minor"/>
    </font>
    <font>
      <vertAlign val="subscript"/>
      <sz val="8"/>
      <name val="Calibri"/>
      <family val="2"/>
      <scheme val="minor"/>
    </font>
    <font>
      <u/>
      <sz val="10"/>
      <color indexed="12"/>
      <name val="Calibri"/>
      <family val="2"/>
      <scheme val="minor"/>
    </font>
    <font>
      <sz val="10"/>
      <color indexed="28"/>
      <name val="Calibri"/>
      <family val="2"/>
      <scheme val="minor"/>
    </font>
    <font>
      <sz val="10"/>
      <color indexed="10"/>
      <name val="Calibri"/>
      <family val="2"/>
      <scheme val="minor"/>
    </font>
    <font>
      <b/>
      <sz val="10"/>
      <color indexed="12"/>
      <name val="Calibri"/>
      <family val="2"/>
      <scheme val="minor"/>
    </font>
    <font>
      <b/>
      <sz val="10"/>
      <color indexed="10"/>
      <name val="Calibri"/>
      <family val="2"/>
      <scheme val="minor"/>
    </font>
    <font>
      <sz val="10"/>
      <color indexed="8"/>
      <name val="Calibri"/>
      <family val="2"/>
      <scheme val="minor"/>
    </font>
    <font>
      <i/>
      <sz val="10"/>
      <color indexed="22"/>
      <name val="Calibri"/>
      <family val="2"/>
      <scheme val="minor"/>
    </font>
    <font>
      <b/>
      <sz val="14"/>
      <name val="Calibri"/>
      <family val="2"/>
      <scheme val="minor"/>
    </font>
    <font>
      <sz val="10"/>
      <color indexed="55"/>
      <name val="Calibri"/>
      <family val="2"/>
      <scheme val="minor"/>
    </font>
    <font>
      <b/>
      <sz val="10"/>
      <color indexed="55"/>
      <name val="Calibri"/>
      <family val="2"/>
      <scheme val="minor"/>
    </font>
    <font>
      <b/>
      <i/>
      <sz val="10"/>
      <name val="Calibri"/>
      <family val="2"/>
      <scheme val="minor"/>
    </font>
    <font>
      <sz val="8"/>
      <color indexed="55"/>
      <name val="Calibri"/>
      <family val="2"/>
      <scheme val="minor"/>
    </font>
    <font>
      <b/>
      <sz val="8"/>
      <color indexed="12"/>
      <name val="Calibri"/>
      <family val="2"/>
      <scheme val="minor"/>
    </font>
    <font>
      <b/>
      <sz val="7"/>
      <name val="Calibri"/>
      <family val="2"/>
      <scheme val="minor"/>
    </font>
    <font>
      <b/>
      <sz val="9"/>
      <name val="Calibri"/>
      <family val="2"/>
      <scheme val="minor"/>
    </font>
    <font>
      <b/>
      <i/>
      <u/>
      <sz val="10"/>
      <name val="Calibri"/>
      <family val="2"/>
      <scheme val="minor"/>
    </font>
    <font>
      <sz val="18"/>
      <color theme="1"/>
      <name val="Calibri"/>
      <family val="2"/>
      <scheme val="minor"/>
    </font>
    <font>
      <sz val="9"/>
      <name val="Times New Roman"/>
      <family val="1"/>
    </font>
    <font>
      <sz val="10"/>
      <color rgb="FF0070C0"/>
      <name val="Calibri"/>
      <family val="2"/>
      <scheme val="minor"/>
    </font>
    <font>
      <sz val="8"/>
      <color theme="0"/>
      <name val="Arial"/>
      <family val="2"/>
    </font>
    <font>
      <sz val="8"/>
      <color indexed="8"/>
      <name val="Arial"/>
      <family val="2"/>
    </font>
    <font>
      <sz val="8"/>
      <name val="Arial"/>
      <family val="2"/>
    </font>
    <font>
      <sz val="12"/>
      <name val="Calibri"/>
      <family val="2"/>
      <scheme val="minor"/>
    </font>
    <font>
      <b/>
      <sz val="12"/>
      <name val="Calibri"/>
      <family val="2"/>
      <scheme val="minor"/>
    </font>
    <font>
      <i/>
      <sz val="11"/>
      <name val="Calibri"/>
      <family val="2"/>
      <scheme val="minor"/>
    </font>
    <font>
      <i/>
      <sz val="12"/>
      <name val="Calibri"/>
      <family val="2"/>
      <scheme val="minor"/>
    </font>
    <font>
      <sz val="10"/>
      <color rgb="FF000000"/>
      <name val="Calibri"/>
      <family val="2"/>
      <scheme val="minor"/>
    </font>
    <font>
      <b/>
      <sz val="10"/>
      <color rgb="FF339966"/>
      <name val="Calibri"/>
      <family val="2"/>
      <scheme val="minor"/>
    </font>
  </fonts>
  <fills count="10">
    <fill>
      <patternFill patternType="none"/>
    </fill>
    <fill>
      <patternFill patternType="gray125"/>
    </fill>
    <fill>
      <patternFill patternType="solid">
        <fgColor indexed="22"/>
        <bgColor indexed="64"/>
      </patternFill>
    </fill>
    <fill>
      <patternFill patternType="solid">
        <fgColor rgb="FFFFFFFF"/>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0"/>
        <bgColor rgb="FFE5EEFF"/>
      </patternFill>
    </fill>
    <fill>
      <patternFill patternType="solid">
        <fgColor theme="4" tint="0.59999389629810485"/>
        <bgColor rgb="FF1D4791"/>
      </patternFill>
    </fill>
  </fills>
  <borders count="23">
    <border>
      <left/>
      <right/>
      <top/>
      <bottom/>
      <diagonal/>
    </border>
    <border>
      <left/>
      <right/>
      <top/>
      <bottom style="thin">
        <color auto="1"/>
      </bottom>
      <diagonal/>
    </border>
    <border>
      <left style="thin">
        <color auto="1"/>
      </left>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medium">
        <color rgb="FFFFFFFF"/>
      </right>
      <top/>
      <bottom/>
      <diagonal/>
    </border>
    <border>
      <left/>
      <right/>
      <top style="thin">
        <color auto="1"/>
      </top>
      <bottom/>
      <diagonal/>
    </border>
    <border>
      <left/>
      <right/>
      <top/>
      <bottom style="thin">
        <color indexed="64"/>
      </bottom>
      <diagonal/>
    </border>
    <border>
      <left/>
      <right/>
      <top/>
      <bottom style="thin">
        <color rgb="FF00B0F0"/>
      </bottom>
      <diagonal/>
    </border>
    <border>
      <left/>
      <right/>
      <top style="thin">
        <color theme="4" tint="0.59999389629810485"/>
      </top>
      <bottom style="thin">
        <color theme="4" tint="0.59999389629810485"/>
      </bottom>
      <diagonal/>
    </border>
    <border>
      <left/>
      <right/>
      <top/>
      <bottom style="thin">
        <color rgb="FF1D4791"/>
      </bottom>
      <diagonal/>
    </border>
    <border>
      <left/>
      <right/>
      <top style="thin">
        <color rgb="FF000000"/>
      </top>
      <bottom style="thin">
        <color rgb="FF000000"/>
      </bottom>
      <diagonal/>
    </border>
    <border>
      <left/>
      <right/>
      <top style="thin">
        <color rgb="FF000000"/>
      </top>
      <bottom/>
      <diagonal/>
    </border>
    <border>
      <left/>
      <right/>
      <top style="thin">
        <color auto="1"/>
      </top>
      <bottom style="thin">
        <color rgb="FF000000"/>
      </bottom>
      <diagonal/>
    </border>
  </borders>
  <cellStyleXfs count="13">
    <xf numFmtId="0" fontId="0" fillId="0" borderId="0">
      <alignment vertical="top"/>
    </xf>
    <xf numFmtId="170" fontId="7" fillId="0" borderId="0">
      <alignment vertical="top"/>
    </xf>
    <xf numFmtId="166" fontId="1" fillId="0" borderId="0" applyFont="0" applyFill="0" applyBorder="0" applyAlignment="0" applyProtection="0"/>
    <xf numFmtId="9" fontId="1" fillId="0" borderId="0" applyFont="0" applyFill="0" applyBorder="0" applyAlignment="0" applyProtection="0"/>
    <xf numFmtId="0" fontId="2" fillId="0" borderId="0" applyNumberFormat="0">
      <alignment vertical="top"/>
    </xf>
    <xf numFmtId="0" fontId="3" fillId="0" borderId="0">
      <alignment vertical="top"/>
    </xf>
    <xf numFmtId="0" fontId="6" fillId="0" borderId="0">
      <alignment vertical="top"/>
    </xf>
    <xf numFmtId="0" fontId="5" fillId="0" borderId="0">
      <alignment vertical="top" wrapText="1"/>
    </xf>
    <xf numFmtId="0" fontId="46" fillId="0" borderId="0"/>
    <xf numFmtId="9" fontId="46" fillId="0" borderId="0" applyFont="0" applyFill="0" applyBorder="0" applyAlignment="0" applyProtection="0"/>
    <xf numFmtId="195" fontId="46" fillId="0" borderId="0" applyFont="0" applyFill="0" applyBorder="0" applyAlignment="0" applyProtection="0"/>
    <xf numFmtId="196" fontId="47" fillId="0" borderId="0" applyFill="0" applyBorder="0"/>
    <xf numFmtId="0" fontId="50" fillId="0" borderId="0" applyAlignment="0"/>
  </cellStyleXfs>
  <cellXfs count="526">
    <xf numFmtId="0" fontId="0" fillId="0" borderId="0" xfId="0">
      <alignment vertical="top"/>
    </xf>
    <xf numFmtId="0" fontId="9" fillId="0" borderId="0" xfId="5" applyFont="1">
      <alignment vertical="top"/>
    </xf>
    <xf numFmtId="0" fontId="10" fillId="0" borderId="0" xfId="0" applyFont="1">
      <alignment vertical="top"/>
    </xf>
    <xf numFmtId="0" fontId="11" fillId="0" borderId="0" xfId="0" applyFont="1">
      <alignment vertical="top"/>
    </xf>
    <xf numFmtId="0" fontId="12" fillId="0" borderId="0" xfId="0" applyFont="1" applyAlignment="1">
      <alignment vertical="top" wrapText="1"/>
    </xf>
    <xf numFmtId="0" fontId="12" fillId="0" borderId="0" xfId="0" applyFont="1" applyAlignment="1">
      <alignment horizontal="center" vertical="top"/>
    </xf>
    <xf numFmtId="0" fontId="11" fillId="0" borderId="0" xfId="0" applyFont="1" applyAlignment="1">
      <alignment vertical="top" wrapText="1"/>
    </xf>
    <xf numFmtId="0" fontId="12" fillId="0" borderId="0" xfId="0" applyFont="1">
      <alignment vertical="top"/>
    </xf>
    <xf numFmtId="0" fontId="13" fillId="0" borderId="0" xfId="5" applyFont="1">
      <alignment vertical="top"/>
    </xf>
    <xf numFmtId="189" fontId="12" fillId="0" borderId="0" xfId="0" applyNumberFormat="1" applyFont="1" applyAlignment="1">
      <alignment horizontal="center" vertical="top" wrapText="1"/>
    </xf>
    <xf numFmtId="1" fontId="11" fillId="0" borderId="13" xfId="0" applyNumberFormat="1" applyFont="1" applyBorder="1" applyAlignment="1">
      <alignment vertical="top" wrapText="1"/>
    </xf>
    <xf numFmtId="167" fontId="11" fillId="0" borderId="13" xfId="0" applyNumberFormat="1" applyFont="1" applyBorder="1">
      <alignment vertical="top"/>
    </xf>
    <xf numFmtId="167" fontId="11" fillId="0" borderId="9" xfId="0" applyNumberFormat="1" applyFont="1" applyBorder="1">
      <alignment vertical="top"/>
    </xf>
    <xf numFmtId="1" fontId="11" fillId="0" borderId="0" xfId="0" applyNumberFormat="1" applyFont="1">
      <alignment vertical="top"/>
    </xf>
    <xf numFmtId="1" fontId="11" fillId="0" borderId="10" xfId="0" applyNumberFormat="1" applyFont="1" applyBorder="1" applyAlignment="1">
      <alignment vertical="top" wrapText="1"/>
    </xf>
    <xf numFmtId="0" fontId="11" fillId="0" borderId="10" xfId="0" applyFont="1" applyBorder="1">
      <alignment vertical="top"/>
    </xf>
    <xf numFmtId="0" fontId="11" fillId="0" borderId="7" xfId="0" applyFont="1" applyBorder="1">
      <alignment vertical="top"/>
    </xf>
    <xf numFmtId="0" fontId="14" fillId="0" borderId="0" xfId="0" applyFont="1" applyAlignment="1">
      <alignment horizontal="left" vertical="top" wrapText="1" indent="1"/>
    </xf>
    <xf numFmtId="1" fontId="14" fillId="0" borderId="10" xfId="0" applyNumberFormat="1" applyFont="1" applyBorder="1" applyAlignment="1">
      <alignment vertical="top" wrapText="1"/>
    </xf>
    <xf numFmtId="0" fontId="14" fillId="0" borderId="10" xfId="0" applyFont="1" applyBorder="1">
      <alignment vertical="top"/>
    </xf>
    <xf numFmtId="0" fontId="14" fillId="0" borderId="7" xfId="0" applyFont="1" applyBorder="1">
      <alignment vertical="top"/>
    </xf>
    <xf numFmtId="1" fontId="14" fillId="0" borderId="0" xfId="0" applyNumberFormat="1" applyFont="1">
      <alignment vertical="top"/>
    </xf>
    <xf numFmtId="0" fontId="14" fillId="0" borderId="0" xfId="0" applyFont="1">
      <alignment vertical="top"/>
    </xf>
    <xf numFmtId="167" fontId="11" fillId="0" borderId="10" xfId="0" applyNumberFormat="1" applyFont="1" applyBorder="1" applyAlignment="1">
      <alignment vertical="top" wrapText="1"/>
    </xf>
    <xf numFmtId="167" fontId="14" fillId="0" borderId="10" xfId="0" applyNumberFormat="1" applyFont="1" applyBorder="1" applyAlignment="1">
      <alignment vertical="top" wrapText="1"/>
    </xf>
    <xf numFmtId="167" fontId="14" fillId="0" borderId="0" xfId="0" applyNumberFormat="1" applyFont="1">
      <alignment vertical="top"/>
    </xf>
    <xf numFmtId="167" fontId="11" fillId="0" borderId="12" xfId="0" applyNumberFormat="1" applyFont="1" applyBorder="1" applyAlignment="1">
      <alignment vertical="top" wrapText="1"/>
    </xf>
    <xf numFmtId="0" fontId="11" fillId="0" borderId="12" xfId="0" applyFont="1" applyBorder="1">
      <alignment vertical="top"/>
    </xf>
    <xf numFmtId="0" fontId="11" fillId="0" borderId="3" xfId="0" applyFont="1" applyBorder="1">
      <alignment vertical="top"/>
    </xf>
    <xf numFmtId="167" fontId="11" fillId="0" borderId="0" xfId="0" applyNumberFormat="1" applyFont="1">
      <alignment vertical="top"/>
    </xf>
    <xf numFmtId="167" fontId="11" fillId="0" borderId="10" xfId="0" applyNumberFormat="1" applyFont="1" applyBorder="1">
      <alignment vertical="top"/>
    </xf>
    <xf numFmtId="2" fontId="14" fillId="0" borderId="0" xfId="0" applyNumberFormat="1" applyFont="1">
      <alignment vertical="top"/>
    </xf>
    <xf numFmtId="167" fontId="11" fillId="0" borderId="12" xfId="0" applyNumberFormat="1" applyFont="1" applyBorder="1">
      <alignment vertical="top"/>
    </xf>
    <xf numFmtId="0" fontId="11" fillId="0" borderId="0" xfId="0" applyFont="1" applyAlignment="1"/>
    <xf numFmtId="0" fontId="15" fillId="0" borderId="0" xfId="0" applyFont="1" applyAlignment="1">
      <alignment horizontal="left"/>
    </xf>
    <xf numFmtId="0" fontId="11" fillId="0" borderId="0" xfId="0" applyFont="1" applyAlignment="1">
      <alignment horizontal="right"/>
    </xf>
    <xf numFmtId="190" fontId="11" fillId="0" borderId="4" xfId="0" applyNumberFormat="1" applyFont="1" applyBorder="1" applyAlignment="1"/>
    <xf numFmtId="190" fontId="11" fillId="0" borderId="15" xfId="0" applyNumberFormat="1" applyFont="1" applyBorder="1" applyAlignment="1"/>
    <xf numFmtId="190" fontId="11" fillId="0" borderId="2" xfId="0" applyNumberFormat="1" applyFont="1" applyBorder="1" applyAlignment="1"/>
    <xf numFmtId="190" fontId="11" fillId="0" borderId="0" xfId="0" applyNumberFormat="1" applyFont="1" applyAlignment="1"/>
    <xf numFmtId="0" fontId="12" fillId="0" borderId="0" xfId="0" applyFont="1" applyAlignment="1"/>
    <xf numFmtId="190" fontId="12" fillId="0" borderId="2" xfId="0" applyNumberFormat="1" applyFont="1" applyBorder="1" applyAlignment="1"/>
    <xf numFmtId="190" fontId="12" fillId="0" borderId="0" xfId="0" applyNumberFormat="1" applyFont="1" applyAlignment="1"/>
    <xf numFmtId="9" fontId="11" fillId="0" borderId="0" xfId="3" applyFont="1"/>
    <xf numFmtId="0" fontId="12" fillId="0" borderId="0" xfId="0" applyFont="1" applyAlignment="1">
      <alignment wrapText="1"/>
    </xf>
    <xf numFmtId="3" fontId="11" fillId="0" borderId="0" xfId="0" applyNumberFormat="1" applyFont="1" applyAlignment="1"/>
    <xf numFmtId="171" fontId="11" fillId="0" borderId="0" xfId="3" applyNumberFormat="1" applyFont="1"/>
    <xf numFmtId="191" fontId="11" fillId="0" borderId="0" xfId="0" applyNumberFormat="1" applyFont="1" applyAlignment="1"/>
    <xf numFmtId="9" fontId="11" fillId="0" borderId="0" xfId="0" applyNumberFormat="1" applyFont="1" applyAlignment="1"/>
    <xf numFmtId="175" fontId="11" fillId="0" borderId="0" xfId="3" applyNumberFormat="1" applyFont="1" applyAlignment="1">
      <alignment vertical="top"/>
    </xf>
    <xf numFmtId="10" fontId="11" fillId="0" borderId="0" xfId="3" applyNumberFormat="1" applyFont="1" applyAlignment="1">
      <alignment vertical="top"/>
    </xf>
    <xf numFmtId="176" fontId="11" fillId="0" borderId="0" xfId="0" applyNumberFormat="1" applyFont="1">
      <alignment vertical="top"/>
    </xf>
    <xf numFmtId="173" fontId="11" fillId="0" borderId="0" xfId="0" applyNumberFormat="1" applyFont="1">
      <alignment vertical="top"/>
    </xf>
    <xf numFmtId="173" fontId="12" fillId="0" borderId="0" xfId="0" applyNumberFormat="1" applyFont="1">
      <alignment vertical="top"/>
    </xf>
    <xf numFmtId="0" fontId="12" fillId="0" borderId="0" xfId="5" applyFont="1">
      <alignment vertical="top"/>
    </xf>
    <xf numFmtId="10" fontId="11" fillId="0" borderId="0" xfId="0" applyNumberFormat="1" applyFont="1">
      <alignment vertical="top"/>
    </xf>
    <xf numFmtId="175" fontId="11" fillId="0" borderId="0" xfId="0" applyNumberFormat="1" applyFont="1">
      <alignment vertical="top"/>
    </xf>
    <xf numFmtId="175" fontId="12" fillId="0" borderId="0" xfId="3" applyNumberFormat="1" applyFont="1" applyAlignment="1">
      <alignment vertical="top"/>
    </xf>
    <xf numFmtId="175" fontId="11" fillId="0" borderId="0" xfId="3" applyNumberFormat="1" applyFont="1" applyAlignment="1">
      <alignment horizontal="right" vertical="top"/>
    </xf>
    <xf numFmtId="175" fontId="16" fillId="0" borderId="0" xfId="3" applyNumberFormat="1" applyFont="1" applyAlignment="1">
      <alignment vertical="top"/>
    </xf>
    <xf numFmtId="0" fontId="17" fillId="0" borderId="0" xfId="6" applyFont="1">
      <alignment vertical="top"/>
    </xf>
    <xf numFmtId="178" fontId="11" fillId="0" borderId="0" xfId="0" applyNumberFormat="1" applyFont="1" applyAlignment="1">
      <alignment vertical="top" wrapText="1"/>
    </xf>
    <xf numFmtId="178" fontId="12" fillId="0" borderId="0" xfId="0" applyNumberFormat="1" applyFont="1" applyAlignment="1">
      <alignment vertical="top" wrapText="1"/>
    </xf>
    <xf numFmtId="0" fontId="11" fillId="0" borderId="0" xfId="6" applyFont="1">
      <alignment vertical="top"/>
    </xf>
    <xf numFmtId="178" fontId="11" fillId="0" borderId="0" xfId="0" applyNumberFormat="1" applyFont="1">
      <alignment vertical="top"/>
    </xf>
    <xf numFmtId="0" fontId="17" fillId="0" borderId="0" xfId="0" applyFont="1">
      <alignment vertical="top"/>
    </xf>
    <xf numFmtId="0" fontId="11" fillId="0" borderId="0" xfId="0" applyFont="1" applyAlignment="1">
      <alignment horizontal="justify" vertical="top"/>
    </xf>
    <xf numFmtId="171" fontId="11" fillId="0" borderId="0" xfId="3" applyNumberFormat="1" applyFont="1" applyAlignment="1">
      <alignment vertical="top"/>
    </xf>
    <xf numFmtId="2" fontId="11" fillId="0" borderId="0" xfId="0" applyNumberFormat="1" applyFont="1">
      <alignment vertical="top"/>
    </xf>
    <xf numFmtId="0" fontId="18" fillId="0" borderId="0" xfId="5" applyFont="1">
      <alignment vertical="top"/>
    </xf>
    <xf numFmtId="0" fontId="11" fillId="0" borderId="0" xfId="7" applyFont="1">
      <alignment vertical="top" wrapText="1"/>
    </xf>
    <xf numFmtId="168" fontId="11" fillId="0" borderId="10" xfId="0" applyNumberFormat="1" applyFont="1" applyBorder="1">
      <alignment vertical="top"/>
    </xf>
    <xf numFmtId="9" fontId="11" fillId="0" borderId="10" xfId="0" applyNumberFormat="1" applyFont="1" applyBorder="1">
      <alignment vertical="top"/>
    </xf>
    <xf numFmtId="0" fontId="12" fillId="0" borderId="10" xfId="7" applyFont="1" applyBorder="1" applyAlignment="1">
      <alignment horizontal="center" vertical="top" wrapText="1"/>
    </xf>
    <xf numFmtId="168" fontId="11" fillId="0" borderId="0" xfId="0" applyNumberFormat="1" applyFont="1">
      <alignment vertical="top"/>
    </xf>
    <xf numFmtId="168" fontId="11" fillId="0" borderId="2" xfId="0" applyNumberFormat="1" applyFont="1" applyBorder="1">
      <alignment vertical="top"/>
    </xf>
    <xf numFmtId="0" fontId="12" fillId="0" borderId="0" xfId="7" applyFont="1">
      <alignment vertical="top" wrapText="1"/>
    </xf>
    <xf numFmtId="1" fontId="12" fillId="0" borderId="0" xfId="0" applyNumberFormat="1" applyFont="1">
      <alignment vertical="top"/>
    </xf>
    <xf numFmtId="0" fontId="11" fillId="0" borderId="10" xfId="7" applyFont="1" applyBorder="1">
      <alignment vertical="top" wrapText="1"/>
    </xf>
    <xf numFmtId="10" fontId="11" fillId="0" borderId="10" xfId="7" applyNumberFormat="1" applyFont="1" applyBorder="1">
      <alignment vertical="top" wrapText="1"/>
    </xf>
    <xf numFmtId="9" fontId="11" fillId="0" borderId="0" xfId="0" applyNumberFormat="1" applyFont="1">
      <alignment vertical="top"/>
    </xf>
    <xf numFmtId="9" fontId="11" fillId="0" borderId="0" xfId="3" applyFont="1" applyAlignment="1">
      <alignment vertical="top"/>
    </xf>
    <xf numFmtId="0" fontId="11" fillId="0" borderId="0" xfId="0" applyFont="1" applyAlignment="1">
      <alignment horizontal="center" vertical="top"/>
    </xf>
    <xf numFmtId="0" fontId="14" fillId="0" borderId="0" xfId="0" applyFont="1" applyAlignment="1">
      <alignment horizontal="center" vertical="top" wrapText="1"/>
    </xf>
    <xf numFmtId="0" fontId="20" fillId="0" borderId="0" xfId="0" applyFont="1" applyAlignment="1">
      <alignment horizontal="center" vertical="top" wrapText="1"/>
    </xf>
    <xf numFmtId="174" fontId="11" fillId="0" borderId="0" xfId="2" applyNumberFormat="1" applyFont="1" applyAlignment="1">
      <alignment horizontal="right" vertical="top"/>
    </xf>
    <xf numFmtId="0" fontId="11" fillId="0" borderId="0" xfId="0" quotePrefix="1" applyFont="1">
      <alignment vertical="top"/>
    </xf>
    <xf numFmtId="174" fontId="11" fillId="0" borderId="0" xfId="2" applyNumberFormat="1" applyFont="1" applyAlignment="1">
      <alignment vertical="top"/>
    </xf>
    <xf numFmtId="0" fontId="11" fillId="0" borderId="1" xfId="0" applyFont="1" applyBorder="1">
      <alignment vertical="top"/>
    </xf>
    <xf numFmtId="1" fontId="11" fillId="0" borderId="1" xfId="0" applyNumberFormat="1" applyFont="1" applyBorder="1" applyAlignment="1">
      <alignment horizontal="center" vertical="top"/>
    </xf>
    <xf numFmtId="1" fontId="11" fillId="0" borderId="0" xfId="0" applyNumberFormat="1" applyFont="1" applyAlignment="1">
      <alignment horizontal="center" vertical="top"/>
    </xf>
    <xf numFmtId="2" fontId="11" fillId="0" borderId="0" xfId="0" applyNumberFormat="1" applyFont="1" applyAlignment="1">
      <alignment horizontal="center" vertical="top"/>
    </xf>
    <xf numFmtId="167" fontId="11" fillId="0" borderId="0" xfId="0" applyNumberFormat="1" applyFont="1" applyAlignment="1">
      <alignment horizontal="center" vertical="top"/>
    </xf>
    <xf numFmtId="0" fontId="11" fillId="0" borderId="0" xfId="0" applyFont="1" applyAlignment="1">
      <alignment vertical="top" wrapText="1" shrinkToFit="1"/>
    </xf>
    <xf numFmtId="167" fontId="11" fillId="0" borderId="0" xfId="0" applyNumberFormat="1" applyFont="1" applyAlignment="1">
      <alignment horizontal="center" vertical="top" shrinkToFit="1"/>
    </xf>
    <xf numFmtId="167" fontId="11" fillId="0" borderId="0" xfId="0" applyNumberFormat="1" applyFont="1" applyAlignment="1">
      <alignment vertical="top" shrinkToFit="1"/>
    </xf>
    <xf numFmtId="0" fontId="11" fillId="0" borderId="0" xfId="0" applyFont="1" applyAlignment="1">
      <alignment vertical="top" shrinkToFit="1"/>
    </xf>
    <xf numFmtId="0" fontId="21" fillId="0" borderId="0" xfId="0" applyFont="1" applyAlignment="1">
      <alignment vertical="top" wrapText="1"/>
    </xf>
    <xf numFmtId="2" fontId="12" fillId="0" borderId="0" xfId="0" applyNumberFormat="1" applyFont="1">
      <alignment vertical="top"/>
    </xf>
    <xf numFmtId="172" fontId="11" fillId="0" borderId="0" xfId="0" applyNumberFormat="1" applyFont="1">
      <alignment vertical="top"/>
    </xf>
    <xf numFmtId="0" fontId="14" fillId="0" borderId="0" xfId="0" applyFont="1" applyAlignment="1">
      <alignment horizontal="left" vertical="top" indent="1"/>
    </xf>
    <xf numFmtId="0" fontId="11" fillId="0" borderId="1" xfId="0" applyFont="1" applyBorder="1" applyAlignment="1">
      <alignment horizontal="center" vertical="top"/>
    </xf>
    <xf numFmtId="166" fontId="11" fillId="0" borderId="0" xfId="2" applyFont="1" applyAlignment="1">
      <alignment vertical="top"/>
    </xf>
    <xf numFmtId="0" fontId="18" fillId="0" borderId="0" xfId="0" applyFont="1">
      <alignment vertical="top"/>
    </xf>
    <xf numFmtId="171" fontId="11" fillId="0" borderId="0" xfId="0" applyNumberFormat="1" applyFont="1">
      <alignment vertical="top"/>
    </xf>
    <xf numFmtId="3" fontId="11" fillId="0" borderId="0" xfId="0" applyNumberFormat="1" applyFont="1">
      <alignment vertical="top"/>
    </xf>
    <xf numFmtId="9" fontId="11" fillId="0" borderId="0" xfId="3" applyFont="1" applyFill="1" applyBorder="1" applyAlignment="1">
      <alignment vertical="top"/>
    </xf>
    <xf numFmtId="9" fontId="11" fillId="0" borderId="0" xfId="3" applyFont="1" applyBorder="1" applyAlignment="1">
      <alignment vertical="top"/>
    </xf>
    <xf numFmtId="0" fontId="11" fillId="0" borderId="0" xfId="0" applyFont="1" applyAlignment="1">
      <alignment horizontal="right" vertical="top"/>
    </xf>
    <xf numFmtId="168" fontId="12" fillId="0" borderId="0" xfId="0" applyNumberFormat="1" applyFont="1">
      <alignment vertical="top"/>
    </xf>
    <xf numFmtId="171" fontId="12" fillId="0" borderId="0" xfId="3" applyNumberFormat="1" applyFont="1" applyAlignment="1">
      <alignment vertical="top"/>
    </xf>
    <xf numFmtId="171" fontId="12" fillId="0" borderId="0" xfId="0" applyNumberFormat="1" applyFont="1">
      <alignment vertical="top"/>
    </xf>
    <xf numFmtId="176" fontId="11" fillId="0" borderId="0" xfId="3" applyNumberFormat="1" applyFont="1" applyAlignment="1">
      <alignment vertical="top"/>
    </xf>
    <xf numFmtId="176" fontId="12" fillId="0" borderId="0" xfId="3" applyNumberFormat="1" applyFont="1" applyAlignment="1">
      <alignment vertical="top"/>
    </xf>
    <xf numFmtId="177" fontId="11" fillId="0" borderId="0" xfId="3" applyNumberFormat="1" applyFont="1" applyAlignment="1">
      <alignment vertical="top"/>
    </xf>
    <xf numFmtId="9" fontId="12" fillId="0" borderId="0" xfId="0" applyNumberFormat="1" applyFont="1">
      <alignment vertical="top"/>
    </xf>
    <xf numFmtId="10" fontId="12" fillId="0" borderId="0" xfId="3" applyNumberFormat="1" applyFont="1" applyAlignment="1">
      <alignment vertical="top"/>
    </xf>
    <xf numFmtId="0" fontId="22" fillId="0" borderId="0" xfId="5" applyFont="1">
      <alignment vertical="top"/>
    </xf>
    <xf numFmtId="0" fontId="22" fillId="0" borderId="0" xfId="5" applyFont="1" applyAlignment="1">
      <alignment vertical="top" wrapText="1"/>
    </xf>
    <xf numFmtId="9" fontId="11" fillId="0" borderId="1" xfId="3" applyFont="1" applyBorder="1" applyAlignment="1">
      <alignment vertical="top"/>
    </xf>
    <xf numFmtId="1" fontId="11" fillId="0" borderId="1" xfId="0" applyNumberFormat="1" applyFont="1" applyBorder="1">
      <alignment vertical="top"/>
    </xf>
    <xf numFmtId="0" fontId="11" fillId="0" borderId="0" xfId="7" applyFont="1" applyAlignment="1">
      <alignment vertical="top"/>
    </xf>
    <xf numFmtId="9" fontId="12" fillId="0" borderId="0" xfId="3" applyFont="1" applyAlignment="1">
      <alignment vertical="top"/>
    </xf>
    <xf numFmtId="171" fontId="23" fillId="0" borderId="0" xfId="3" applyNumberFormat="1" applyFont="1" applyAlignment="1">
      <alignment vertical="top"/>
    </xf>
    <xf numFmtId="0" fontId="14" fillId="0" borderId="0" xfId="0" applyFont="1" applyAlignment="1">
      <alignment vertical="top" wrapText="1"/>
    </xf>
    <xf numFmtId="171" fontId="14" fillId="0" borderId="0" xfId="3" applyNumberFormat="1" applyFont="1" applyAlignment="1">
      <alignment vertical="top"/>
    </xf>
    <xf numFmtId="178" fontId="21" fillId="0" borderId="0" xfId="0" applyNumberFormat="1" applyFont="1" applyAlignment="1">
      <alignment vertical="top" wrapText="1"/>
    </xf>
    <xf numFmtId="180" fontId="21" fillId="0" borderId="0" xfId="0" applyNumberFormat="1" applyFont="1" applyAlignment="1">
      <alignment vertical="top" wrapText="1"/>
    </xf>
    <xf numFmtId="171" fontId="21" fillId="0" borderId="0" xfId="3" applyNumberFormat="1" applyFont="1" applyAlignment="1">
      <alignment vertical="top" wrapText="1"/>
    </xf>
    <xf numFmtId="0" fontId="11" fillId="0" borderId="0" xfId="7" applyFont="1" applyAlignment="1">
      <alignment horizontal="centerContinuous" vertical="top" wrapText="1"/>
    </xf>
    <xf numFmtId="0" fontId="11" fillId="0" borderId="0" xfId="0" applyFont="1" applyAlignment="1">
      <alignment horizontal="centerContinuous" vertical="top"/>
    </xf>
    <xf numFmtId="171" fontId="21" fillId="0" borderId="0" xfId="3" applyNumberFormat="1" applyFont="1" applyAlignment="1">
      <alignment horizontal="centerContinuous" vertical="top" wrapText="1"/>
    </xf>
    <xf numFmtId="0" fontId="11" fillId="0" borderId="0" xfId="0" applyFont="1" applyAlignment="1">
      <alignment horizontal="center" vertical="top" wrapText="1"/>
    </xf>
    <xf numFmtId="167" fontId="12" fillId="0" borderId="0" xfId="0" applyNumberFormat="1" applyFont="1">
      <alignment vertical="top"/>
    </xf>
    <xf numFmtId="0" fontId="11" fillId="0" borderId="0" xfId="7" applyFont="1" applyAlignment="1">
      <alignment horizontal="center" vertical="top" wrapText="1"/>
    </xf>
    <xf numFmtId="170" fontId="24" fillId="0" borderId="0" xfId="1" applyFont="1">
      <alignment vertical="top"/>
    </xf>
    <xf numFmtId="0" fontId="12" fillId="0" borderId="0" xfId="4" applyFont="1">
      <alignment vertical="top"/>
    </xf>
    <xf numFmtId="174" fontId="12" fillId="0" borderId="0" xfId="4" applyNumberFormat="1" applyFont="1">
      <alignment vertical="top"/>
    </xf>
    <xf numFmtId="0" fontId="11" fillId="0" borderId="5" xfId="0" applyFont="1" applyBorder="1">
      <alignment vertical="top"/>
    </xf>
    <xf numFmtId="0" fontId="11" fillId="0" borderId="2" xfId="0" applyFont="1" applyBorder="1">
      <alignment vertical="top"/>
    </xf>
    <xf numFmtId="10" fontId="11" fillId="0" borderId="7" xfId="0" applyNumberFormat="1" applyFont="1" applyBorder="1">
      <alignment vertical="top"/>
    </xf>
    <xf numFmtId="0" fontId="14" fillId="0" borderId="1" xfId="0" applyFont="1" applyBorder="1" applyAlignment="1">
      <alignment horizontal="center" vertical="top"/>
    </xf>
    <xf numFmtId="170" fontId="11" fillId="0" borderId="0" xfId="1" applyFont="1">
      <alignment vertical="top"/>
    </xf>
    <xf numFmtId="174" fontId="11" fillId="0" borderId="1" xfId="2" applyNumberFormat="1" applyFont="1" applyBorder="1" applyAlignment="1">
      <alignment vertical="top"/>
    </xf>
    <xf numFmtId="170" fontId="24" fillId="0" borderId="1" xfId="1" applyFont="1" applyBorder="1">
      <alignment vertical="top"/>
    </xf>
    <xf numFmtId="174" fontId="11" fillId="0" borderId="0" xfId="0" applyNumberFormat="1" applyFont="1">
      <alignment vertical="top"/>
    </xf>
    <xf numFmtId="166" fontId="11" fillId="0" borderId="0" xfId="0" applyNumberFormat="1" applyFont="1">
      <alignment vertical="top"/>
    </xf>
    <xf numFmtId="170" fontId="12" fillId="0" borderId="0" xfId="0" applyNumberFormat="1" applyFont="1">
      <alignment vertical="top"/>
    </xf>
    <xf numFmtId="0" fontId="11" fillId="0" borderId="0" xfId="4" applyFont="1">
      <alignment vertical="top"/>
    </xf>
    <xf numFmtId="0" fontId="25" fillId="0" borderId="0" xfId="0" applyFont="1">
      <alignment vertical="top"/>
    </xf>
    <xf numFmtId="174" fontId="11" fillId="0" borderId="1" xfId="0" applyNumberFormat="1" applyFont="1" applyBorder="1">
      <alignment vertical="top"/>
    </xf>
    <xf numFmtId="174" fontId="12" fillId="0" borderId="0" xfId="0" applyNumberFormat="1" applyFont="1">
      <alignment vertical="top"/>
    </xf>
    <xf numFmtId="10" fontId="12" fillId="0" borderId="0" xfId="0" applyNumberFormat="1" applyFont="1">
      <alignment vertical="top"/>
    </xf>
    <xf numFmtId="167" fontId="18" fillId="0" borderId="0" xfId="0" applyNumberFormat="1" applyFont="1">
      <alignment vertical="top"/>
    </xf>
    <xf numFmtId="0" fontId="27" fillId="0" borderId="0" xfId="0" applyFont="1" applyAlignment="1"/>
    <xf numFmtId="1" fontId="27" fillId="0" borderId="0" xfId="0" applyNumberFormat="1" applyFont="1" applyAlignment="1"/>
    <xf numFmtId="171" fontId="27" fillId="0" borderId="0" xfId="3" applyNumberFormat="1" applyFont="1"/>
    <xf numFmtId="0" fontId="27" fillId="0" borderId="17" xfId="0" applyFont="1" applyBorder="1" applyAlignment="1"/>
    <xf numFmtId="1" fontId="27" fillId="0" borderId="17" xfId="0" applyNumberFormat="1" applyFont="1" applyBorder="1" applyAlignment="1"/>
    <xf numFmtId="0" fontId="26" fillId="0" borderId="0" xfId="0" applyFont="1" applyAlignment="1"/>
    <xf numFmtId="0" fontId="27" fillId="4" borderId="0" xfId="0" applyFont="1" applyFill="1" applyAlignment="1"/>
    <xf numFmtId="171" fontId="27" fillId="0" borderId="0" xfId="0" applyNumberFormat="1" applyFont="1" applyAlignment="1"/>
    <xf numFmtId="171" fontId="27" fillId="4" borderId="0" xfId="0" applyNumberFormat="1" applyFont="1" applyFill="1" applyAlignment="1"/>
    <xf numFmtId="1" fontId="27" fillId="4" borderId="0" xfId="0" applyNumberFormat="1" applyFont="1" applyFill="1" applyAlignment="1"/>
    <xf numFmtId="171" fontId="27" fillId="4" borderId="0" xfId="3" applyNumberFormat="1" applyFont="1" applyFill="1"/>
    <xf numFmtId="9" fontId="27" fillId="0" borderId="0" xfId="3" applyFont="1"/>
    <xf numFmtId="170" fontId="11" fillId="0" borderId="0" xfId="0" applyNumberFormat="1" applyFont="1">
      <alignment vertical="top"/>
    </xf>
    <xf numFmtId="170" fontId="14" fillId="0" borderId="0" xfId="0" applyNumberFormat="1" applyFont="1">
      <alignment vertical="top"/>
    </xf>
    <xf numFmtId="0" fontId="14" fillId="0" borderId="0" xfId="0" applyFont="1" applyAlignment="1">
      <alignment horizontal="center" vertical="top"/>
    </xf>
    <xf numFmtId="170" fontId="11" fillId="0" borderId="1" xfId="0" applyNumberFormat="1" applyFont="1" applyBorder="1">
      <alignment vertical="top"/>
    </xf>
    <xf numFmtId="0" fontId="14" fillId="0" borderId="1" xfId="0" applyFont="1" applyBorder="1" applyAlignment="1">
      <alignment horizontal="left" vertical="top" indent="1"/>
    </xf>
    <xf numFmtId="171" fontId="14" fillId="0" borderId="1" xfId="0" applyNumberFormat="1" applyFont="1" applyBorder="1">
      <alignment vertical="top"/>
    </xf>
    <xf numFmtId="0" fontId="15" fillId="0" borderId="0" xfId="0" applyFont="1">
      <alignment vertical="top"/>
    </xf>
    <xf numFmtId="171" fontId="11" fillId="2" borderId="0" xfId="0" applyNumberFormat="1" applyFont="1" applyFill="1">
      <alignment vertical="top"/>
    </xf>
    <xf numFmtId="0" fontId="30" fillId="0" borderId="0" xfId="0" applyFont="1">
      <alignment vertical="top"/>
    </xf>
    <xf numFmtId="0" fontId="16" fillId="0" borderId="0" xfId="0" applyFont="1">
      <alignment vertical="top"/>
    </xf>
    <xf numFmtId="171" fontId="16" fillId="0" borderId="0" xfId="0" applyNumberFormat="1" applyFont="1">
      <alignment vertical="top"/>
    </xf>
    <xf numFmtId="10" fontId="11" fillId="0" borderId="1" xfId="0" applyNumberFormat="1" applyFont="1" applyBorder="1">
      <alignment vertical="top"/>
    </xf>
    <xf numFmtId="171" fontId="14" fillId="0" borderId="0" xfId="0" applyNumberFormat="1" applyFont="1">
      <alignment vertical="top"/>
    </xf>
    <xf numFmtId="188" fontId="12" fillId="2" borderId="0" xfId="2" applyNumberFormat="1" applyFont="1" applyFill="1" applyAlignment="1">
      <alignment vertical="top"/>
    </xf>
    <xf numFmtId="0" fontId="31" fillId="0" borderId="0" xfId="0" applyFont="1">
      <alignment vertical="top"/>
    </xf>
    <xf numFmtId="0" fontId="32" fillId="0" borderId="0" xfId="0" applyFont="1">
      <alignment vertical="top"/>
    </xf>
    <xf numFmtId="0" fontId="11" fillId="0" borderId="0" xfId="0" quotePrefix="1" applyFont="1" applyAlignment="1">
      <alignment vertical="top" wrapText="1"/>
    </xf>
    <xf numFmtId="0" fontId="11" fillId="0" borderId="16" xfId="0" applyFont="1" applyBorder="1">
      <alignment vertical="top"/>
    </xf>
    <xf numFmtId="169" fontId="12" fillId="0" borderId="0" xfId="0" applyNumberFormat="1" applyFont="1">
      <alignment vertical="top"/>
    </xf>
    <xf numFmtId="167" fontId="11" fillId="0" borderId="1" xfId="0" applyNumberFormat="1" applyFont="1" applyBorder="1">
      <alignment vertical="top"/>
    </xf>
    <xf numFmtId="0" fontId="11" fillId="0" borderId="5" xfId="0" applyFont="1" applyBorder="1" applyAlignment="1">
      <alignment horizontal="center" vertical="top"/>
    </xf>
    <xf numFmtId="0" fontId="11" fillId="0" borderId="0" xfId="5" applyFont="1">
      <alignment vertical="top"/>
    </xf>
    <xf numFmtId="2" fontId="23" fillId="0" borderId="0" xfId="0" applyNumberFormat="1" applyFont="1">
      <alignment vertical="top"/>
    </xf>
    <xf numFmtId="164" fontId="11" fillId="0" borderId="0" xfId="0" applyNumberFormat="1" applyFont="1">
      <alignment vertical="top"/>
    </xf>
    <xf numFmtId="168" fontId="11" fillId="0" borderId="0" xfId="0" quotePrefix="1" applyNumberFormat="1" applyFont="1">
      <alignment vertical="top"/>
    </xf>
    <xf numFmtId="170" fontId="12" fillId="0" borderId="0" xfId="0" quotePrefix="1" applyNumberFormat="1" applyFont="1">
      <alignment vertical="top"/>
    </xf>
    <xf numFmtId="168" fontId="14" fillId="0" borderId="0" xfId="0" applyNumberFormat="1" applyFont="1">
      <alignment vertical="top"/>
    </xf>
    <xf numFmtId="171" fontId="11" fillId="4" borderId="0" xfId="0" applyNumberFormat="1" applyFont="1" applyFill="1">
      <alignment vertical="top"/>
    </xf>
    <xf numFmtId="0" fontId="18" fillId="0" borderId="0" xfId="0" applyFont="1" applyAlignment="1">
      <alignment horizontal="left" vertical="top" indent="1"/>
    </xf>
    <xf numFmtId="20" fontId="11" fillId="0" borderId="0" xfId="0" applyNumberFormat="1" applyFont="1">
      <alignment vertical="top"/>
    </xf>
    <xf numFmtId="169" fontId="33" fillId="0" borderId="0" xfId="0" applyNumberFormat="1" applyFont="1">
      <alignment vertical="top"/>
    </xf>
    <xf numFmtId="0" fontId="11" fillId="0" borderId="4" xfId="0" applyFont="1" applyBorder="1" applyAlignment="1">
      <alignment horizontal="center" vertical="top"/>
    </xf>
    <xf numFmtId="168" fontId="11" fillId="0" borderId="11" xfId="0" applyNumberFormat="1" applyFont="1" applyBorder="1" applyAlignment="1">
      <alignment horizontal="right" vertical="top"/>
    </xf>
    <xf numFmtId="0" fontId="11" fillId="0" borderId="9" xfId="0" quotePrefix="1" applyFont="1" applyBorder="1">
      <alignment vertical="top"/>
    </xf>
    <xf numFmtId="0" fontId="11" fillId="0" borderId="2" xfId="0" applyFont="1" applyBorder="1" applyAlignment="1">
      <alignment horizontal="center" vertical="top"/>
    </xf>
    <xf numFmtId="168" fontId="11" fillId="0" borderId="1" xfId="0" applyNumberFormat="1" applyFont="1" applyBorder="1" applyAlignment="1">
      <alignment horizontal="right" vertical="top"/>
    </xf>
    <xf numFmtId="0" fontId="11" fillId="0" borderId="3" xfId="0" quotePrefix="1" applyFont="1" applyBorder="1">
      <alignment vertical="top"/>
    </xf>
    <xf numFmtId="168" fontId="15" fillId="0" borderId="0" xfId="0" applyNumberFormat="1" applyFont="1">
      <alignment vertical="top"/>
    </xf>
    <xf numFmtId="168" fontId="11" fillId="0" borderId="0" xfId="0" applyNumberFormat="1" applyFont="1" applyAlignment="1">
      <alignment horizontal="center" vertical="top"/>
    </xf>
    <xf numFmtId="1" fontId="12" fillId="2" borderId="0" xfId="0" applyNumberFormat="1" applyFont="1" applyFill="1" applyAlignment="1">
      <alignment horizontal="center" vertical="top"/>
    </xf>
    <xf numFmtId="0" fontId="18" fillId="0" borderId="0" xfId="0" quotePrefix="1" applyFont="1">
      <alignment vertical="top"/>
    </xf>
    <xf numFmtId="0" fontId="18" fillId="0" borderId="0" xfId="0" quotePrefix="1" applyFont="1" applyAlignment="1">
      <alignment horizontal="left" vertical="top"/>
    </xf>
    <xf numFmtId="0" fontId="21" fillId="0" borderId="0" xfId="7" applyFont="1" applyAlignment="1">
      <alignment horizontal="left" vertical="top" wrapText="1" indent="1"/>
    </xf>
    <xf numFmtId="178" fontId="21" fillId="0" borderId="0" xfId="0" applyNumberFormat="1" applyFont="1">
      <alignment vertical="top"/>
    </xf>
    <xf numFmtId="0" fontId="21" fillId="0" borderId="0" xfId="0" applyFont="1">
      <alignment vertical="top"/>
    </xf>
    <xf numFmtId="171" fontId="21" fillId="0" borderId="0" xfId="3" applyNumberFormat="1" applyFont="1" applyAlignment="1">
      <alignment vertical="top"/>
    </xf>
    <xf numFmtId="179" fontId="11" fillId="0" borderId="0" xfId="0" applyNumberFormat="1" applyFont="1">
      <alignment vertical="top"/>
    </xf>
    <xf numFmtId="166" fontId="12" fillId="2" borderId="0" xfId="2" applyFont="1" applyFill="1" applyAlignment="1">
      <alignment vertical="top"/>
    </xf>
    <xf numFmtId="187" fontId="11" fillId="0" borderId="0" xfId="0" applyNumberFormat="1" applyFont="1">
      <alignment vertical="top"/>
    </xf>
    <xf numFmtId="171" fontId="12" fillId="2" borderId="0" xfId="0" applyNumberFormat="1" applyFont="1" applyFill="1">
      <alignment vertical="top"/>
    </xf>
    <xf numFmtId="0" fontId="11" fillId="0" borderId="0" xfId="0" applyFont="1" applyAlignment="1">
      <alignment vertical="center"/>
    </xf>
    <xf numFmtId="0" fontId="11" fillId="0" borderId="16" xfId="0" applyFont="1" applyBorder="1" applyAlignment="1">
      <alignment vertical="center"/>
    </xf>
    <xf numFmtId="0" fontId="11" fillId="0" borderId="0" xfId="0" quotePrefix="1" applyFont="1" applyAlignment="1">
      <alignment horizontal="center" vertical="top"/>
    </xf>
    <xf numFmtId="171" fontId="11" fillId="0" borderId="0" xfId="0" applyNumberFormat="1" applyFont="1" applyAlignment="1">
      <alignment horizontal="center" vertical="top"/>
    </xf>
    <xf numFmtId="171" fontId="11" fillId="0" borderId="0" xfId="3" applyNumberFormat="1" applyFont="1" applyAlignment="1">
      <alignment horizontal="center" vertical="top"/>
    </xf>
    <xf numFmtId="9" fontId="11" fillId="0" borderId="0" xfId="0" applyNumberFormat="1" applyFont="1" applyAlignment="1">
      <alignment horizontal="center" vertical="top"/>
    </xf>
    <xf numFmtId="0" fontId="11" fillId="2" borderId="0" xfId="0" applyFont="1" applyFill="1" applyAlignment="1">
      <alignment horizontal="center" vertical="top"/>
    </xf>
    <xf numFmtId="166" fontId="11" fillId="0" borderId="0" xfId="2" applyFont="1" applyAlignment="1">
      <alignment horizontal="center" vertical="top"/>
    </xf>
    <xf numFmtId="0" fontId="11" fillId="0" borderId="7" xfId="0" applyFont="1" applyBorder="1" applyAlignment="1">
      <alignment horizontal="left" vertical="top"/>
    </xf>
    <xf numFmtId="10" fontId="11" fillId="2" borderId="0" xfId="3" applyNumberFormat="1" applyFont="1" applyFill="1" applyBorder="1" applyAlignment="1">
      <alignment horizontal="center" vertical="top"/>
    </xf>
    <xf numFmtId="3" fontId="12" fillId="0" borderId="0" xfId="0" applyNumberFormat="1" applyFont="1">
      <alignment vertical="top"/>
    </xf>
    <xf numFmtId="14" fontId="11" fillId="0" borderId="0" xfId="0" applyNumberFormat="1" applyFont="1">
      <alignment vertical="top"/>
    </xf>
    <xf numFmtId="0" fontId="11" fillId="2" borderId="0" xfId="0" applyFont="1" applyFill="1">
      <alignment vertical="top"/>
    </xf>
    <xf numFmtId="10" fontId="11" fillId="2" borderId="0" xfId="0" applyNumberFormat="1" applyFont="1" applyFill="1">
      <alignment vertical="top"/>
    </xf>
    <xf numFmtId="10" fontId="11" fillId="2" borderId="0" xfId="3" applyNumberFormat="1" applyFont="1" applyFill="1" applyAlignment="1">
      <alignment vertical="top"/>
    </xf>
    <xf numFmtId="15" fontId="11" fillId="0" borderId="0" xfId="0" applyNumberFormat="1" applyFont="1" applyAlignment="1">
      <alignment horizontal="center" vertical="top"/>
    </xf>
    <xf numFmtId="0" fontId="11" fillId="0" borderId="0" xfId="2" applyNumberFormat="1" applyFont="1" applyAlignment="1">
      <alignment horizontal="center" vertical="top"/>
    </xf>
    <xf numFmtId="10" fontId="11" fillId="0" borderId="7" xfId="3" applyNumberFormat="1" applyFont="1" applyBorder="1" applyAlignment="1">
      <alignment vertical="top"/>
    </xf>
    <xf numFmtId="15" fontId="18" fillId="0" borderId="0" xfId="0" applyNumberFormat="1" applyFont="1" applyAlignment="1">
      <alignment horizontal="left" vertical="top"/>
    </xf>
    <xf numFmtId="10" fontId="11" fillId="0" borderId="0" xfId="3" applyNumberFormat="1" applyFont="1" applyBorder="1" applyAlignment="1">
      <alignment vertical="top"/>
    </xf>
    <xf numFmtId="0" fontId="11" fillId="0" borderId="0" xfId="0" applyFont="1" applyAlignment="1">
      <alignment horizontal="left" vertical="top"/>
    </xf>
    <xf numFmtId="10" fontId="11" fillId="0" borderId="0" xfId="0" applyNumberFormat="1" applyFont="1" applyAlignment="1">
      <alignment horizontal="center" vertical="top"/>
    </xf>
    <xf numFmtId="10" fontId="11" fillId="0" borderId="0" xfId="3" applyNumberFormat="1" applyFont="1" applyAlignment="1">
      <alignment horizontal="center" vertical="top"/>
    </xf>
    <xf numFmtId="171" fontId="34" fillId="0" borderId="0" xfId="3" applyNumberFormat="1" applyFont="1" applyAlignment="1">
      <alignment vertical="top"/>
    </xf>
    <xf numFmtId="10" fontId="34" fillId="0" borderId="0" xfId="3" applyNumberFormat="1" applyFont="1" applyAlignment="1">
      <alignment vertical="top"/>
    </xf>
    <xf numFmtId="2" fontId="27" fillId="3" borderId="14" xfId="0" applyNumberFormat="1" applyFont="1" applyFill="1" applyBorder="1" applyAlignment="1">
      <alignment horizontal="right" vertical="center" wrapText="1"/>
    </xf>
    <xf numFmtId="0" fontId="11" fillId="0" borderId="0" xfId="0" applyFont="1" applyAlignment="1">
      <alignment horizontal="left" vertical="top" indent="1"/>
    </xf>
    <xf numFmtId="10" fontId="35" fillId="0" borderId="0" xfId="3" applyNumberFormat="1" applyFont="1" applyAlignment="1">
      <alignment vertical="top"/>
    </xf>
    <xf numFmtId="0" fontId="18" fillId="0" borderId="0" xfId="0" applyFont="1" applyAlignment="1">
      <alignment horizontal="left" vertical="top"/>
    </xf>
    <xf numFmtId="186" fontId="11" fillId="0" borderId="0" xfId="0" applyNumberFormat="1" applyFont="1">
      <alignment vertical="top"/>
    </xf>
    <xf numFmtId="0" fontId="12" fillId="0" borderId="6" xfId="0" applyFont="1" applyBorder="1">
      <alignment vertical="top"/>
    </xf>
    <xf numFmtId="0" fontId="34" fillId="0" borderId="0" xfId="0" applyFont="1">
      <alignment vertical="top"/>
    </xf>
    <xf numFmtId="172" fontId="11" fillId="0" borderId="0" xfId="2" applyNumberFormat="1" applyFont="1" applyAlignment="1">
      <alignment vertical="top"/>
    </xf>
    <xf numFmtId="39" fontId="11" fillId="0" borderId="0" xfId="2" applyNumberFormat="1" applyFont="1" applyAlignment="1">
      <alignment vertical="top"/>
    </xf>
    <xf numFmtId="0" fontId="11" fillId="4" borderId="0" xfId="0" applyFont="1" applyFill="1">
      <alignment vertical="top"/>
    </xf>
    <xf numFmtId="169" fontId="11" fillId="0" borderId="0" xfId="0" applyNumberFormat="1" applyFont="1">
      <alignment vertical="top"/>
    </xf>
    <xf numFmtId="0" fontId="12" fillId="0" borderId="5" xfId="0" applyFont="1" applyBorder="1">
      <alignment vertical="top"/>
    </xf>
    <xf numFmtId="2" fontId="36" fillId="0" borderId="0" xfId="0" applyNumberFormat="1" applyFont="1">
      <alignment vertical="top"/>
    </xf>
    <xf numFmtId="168" fontId="36" fillId="0" borderId="0" xfId="0" applyNumberFormat="1" applyFont="1">
      <alignment vertical="top"/>
    </xf>
    <xf numFmtId="171" fontId="18" fillId="0" borderId="0" xfId="0" applyNumberFormat="1" applyFont="1">
      <alignment vertical="top"/>
    </xf>
    <xf numFmtId="184" fontId="11" fillId="0" borderId="0" xfId="0" applyNumberFormat="1" applyFont="1">
      <alignment vertical="top"/>
    </xf>
    <xf numFmtId="9" fontId="35" fillId="0" borderId="0" xfId="0" applyNumberFormat="1" applyFont="1">
      <alignment vertical="top"/>
    </xf>
    <xf numFmtId="11" fontId="11" fillId="0" borderId="0" xfId="0" applyNumberFormat="1" applyFont="1">
      <alignment vertical="top"/>
    </xf>
    <xf numFmtId="0" fontId="11" fillId="0" borderId="8" xfId="0" applyFont="1" applyBorder="1">
      <alignment vertical="top"/>
    </xf>
    <xf numFmtId="0" fontId="11" fillId="0" borderId="8" xfId="0" applyFont="1" applyBorder="1" applyAlignment="1">
      <alignment horizontal="center" vertical="top"/>
    </xf>
    <xf numFmtId="9" fontId="11" fillId="0" borderId="0" xfId="3" applyFont="1" applyAlignment="1">
      <alignment horizontal="center" vertical="top"/>
    </xf>
    <xf numFmtId="0" fontId="11" fillId="0" borderId="0" xfId="2" applyNumberFormat="1" applyFont="1" applyAlignment="1">
      <alignment vertical="top"/>
    </xf>
    <xf numFmtId="0" fontId="11" fillId="0" borderId="0" xfId="3" applyNumberFormat="1" applyFont="1" applyAlignment="1">
      <alignment vertical="top"/>
    </xf>
    <xf numFmtId="185" fontId="11" fillId="0" borderId="0" xfId="0" applyNumberFormat="1" applyFont="1">
      <alignment vertical="top"/>
    </xf>
    <xf numFmtId="0" fontId="12" fillId="0" borderId="1" xfId="0" applyFont="1" applyBorder="1">
      <alignment vertical="top"/>
    </xf>
    <xf numFmtId="183" fontId="12" fillId="0" borderId="1" xfId="0" applyNumberFormat="1" applyFont="1" applyBorder="1">
      <alignment vertical="top"/>
    </xf>
    <xf numFmtId="183" fontId="11" fillId="0" borderId="0" xfId="0" applyNumberFormat="1" applyFont="1">
      <alignment vertical="top"/>
    </xf>
    <xf numFmtId="183" fontId="11" fillId="0" borderId="1" xfId="0" applyNumberFormat="1" applyFont="1" applyBorder="1">
      <alignment vertical="top"/>
    </xf>
    <xf numFmtId="9" fontId="12" fillId="0" borderId="0" xfId="3" applyFont="1" applyBorder="1" applyAlignment="1">
      <alignment vertical="top"/>
    </xf>
    <xf numFmtId="183" fontId="12" fillId="0" borderId="0" xfId="0" applyNumberFormat="1" applyFont="1">
      <alignment vertical="top"/>
    </xf>
    <xf numFmtId="181" fontId="11" fillId="0" borderId="0" xfId="0" applyNumberFormat="1" applyFont="1">
      <alignment vertical="top"/>
    </xf>
    <xf numFmtId="183" fontId="12" fillId="0" borderId="6" xfId="0" applyNumberFormat="1" applyFont="1" applyBorder="1">
      <alignment vertical="top"/>
    </xf>
    <xf numFmtId="0" fontId="12" fillId="0" borderId="0" xfId="0" applyFont="1" applyAlignment="1">
      <alignment horizontal="right" vertical="top"/>
    </xf>
    <xf numFmtId="0" fontId="37" fillId="0" borderId="0" xfId="0" applyFont="1">
      <alignment vertical="top"/>
    </xf>
    <xf numFmtId="2" fontId="11" fillId="0" borderId="1" xfId="2" applyNumberFormat="1" applyFont="1" applyBorder="1" applyAlignment="1">
      <alignment vertical="top"/>
    </xf>
    <xf numFmtId="0" fontId="12" fillId="0" borderId="0" xfId="0" applyFont="1" applyAlignment="1">
      <alignment horizontal="left" vertical="top"/>
    </xf>
    <xf numFmtId="9" fontId="14" fillId="0" borderId="0" xfId="3" applyFont="1" applyAlignment="1">
      <alignment vertical="top"/>
    </xf>
    <xf numFmtId="0" fontId="20" fillId="0" borderId="0" xfId="0" applyFont="1" applyAlignment="1">
      <alignment horizontal="center" vertical="top"/>
    </xf>
    <xf numFmtId="170" fontId="12" fillId="0" borderId="1" xfId="0" applyNumberFormat="1" applyFont="1" applyBorder="1">
      <alignment vertical="top"/>
    </xf>
    <xf numFmtId="9" fontId="12" fillId="0" borderId="1" xfId="3" applyFont="1" applyBorder="1" applyAlignment="1">
      <alignment vertical="top"/>
    </xf>
    <xf numFmtId="170" fontId="12" fillId="0" borderId="6" xfId="0" applyNumberFormat="1" applyFont="1" applyBorder="1">
      <alignment vertical="top"/>
    </xf>
    <xf numFmtId="9" fontId="12" fillId="0" borderId="6" xfId="3" applyFont="1" applyBorder="1" applyAlignment="1">
      <alignment vertical="top"/>
    </xf>
    <xf numFmtId="171" fontId="12" fillId="0" borderId="1" xfId="0" applyNumberFormat="1" applyFont="1" applyBorder="1">
      <alignment vertical="top"/>
    </xf>
    <xf numFmtId="169" fontId="11" fillId="0" borderId="1" xfId="0" applyNumberFormat="1" applyFont="1" applyBorder="1">
      <alignment vertical="top"/>
    </xf>
    <xf numFmtId="169" fontId="14" fillId="0" borderId="0" xfId="0" applyNumberFormat="1" applyFont="1">
      <alignment vertical="top"/>
    </xf>
    <xf numFmtId="167" fontId="12" fillId="0" borderId="0" xfId="0" applyNumberFormat="1" applyFont="1" applyAlignment="1">
      <alignment horizontal="center" vertical="top"/>
    </xf>
    <xf numFmtId="0" fontId="25" fillId="0" borderId="0" xfId="0" applyFont="1" applyAlignment="1">
      <alignment horizontal="center" vertical="top"/>
    </xf>
    <xf numFmtId="0" fontId="11" fillId="0" borderId="1" xfId="0" applyFont="1" applyBorder="1" applyAlignment="1">
      <alignment horizontal="center" vertical="center"/>
    </xf>
    <xf numFmtId="167" fontId="11" fillId="0" borderId="1" xfId="0" applyNumberFormat="1" applyFont="1" applyBorder="1" applyAlignment="1">
      <alignment horizontal="center" vertical="center"/>
    </xf>
    <xf numFmtId="167" fontId="11" fillId="0" borderId="1" xfId="0" applyNumberFormat="1" applyFont="1" applyBorder="1" applyAlignment="1">
      <alignment horizontal="center" vertical="top"/>
    </xf>
    <xf numFmtId="0" fontId="11" fillId="0" borderId="6" xfId="0" applyFont="1" applyBorder="1">
      <alignment vertical="top"/>
    </xf>
    <xf numFmtId="174" fontId="11" fillId="0" borderId="6" xfId="0" applyNumberFormat="1" applyFont="1" applyBorder="1">
      <alignment vertical="top"/>
    </xf>
    <xf numFmtId="0" fontId="12" fillId="0" borderId="1" xfId="0" quotePrefix="1" applyFont="1" applyBorder="1">
      <alignment vertical="top"/>
    </xf>
    <xf numFmtId="0" fontId="12" fillId="0" borderId="0" xfId="0" quotePrefix="1" applyFont="1">
      <alignment vertical="top"/>
    </xf>
    <xf numFmtId="169" fontId="12" fillId="0" borderId="1" xfId="0" applyNumberFormat="1" applyFont="1" applyBorder="1">
      <alignment vertical="top"/>
    </xf>
    <xf numFmtId="170" fontId="23" fillId="0" borderId="1" xfId="0" applyNumberFormat="1" applyFont="1" applyBorder="1">
      <alignment vertical="top"/>
    </xf>
    <xf numFmtId="170" fontId="35" fillId="0" borderId="0" xfId="0" applyNumberFormat="1" applyFont="1">
      <alignment vertical="top"/>
    </xf>
    <xf numFmtId="0" fontId="38" fillId="0" borderId="0" xfId="0" applyFont="1">
      <alignment vertical="top"/>
    </xf>
    <xf numFmtId="170" fontId="38" fillId="0" borderId="0" xfId="0" applyNumberFormat="1" applyFont="1">
      <alignment vertical="top"/>
    </xf>
    <xf numFmtId="169" fontId="38" fillId="0" borderId="0" xfId="0" applyNumberFormat="1" applyFont="1">
      <alignment vertical="top"/>
    </xf>
    <xf numFmtId="170" fontId="39" fillId="0" borderId="0" xfId="0" applyNumberFormat="1" applyFont="1">
      <alignment vertical="top"/>
    </xf>
    <xf numFmtId="0" fontId="38" fillId="0" borderId="1" xfId="0" applyFont="1" applyBorder="1">
      <alignment vertical="top"/>
    </xf>
    <xf numFmtId="170" fontId="38" fillId="0" borderId="1" xfId="0" applyNumberFormat="1" applyFont="1" applyBorder="1">
      <alignment vertical="top"/>
    </xf>
    <xf numFmtId="0" fontId="13" fillId="0" borderId="0" xfId="5" applyFont="1" applyAlignment="1">
      <alignment horizontal="right" vertical="top"/>
    </xf>
    <xf numFmtId="0" fontId="12" fillId="0" borderId="1" xfId="0" applyFont="1" applyBorder="1" applyAlignment="1">
      <alignment vertical="top" wrapText="1"/>
    </xf>
    <xf numFmtId="0" fontId="11" fillId="0" borderId="0" xfId="0" quotePrefix="1" applyFont="1" applyAlignment="1">
      <alignment horizontal="right" vertical="top" wrapText="1"/>
    </xf>
    <xf numFmtId="0" fontId="14" fillId="0" borderId="0" xfId="0" applyFont="1" applyAlignment="1">
      <alignment horizontal="right" vertical="top" wrapText="1" indent="1"/>
    </xf>
    <xf numFmtId="0" fontId="12" fillId="0" borderId="0" xfId="0" quotePrefix="1" applyFont="1" applyAlignment="1">
      <alignment vertical="top" wrapText="1"/>
    </xf>
    <xf numFmtId="0" fontId="12" fillId="0" borderId="0" xfId="0" quotePrefix="1" applyFont="1" applyAlignment="1">
      <alignment horizontal="right" vertical="top" wrapText="1"/>
    </xf>
    <xf numFmtId="0" fontId="12" fillId="0" borderId="1" xfId="0" quotePrefix="1" applyFont="1" applyBorder="1" applyAlignment="1">
      <alignment vertical="top" wrapText="1"/>
    </xf>
    <xf numFmtId="0" fontId="15" fillId="0" borderId="0" xfId="0" applyFont="1" applyAlignment="1">
      <alignment vertical="top" wrapText="1"/>
    </xf>
    <xf numFmtId="0" fontId="15" fillId="0" borderId="0" xfId="0" applyFont="1" applyAlignment="1">
      <alignment horizontal="right" vertical="top" wrapText="1"/>
    </xf>
    <xf numFmtId="0" fontId="11" fillId="0" borderId="0" xfId="0" applyFont="1" applyAlignment="1">
      <alignment horizontal="right" vertical="top" wrapText="1"/>
    </xf>
    <xf numFmtId="0" fontId="11" fillId="0" borderId="0" xfId="0" quotePrefix="1" applyFont="1" applyAlignment="1">
      <alignment horizontal="right" vertical="top"/>
    </xf>
    <xf numFmtId="0" fontId="15" fillId="0" borderId="0" xfId="0" applyFont="1" applyAlignment="1">
      <alignment horizontal="right" vertical="top"/>
    </xf>
    <xf numFmtId="0" fontId="18" fillId="0" borderId="0" xfId="0" applyFont="1" applyAlignment="1">
      <alignment horizontal="right" vertical="top"/>
    </xf>
    <xf numFmtId="0" fontId="12" fillId="6" borderId="0" xfId="0" applyFont="1" applyFill="1">
      <alignment vertical="top"/>
    </xf>
    <xf numFmtId="0" fontId="12" fillId="6" borderId="0" xfId="0" applyFont="1" applyFill="1" applyAlignment="1">
      <alignment horizontal="right" vertical="top"/>
    </xf>
    <xf numFmtId="0" fontId="12" fillId="0" borderId="6" xfId="0" applyFont="1" applyBorder="1" applyAlignment="1">
      <alignment horizontal="left" vertical="top"/>
    </xf>
    <xf numFmtId="0" fontId="12" fillId="0" borderId="6" xfId="0" quotePrefix="1" applyFont="1" applyBorder="1" applyAlignment="1">
      <alignment horizontal="right" vertical="top"/>
    </xf>
    <xf numFmtId="3" fontId="12" fillId="0" borderId="6" xfId="0" applyNumberFormat="1" applyFont="1" applyBorder="1">
      <alignment vertical="top"/>
    </xf>
    <xf numFmtId="0" fontId="11" fillId="0" borderId="6" xfId="0" quotePrefix="1" applyFont="1" applyBorder="1">
      <alignment vertical="top"/>
    </xf>
    <xf numFmtId="0" fontId="11" fillId="0" borderId="6" xfId="0" quotePrefix="1" applyFont="1" applyBorder="1" applyAlignment="1">
      <alignment horizontal="right" vertical="top"/>
    </xf>
    <xf numFmtId="3" fontId="11" fillId="0" borderId="6" xfId="0" applyNumberFormat="1" applyFont="1" applyBorder="1">
      <alignment vertical="top"/>
    </xf>
    <xf numFmtId="3" fontId="11" fillId="0" borderId="6" xfId="0" applyNumberFormat="1" applyFont="1" applyBorder="1" applyAlignment="1">
      <alignment horizontal="right" vertical="top"/>
    </xf>
    <xf numFmtId="0" fontId="12" fillId="0" borderId="6" xfId="0" applyFont="1" applyBorder="1" applyAlignment="1">
      <alignment horizontal="right" vertical="top"/>
    </xf>
    <xf numFmtId="0" fontId="12" fillId="0" borderId="0" xfId="0" quotePrefix="1" applyFont="1" applyAlignment="1">
      <alignment horizontal="right" vertical="top"/>
    </xf>
    <xf numFmtId="0" fontId="12" fillId="0" borderId="6" xfId="0" quotePrefix="1" applyFont="1" applyBorder="1">
      <alignment vertical="top"/>
    </xf>
    <xf numFmtId="168" fontId="11" fillId="0" borderId="0" xfId="0" applyNumberFormat="1" applyFont="1" applyAlignment="1">
      <alignment vertical="top" wrapText="1"/>
    </xf>
    <xf numFmtId="0" fontId="40" fillId="0" borderId="0" xfId="0" applyFont="1">
      <alignment vertical="top"/>
    </xf>
    <xf numFmtId="174" fontId="12" fillId="0" borderId="0" xfId="2" applyNumberFormat="1" applyFont="1" applyAlignment="1">
      <alignment vertical="top"/>
    </xf>
    <xf numFmtId="0" fontId="41" fillId="0" borderId="0" xfId="0" applyFont="1" applyAlignment="1">
      <alignment horizontal="left" vertical="top" indent="1"/>
    </xf>
    <xf numFmtId="170" fontId="41" fillId="0" borderId="0" xfId="0" applyNumberFormat="1" applyFont="1">
      <alignment vertical="top"/>
    </xf>
    <xf numFmtId="168" fontId="41" fillId="0" borderId="0" xfId="0" applyNumberFormat="1" applyFont="1">
      <alignment vertical="top"/>
    </xf>
    <xf numFmtId="0" fontId="41" fillId="0" borderId="0" xfId="0" applyFont="1">
      <alignment vertical="top"/>
    </xf>
    <xf numFmtId="174" fontId="41" fillId="0" borderId="0" xfId="0" applyNumberFormat="1" applyFont="1">
      <alignment vertical="top"/>
    </xf>
    <xf numFmtId="168" fontId="42" fillId="0" borderId="0" xfId="0" applyNumberFormat="1" applyFont="1">
      <alignment vertical="top"/>
    </xf>
    <xf numFmtId="174" fontId="41" fillId="0" borderId="0" xfId="2" applyNumberFormat="1" applyFont="1" applyAlignment="1">
      <alignment vertical="top"/>
    </xf>
    <xf numFmtId="174" fontId="12" fillId="0" borderId="0" xfId="2" applyNumberFormat="1" applyFont="1" applyAlignment="1">
      <alignment horizontal="right" vertical="top"/>
    </xf>
    <xf numFmtId="168" fontId="14" fillId="0" borderId="0" xfId="0" applyNumberFormat="1" applyFont="1" applyAlignment="1">
      <alignment horizontal="left" vertical="top" wrapText="1" indent="1"/>
    </xf>
    <xf numFmtId="170" fontId="12" fillId="0" borderId="0" xfId="0" applyNumberFormat="1" applyFont="1" applyAlignment="1">
      <alignment horizontal="left" vertical="top"/>
    </xf>
    <xf numFmtId="0" fontId="11" fillId="6" borderId="0" xfId="0" applyFont="1" applyFill="1">
      <alignment vertical="top"/>
    </xf>
    <xf numFmtId="0" fontId="12" fillId="6" borderId="0" xfId="0" applyFont="1" applyFill="1" applyAlignment="1">
      <alignment horizontal="center" vertical="top"/>
    </xf>
    <xf numFmtId="9" fontId="11" fillId="6" borderId="0" xfId="0" applyNumberFormat="1" applyFont="1" applyFill="1">
      <alignment vertical="top"/>
    </xf>
    <xf numFmtId="9" fontId="11" fillId="6" borderId="0" xfId="3" applyFont="1" applyFill="1" applyBorder="1" applyAlignment="1">
      <alignment vertical="top"/>
    </xf>
    <xf numFmtId="0" fontId="20" fillId="6" borderId="0" xfId="0" applyFont="1" applyFill="1" applyAlignment="1">
      <alignment horizontal="center" vertical="top" wrapText="1"/>
    </xf>
    <xf numFmtId="0" fontId="43" fillId="6" borderId="0" xfId="0" applyFont="1" applyFill="1" applyAlignment="1">
      <alignment horizontal="center" vertical="top" wrapText="1"/>
    </xf>
    <xf numFmtId="0" fontId="13" fillId="6" borderId="0" xfId="5" applyFont="1" applyFill="1">
      <alignment vertical="top"/>
    </xf>
    <xf numFmtId="0" fontId="15" fillId="6" borderId="0" xfId="0" applyFont="1" applyFill="1">
      <alignment vertical="top"/>
    </xf>
    <xf numFmtId="17" fontId="11" fillId="6" borderId="0" xfId="0" applyNumberFormat="1" applyFont="1" applyFill="1">
      <alignment vertical="top"/>
    </xf>
    <xf numFmtId="3" fontId="27" fillId="0" borderId="16" xfId="0" applyNumberFormat="1" applyFont="1" applyBorder="1" applyAlignment="1">
      <alignment horizontal="center" vertical="center" wrapText="1"/>
    </xf>
    <xf numFmtId="0" fontId="11" fillId="6" borderId="0" xfId="0" applyFont="1" applyFill="1" applyAlignment="1">
      <alignment horizontal="center" vertical="top"/>
    </xf>
    <xf numFmtId="166" fontId="11" fillId="0" borderId="0" xfId="2" applyFont="1" applyBorder="1" applyAlignment="1">
      <alignment vertical="top"/>
    </xf>
    <xf numFmtId="0" fontId="12" fillId="6" borderId="1"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0" xfId="0" applyFont="1" applyFill="1" applyAlignment="1">
      <alignment vertical="center" wrapText="1"/>
    </xf>
    <xf numFmtId="0" fontId="12" fillId="6" borderId="0" xfId="0" applyFont="1" applyFill="1" applyAlignment="1">
      <alignment horizontal="center" vertical="center" wrapText="1"/>
    </xf>
    <xf numFmtId="0" fontId="12" fillId="6" borderId="0" xfId="0" applyFont="1" applyFill="1" applyAlignment="1">
      <alignment vertical="center"/>
    </xf>
    <xf numFmtId="0" fontId="12" fillId="6" borderId="0" xfId="0" applyFont="1" applyFill="1" applyAlignment="1">
      <alignment vertical="top" wrapText="1"/>
    </xf>
    <xf numFmtId="0" fontId="44" fillId="6" borderId="0" xfId="5" applyFont="1" applyFill="1" applyAlignment="1">
      <alignment vertical="top" wrapText="1"/>
    </xf>
    <xf numFmtId="178" fontId="44" fillId="6" borderId="0" xfId="0" applyNumberFormat="1" applyFont="1" applyFill="1" applyAlignment="1">
      <alignment horizontal="center" vertical="top" wrapText="1"/>
    </xf>
    <xf numFmtId="0" fontId="40" fillId="6" borderId="0" xfId="0" applyFont="1" applyFill="1">
      <alignment vertical="top"/>
    </xf>
    <xf numFmtId="0" fontId="12" fillId="6" borderId="0" xfId="7" applyFont="1" applyFill="1">
      <alignment vertical="top" wrapText="1"/>
    </xf>
    <xf numFmtId="10" fontId="12" fillId="0" borderId="0" xfId="3" applyNumberFormat="1" applyFont="1" applyBorder="1" applyAlignment="1">
      <alignment vertical="top"/>
    </xf>
    <xf numFmtId="0" fontId="11" fillId="5" borderId="0" xfId="0" applyFont="1" applyFill="1" applyAlignment="1">
      <alignment horizontal="center" vertical="top"/>
    </xf>
    <xf numFmtId="0" fontId="12" fillId="6" borderId="0" xfId="0" applyFont="1" applyFill="1" applyAlignment="1">
      <alignment horizontal="center" vertical="top" wrapText="1"/>
    </xf>
    <xf numFmtId="171" fontId="12" fillId="6" borderId="0" xfId="0" applyNumberFormat="1" applyFont="1" applyFill="1" applyAlignment="1">
      <alignment horizontal="center" vertical="top"/>
    </xf>
    <xf numFmtId="0" fontId="26" fillId="6" borderId="0" xfId="0" applyFont="1" applyFill="1" applyAlignment="1"/>
    <xf numFmtId="0" fontId="26" fillId="6" borderId="0" xfId="0" applyFont="1" applyFill="1" applyAlignment="1">
      <alignment horizontal="centerContinuous"/>
    </xf>
    <xf numFmtId="0" fontId="26" fillId="6" borderId="0" xfId="0" applyFont="1" applyFill="1" applyAlignment="1">
      <alignment horizontal="right"/>
    </xf>
    <xf numFmtId="0" fontId="20" fillId="6" borderId="0" xfId="7" applyFont="1" applyFill="1" applyAlignment="1">
      <alignment horizontal="center" vertical="top" wrapText="1"/>
    </xf>
    <xf numFmtId="0" fontId="45" fillId="6" borderId="0" xfId="6" applyFont="1" applyFill="1">
      <alignment vertical="top"/>
    </xf>
    <xf numFmtId="0" fontId="44" fillId="6" borderId="0" xfId="0" applyFont="1" applyFill="1" applyAlignment="1">
      <alignment vertical="top" wrapText="1"/>
    </xf>
    <xf numFmtId="9" fontId="12" fillId="6" borderId="0" xfId="3" quotePrefix="1" applyFont="1" applyFill="1" applyAlignment="1">
      <alignment horizontal="center" vertical="top"/>
    </xf>
    <xf numFmtId="189" fontId="12" fillId="6" borderId="0" xfId="0" applyNumberFormat="1" applyFont="1" applyFill="1" applyAlignment="1">
      <alignment horizontal="center" vertical="top" wrapText="1"/>
    </xf>
    <xf numFmtId="168" fontId="12" fillId="6" borderId="0" xfId="0" applyNumberFormat="1" applyFont="1" applyFill="1">
      <alignment vertical="top"/>
    </xf>
    <xf numFmtId="170" fontId="12" fillId="6" borderId="0" xfId="0" applyNumberFormat="1" applyFont="1" applyFill="1" applyAlignment="1">
      <alignment horizontal="center" vertical="top"/>
    </xf>
    <xf numFmtId="0" fontId="12" fillId="6" borderId="0" xfId="0" applyFont="1" applyFill="1" applyAlignment="1">
      <alignment horizontal="right" vertical="top" wrapText="1"/>
    </xf>
    <xf numFmtId="3" fontId="26" fillId="6" borderId="0" xfId="0" applyNumberFormat="1" applyFont="1" applyFill="1" applyAlignment="1"/>
    <xf numFmtId="3" fontId="26" fillId="0" borderId="0" xfId="0" applyNumberFormat="1" applyFont="1" applyAlignment="1"/>
    <xf numFmtId="3" fontId="26" fillId="0" borderId="18" xfId="0" applyNumberFormat="1" applyFont="1" applyBorder="1" applyAlignment="1"/>
    <xf numFmtId="0" fontId="11" fillId="6" borderId="0" xfId="0" applyFont="1" applyFill="1" applyAlignment="1">
      <alignment vertical="top" wrapText="1"/>
    </xf>
    <xf numFmtId="0" fontId="11" fillId="6" borderId="0" xfId="0" applyFont="1" applyFill="1" applyAlignment="1">
      <alignment horizontal="center" vertical="top" wrapText="1"/>
    </xf>
    <xf numFmtId="165" fontId="11" fillId="0" borderId="0" xfId="0" applyNumberFormat="1" applyFont="1">
      <alignment vertical="top"/>
    </xf>
    <xf numFmtId="1" fontId="27" fillId="0" borderId="0" xfId="0" applyNumberFormat="1" applyFont="1" applyAlignment="1">
      <alignment horizontal="center" vertical="center" wrapText="1"/>
    </xf>
    <xf numFmtId="197" fontId="11" fillId="0" borderId="0" xfId="0" applyNumberFormat="1" applyFont="1">
      <alignment vertical="top"/>
    </xf>
    <xf numFmtId="9" fontId="25" fillId="0" borderId="0" xfId="3" applyFont="1" applyAlignment="1">
      <alignment horizontal="center" vertical="top"/>
    </xf>
    <xf numFmtId="170" fontId="14" fillId="0" borderId="0" xfId="0" applyNumberFormat="1" applyFont="1" applyAlignment="1">
      <alignment vertical="top" wrapText="1"/>
    </xf>
    <xf numFmtId="0" fontId="12" fillId="0" borderId="1" xfId="0" applyFont="1" applyBorder="1" applyAlignment="1">
      <alignment horizontal="right" vertical="top" wrapText="1"/>
    </xf>
    <xf numFmtId="0" fontId="12" fillId="0" borderId="1" xfId="0" quotePrefix="1" applyFont="1" applyBorder="1" applyAlignment="1">
      <alignment horizontal="right" vertical="top" wrapText="1"/>
    </xf>
    <xf numFmtId="0" fontId="11" fillId="0" borderId="1" xfId="0" applyFont="1" applyBorder="1" applyAlignment="1">
      <alignment horizontal="right" vertical="top"/>
    </xf>
    <xf numFmtId="0" fontId="12" fillId="0" borderId="1" xfId="0" quotePrefix="1" applyFont="1" applyBorder="1" applyAlignment="1">
      <alignment horizontal="right" vertical="top"/>
    </xf>
    <xf numFmtId="0" fontId="11" fillId="5" borderId="0" xfId="0" applyFont="1" applyFill="1">
      <alignment vertical="top"/>
    </xf>
    <xf numFmtId="3" fontId="12" fillId="5" borderId="0" xfId="0" applyNumberFormat="1" applyFont="1" applyFill="1">
      <alignment vertical="top"/>
    </xf>
    <xf numFmtId="3" fontId="11" fillId="5" borderId="0" xfId="0" applyNumberFormat="1" applyFont="1" applyFill="1">
      <alignment vertical="top"/>
    </xf>
    <xf numFmtId="3" fontId="11" fillId="5" borderId="0" xfId="0" applyNumberFormat="1" applyFont="1" applyFill="1" applyAlignment="1">
      <alignment horizontal="right" vertical="top"/>
    </xf>
    <xf numFmtId="9" fontId="19" fillId="0" borderId="0" xfId="0" applyNumberFormat="1" applyFont="1">
      <alignment vertical="top"/>
    </xf>
    <xf numFmtId="167" fontId="11" fillId="0" borderId="0" xfId="0" applyNumberFormat="1" applyFont="1" applyAlignment="1">
      <alignment horizontal="center" vertical="center"/>
    </xf>
    <xf numFmtId="0" fontId="11" fillId="0" borderId="0" xfId="0" applyFont="1" applyAlignment="1">
      <alignment horizontal="center" vertical="center"/>
    </xf>
    <xf numFmtId="170" fontId="12" fillId="6" borderId="0" xfId="0" applyNumberFormat="1" applyFont="1" applyFill="1">
      <alignment vertical="top"/>
    </xf>
    <xf numFmtId="181" fontId="11" fillId="0" borderId="0" xfId="2" applyNumberFormat="1" applyFont="1" applyAlignment="1">
      <alignment vertical="top"/>
    </xf>
    <xf numFmtId="181" fontId="48" fillId="0" borderId="2" xfId="2" applyNumberFormat="1" applyFont="1" applyBorder="1" applyAlignment="1">
      <alignment vertical="top"/>
    </xf>
    <xf numFmtId="4" fontId="48" fillId="0" borderId="0" xfId="2" applyNumberFormat="1" applyFont="1" applyAlignment="1">
      <alignment vertical="top"/>
    </xf>
    <xf numFmtId="181" fontId="48" fillId="0" borderId="0" xfId="2" applyNumberFormat="1" applyFont="1" applyAlignment="1">
      <alignment vertical="top"/>
    </xf>
    <xf numFmtId="0" fontId="48" fillId="0" borderId="0" xfId="0" applyFont="1">
      <alignment vertical="top"/>
    </xf>
    <xf numFmtId="9" fontId="48" fillId="0" borderId="0" xfId="0" applyNumberFormat="1" applyFont="1">
      <alignment vertical="top"/>
    </xf>
    <xf numFmtId="9" fontId="11" fillId="4" borderId="0" xfId="3" applyFont="1" applyFill="1" applyAlignment="1">
      <alignment vertical="top"/>
    </xf>
    <xf numFmtId="10" fontId="48" fillId="0" borderId="0" xfId="0" applyNumberFormat="1" applyFont="1">
      <alignment vertical="top"/>
    </xf>
    <xf numFmtId="3" fontId="48" fillId="0" borderId="0" xfId="0" applyNumberFormat="1" applyFont="1">
      <alignment vertical="top"/>
    </xf>
    <xf numFmtId="3" fontId="11" fillId="4" borderId="0" xfId="0" applyNumberFormat="1" applyFont="1" applyFill="1">
      <alignment vertical="top"/>
    </xf>
    <xf numFmtId="167" fontId="11" fillId="4" borderId="0" xfId="0" applyNumberFormat="1" applyFont="1" applyFill="1">
      <alignment vertical="top"/>
    </xf>
    <xf numFmtId="1" fontId="11" fillId="4" borderId="0" xfId="0" applyNumberFormat="1" applyFont="1" applyFill="1">
      <alignment vertical="top"/>
    </xf>
    <xf numFmtId="181" fontId="48" fillId="0" borderId="0" xfId="0" applyNumberFormat="1" applyFont="1">
      <alignment vertical="top"/>
    </xf>
    <xf numFmtId="4" fontId="11" fillId="4" borderId="0" xfId="2" applyNumberFormat="1" applyFont="1" applyFill="1" applyAlignment="1">
      <alignment vertical="top"/>
    </xf>
    <xf numFmtId="181" fontId="11" fillId="4" borderId="0" xfId="2" applyNumberFormat="1" applyFont="1" applyFill="1" applyAlignment="1">
      <alignment vertical="top"/>
    </xf>
    <xf numFmtId="181" fontId="11" fillId="4" borderId="2" xfId="2" applyNumberFormat="1" applyFont="1" applyFill="1" applyBorder="1" applyAlignment="1">
      <alignment vertical="top"/>
    </xf>
    <xf numFmtId="10" fontId="11" fillId="4" borderId="0" xfId="3" applyNumberFormat="1" applyFont="1" applyFill="1" applyAlignment="1">
      <alignment vertical="top"/>
    </xf>
    <xf numFmtId="198" fontId="12" fillId="0" borderId="6" xfId="0" applyNumberFormat="1" applyFont="1" applyBorder="1">
      <alignment vertical="top"/>
    </xf>
    <xf numFmtId="0" fontId="49" fillId="7" borderId="0" xfId="0" applyFont="1" applyFill="1" applyAlignment="1">
      <alignment vertical="center" wrapText="1"/>
    </xf>
    <xf numFmtId="0" fontId="49" fillId="7" borderId="0" xfId="0" applyFont="1" applyFill="1" applyAlignment="1">
      <alignment horizontal="center" vertical="center" wrapText="1"/>
    </xf>
    <xf numFmtId="0" fontId="50" fillId="0" borderId="0" xfId="12" applyAlignment="1">
      <alignment horizontal="left" vertical="center" wrapText="1"/>
    </xf>
    <xf numFmtId="0" fontId="51" fillId="0" borderId="0" xfId="0" applyFont="1" applyAlignment="1">
      <alignment vertical="center"/>
    </xf>
    <xf numFmtId="200" fontId="11" fillId="0" borderId="0" xfId="0" applyNumberFormat="1" applyFont="1">
      <alignment vertical="top"/>
    </xf>
    <xf numFmtId="3" fontId="11" fillId="0" borderId="0" xfId="0" applyNumberFormat="1" applyFont="1" applyAlignment="1">
      <alignment horizontal="right" vertical="center"/>
    </xf>
    <xf numFmtId="181" fontId="12" fillId="0" borderId="0" xfId="0" applyNumberFormat="1" applyFont="1">
      <alignment vertical="top"/>
    </xf>
    <xf numFmtId="181" fontId="12" fillId="0" borderId="1" xfId="0" applyNumberFormat="1" applyFont="1" applyBorder="1">
      <alignment vertical="top"/>
    </xf>
    <xf numFmtId="3" fontId="51" fillId="0" borderId="0" xfId="0" applyNumberFormat="1" applyFont="1" applyAlignment="1">
      <alignment horizontal="center" vertical="center"/>
    </xf>
    <xf numFmtId="3" fontId="51" fillId="0" borderId="16" xfId="0" applyNumberFormat="1" applyFont="1" applyBorder="1" applyAlignment="1">
      <alignment horizontal="center" vertical="center"/>
    </xf>
    <xf numFmtId="0" fontId="51" fillId="0" borderId="0" xfId="0" applyFont="1" applyAlignment="1"/>
    <xf numFmtId="0" fontId="51" fillId="0" borderId="16" xfId="0" applyFont="1" applyBorder="1" applyAlignment="1"/>
    <xf numFmtId="0" fontId="12" fillId="6" borderId="0" xfId="0" applyFont="1" applyFill="1" applyAlignment="1">
      <alignment horizontal="center" vertical="center"/>
    </xf>
    <xf numFmtId="2" fontId="11" fillId="0" borderId="0" xfId="0" applyNumberFormat="1" applyFont="1" applyAlignment="1">
      <alignment horizontal="center" vertical="center"/>
    </xf>
    <xf numFmtId="9" fontId="11" fillId="0" borderId="0" xfId="3" applyFont="1" applyBorder="1" applyAlignment="1">
      <alignment horizontal="center" vertical="center"/>
    </xf>
    <xf numFmtId="171" fontId="11" fillId="0" borderId="0" xfId="3" applyNumberFormat="1" applyFont="1" applyBorder="1" applyAlignment="1">
      <alignment horizontal="center" vertical="center"/>
    </xf>
    <xf numFmtId="1" fontId="11" fillId="0" borderId="16" xfId="0" applyNumberFormat="1" applyFont="1" applyBorder="1" applyAlignment="1">
      <alignment horizontal="center" vertical="center"/>
    </xf>
    <xf numFmtId="2" fontId="11" fillId="0" borderId="16" xfId="0" applyNumberFormat="1" applyFont="1" applyBorder="1" applyAlignment="1">
      <alignment horizontal="center" vertical="center"/>
    </xf>
    <xf numFmtId="0" fontId="11" fillId="0" borderId="16" xfId="0" applyFont="1" applyBorder="1" applyAlignment="1">
      <alignment horizontal="center" vertical="center"/>
    </xf>
    <xf numFmtId="9" fontId="11" fillId="0" borderId="16" xfId="3" applyFont="1" applyBorder="1" applyAlignment="1">
      <alignment horizontal="center" vertical="center"/>
    </xf>
    <xf numFmtId="171" fontId="11" fillId="0" borderId="16" xfId="3" applyNumberFormat="1" applyFont="1" applyBorder="1" applyAlignment="1">
      <alignment horizontal="center" vertical="center"/>
    </xf>
    <xf numFmtId="167" fontId="11" fillId="0" borderId="16" xfId="0" applyNumberFormat="1" applyFont="1" applyBorder="1" applyAlignment="1">
      <alignment horizontal="center" vertical="center"/>
    </xf>
    <xf numFmtId="183" fontId="11" fillId="0" borderId="0" xfId="0" applyNumberFormat="1" applyFont="1" applyAlignment="1">
      <alignment horizontal="right" vertical="top"/>
    </xf>
    <xf numFmtId="171" fontId="12" fillId="0" borderId="0" xfId="3" applyNumberFormat="1" applyFont="1" applyAlignment="1">
      <alignment horizontal="right" vertical="top"/>
    </xf>
    <xf numFmtId="167" fontId="11" fillId="0" borderId="0" xfId="0" applyNumberFormat="1" applyFont="1" applyAlignment="1">
      <alignment horizontal="right" vertical="top"/>
    </xf>
    <xf numFmtId="181" fontId="11" fillId="0" borderId="0" xfId="0" applyNumberFormat="1" applyFont="1" applyAlignment="1">
      <alignment horizontal="right" vertical="top"/>
    </xf>
    <xf numFmtId="0" fontId="49" fillId="7" borderId="0" xfId="0" quotePrefix="1" applyFont="1" applyFill="1" applyAlignment="1">
      <alignment horizontal="center" vertical="center" wrapText="1"/>
    </xf>
    <xf numFmtId="0" fontId="21" fillId="0" borderId="0" xfId="0" applyFont="1" applyAlignment="1">
      <alignment horizontal="center" vertical="top" wrapText="1"/>
    </xf>
    <xf numFmtId="199" fontId="11" fillId="0" borderId="0" xfId="0" applyNumberFormat="1" applyFont="1" applyAlignment="1">
      <alignment horizontal="center" vertical="top"/>
    </xf>
    <xf numFmtId="3" fontId="11" fillId="0" borderId="0" xfId="0" applyNumberFormat="1" applyFont="1" applyAlignment="1">
      <alignment horizontal="center" vertical="top"/>
    </xf>
    <xf numFmtId="0" fontId="13" fillId="6" borderId="0" xfId="0" applyFont="1" applyFill="1" applyAlignment="1">
      <alignment horizontal="center" vertical="center"/>
    </xf>
    <xf numFmtId="183" fontId="12" fillId="0" borderId="1" xfId="0" applyNumberFormat="1" applyFont="1" applyBorder="1" applyAlignment="1">
      <alignment horizontal="center" vertical="center"/>
    </xf>
    <xf numFmtId="183" fontId="11" fillId="0" borderId="0" xfId="0" applyNumberFormat="1" applyFont="1" applyAlignment="1">
      <alignment horizontal="center" vertical="center"/>
    </xf>
    <xf numFmtId="183" fontId="11" fillId="0" borderId="1" xfId="0" applyNumberFormat="1" applyFont="1" applyBorder="1" applyAlignment="1">
      <alignment horizontal="center" vertical="center"/>
    </xf>
    <xf numFmtId="183" fontId="12" fillId="0" borderId="0" xfId="0" applyNumberFormat="1" applyFont="1" applyAlignment="1">
      <alignment horizontal="center" vertical="center"/>
    </xf>
    <xf numFmtId="9" fontId="12" fillId="0" borderId="0" xfId="3" applyFont="1" applyBorder="1" applyAlignment="1">
      <alignment horizontal="center" vertical="center"/>
    </xf>
    <xf numFmtId="183" fontId="12" fillId="0" borderId="6" xfId="0" applyNumberFormat="1" applyFont="1" applyBorder="1" applyAlignment="1">
      <alignment horizontal="center" vertical="center"/>
    </xf>
    <xf numFmtId="198" fontId="12" fillId="0" borderId="6" xfId="0" applyNumberFormat="1" applyFont="1" applyBorder="1" applyAlignment="1">
      <alignment horizontal="center" vertical="center"/>
    </xf>
    <xf numFmtId="182" fontId="11" fillId="0" borderId="0" xfId="0" applyNumberFormat="1" applyFont="1" applyAlignment="1">
      <alignment horizontal="center" vertical="center"/>
    </xf>
    <xf numFmtId="9" fontId="11" fillId="0" borderId="0" xfId="3" applyFont="1" applyAlignment="1">
      <alignment horizontal="center" vertical="center"/>
    </xf>
    <xf numFmtId="171" fontId="12" fillId="0" borderId="0" xfId="3" applyNumberFormat="1" applyFont="1" applyAlignment="1">
      <alignment horizontal="center" vertical="center"/>
    </xf>
    <xf numFmtId="9" fontId="12" fillId="0" borderId="0" xfId="3" applyFont="1" applyAlignment="1">
      <alignment horizontal="center" vertical="center"/>
    </xf>
    <xf numFmtId="169" fontId="12" fillId="0" borderId="0" xfId="0" applyNumberFormat="1" applyFont="1" applyAlignment="1">
      <alignment horizontal="center" vertical="center"/>
    </xf>
    <xf numFmtId="181" fontId="11" fillId="0" borderId="0" xfId="0" applyNumberFormat="1" applyFont="1" applyAlignment="1">
      <alignment horizontal="center" vertical="center"/>
    </xf>
    <xf numFmtId="171" fontId="11" fillId="0" borderId="0" xfId="3" applyNumberFormat="1" applyFont="1" applyAlignment="1">
      <alignment horizontal="center" vertical="center"/>
    </xf>
    <xf numFmtId="0" fontId="12" fillId="0" borderId="16" xfId="0" applyFont="1" applyBorder="1">
      <alignment vertical="top"/>
    </xf>
    <xf numFmtId="171" fontId="12" fillId="0" borderId="16" xfId="0" applyNumberFormat="1" applyFont="1" applyBorder="1">
      <alignment vertical="top"/>
    </xf>
    <xf numFmtId="171" fontId="12" fillId="0" borderId="16" xfId="0" applyNumberFormat="1" applyFont="1" applyBorder="1" applyAlignment="1">
      <alignment horizontal="center" vertical="center"/>
    </xf>
    <xf numFmtId="183" fontId="12" fillId="0" borderId="16" xfId="0" applyNumberFormat="1" applyFont="1" applyBorder="1" applyAlignment="1">
      <alignment horizontal="center" vertical="top"/>
    </xf>
    <xf numFmtId="0" fontId="11" fillId="5" borderId="0" xfId="0" applyFont="1" applyFill="1" applyAlignment="1">
      <alignment vertical="center"/>
    </xf>
    <xf numFmtId="0" fontId="52" fillId="5" borderId="0" xfId="0" applyFont="1" applyFill="1" applyAlignment="1">
      <alignment vertical="center"/>
    </xf>
    <xf numFmtId="0" fontId="11" fillId="5" borderId="0" xfId="0" applyFont="1" applyFill="1" applyAlignment="1"/>
    <xf numFmtId="0" fontId="12" fillId="5" borderId="0" xfId="0" applyFont="1" applyFill="1" applyAlignment="1">
      <alignment vertical="center"/>
    </xf>
    <xf numFmtId="0" fontId="53" fillId="9" borderId="0" xfId="0" applyFont="1" applyFill="1" applyAlignment="1">
      <alignment vertical="center"/>
    </xf>
    <xf numFmtId="0" fontId="53" fillId="9" borderId="19" xfId="0" applyFont="1" applyFill="1" applyBorder="1" applyAlignment="1">
      <alignment horizontal="center" vertical="center"/>
    </xf>
    <xf numFmtId="0" fontId="53" fillId="5" borderId="0" xfId="0" applyFont="1" applyFill="1" applyAlignment="1">
      <alignment vertical="center" wrapText="1"/>
    </xf>
    <xf numFmtId="194" fontId="53" fillId="8" borderId="0" xfId="0" applyNumberFormat="1" applyFont="1" applyFill="1" applyAlignment="1">
      <alignment horizontal="center" vertical="center"/>
    </xf>
    <xf numFmtId="0" fontId="54" fillId="5" borderId="0" xfId="0" applyFont="1" applyFill="1" applyAlignment="1">
      <alignment horizontal="right" vertical="center" wrapText="1"/>
    </xf>
    <xf numFmtId="194" fontId="55" fillId="8" borderId="0" xfId="0" applyNumberFormat="1" applyFont="1" applyFill="1" applyAlignment="1">
      <alignment horizontal="right" vertical="center"/>
    </xf>
    <xf numFmtId="201" fontId="55" fillId="8" borderId="0" xfId="0" applyNumberFormat="1" applyFont="1" applyFill="1" applyAlignment="1">
      <alignment horizontal="right" vertical="center"/>
    </xf>
    <xf numFmtId="0" fontId="52" fillId="5" borderId="0" xfId="0" applyFont="1" applyFill="1" applyAlignment="1">
      <alignment vertical="center" wrapText="1"/>
    </xf>
    <xf numFmtId="194" fontId="52" fillId="8" borderId="0" xfId="0" applyNumberFormat="1" applyFont="1" applyFill="1" applyAlignment="1">
      <alignment horizontal="center" vertical="center"/>
    </xf>
    <xf numFmtId="0" fontId="53" fillId="5" borderId="20" xfId="0" applyFont="1" applyFill="1" applyBorder="1" applyAlignment="1">
      <alignment vertical="center" wrapText="1"/>
    </xf>
    <xf numFmtId="194" fontId="53" fillId="8" borderId="20" xfId="0" applyNumberFormat="1" applyFont="1" applyFill="1" applyBorder="1" applyAlignment="1">
      <alignment horizontal="center" vertical="center"/>
    </xf>
    <xf numFmtId="0" fontId="52" fillId="5" borderId="0" xfId="0" quotePrefix="1" applyFont="1" applyFill="1" applyAlignment="1">
      <alignment vertical="center" wrapText="1"/>
    </xf>
    <xf numFmtId="194" fontId="52" fillId="8" borderId="21" xfId="0" applyNumberFormat="1" applyFont="1" applyFill="1" applyBorder="1" applyAlignment="1">
      <alignment horizontal="center" vertical="center"/>
    </xf>
    <xf numFmtId="0" fontId="53" fillId="5" borderId="22" xfId="0" quotePrefix="1" applyFont="1" applyFill="1" applyBorder="1" applyAlignment="1">
      <alignment vertical="center" wrapText="1"/>
    </xf>
    <xf numFmtId="194" fontId="53" fillId="8" borderId="22" xfId="0" applyNumberFormat="1" applyFont="1" applyFill="1" applyBorder="1" applyAlignment="1">
      <alignment horizontal="center" vertical="center"/>
    </xf>
    <xf numFmtId="0" fontId="53" fillId="5" borderId="6" xfId="0" quotePrefix="1" applyFont="1" applyFill="1" applyBorder="1" applyAlignment="1">
      <alignment vertical="center" wrapText="1"/>
    </xf>
    <xf numFmtId="194" fontId="53" fillId="8" borderId="6" xfId="0" applyNumberFormat="1" applyFont="1" applyFill="1" applyBorder="1" applyAlignment="1">
      <alignment horizontal="center" vertical="center"/>
    </xf>
    <xf numFmtId="171" fontId="52" fillId="5" borderId="0" xfId="3" applyNumberFormat="1" applyFont="1" applyFill="1" applyAlignment="1">
      <alignment vertical="center"/>
    </xf>
    <xf numFmtId="0" fontId="53" fillId="5" borderId="0" xfId="0" applyFont="1" applyFill="1" applyAlignment="1">
      <alignment vertical="center"/>
    </xf>
    <xf numFmtId="193" fontId="52" fillId="5" borderId="0" xfId="0" applyNumberFormat="1" applyFont="1" applyFill="1" applyAlignment="1">
      <alignment vertical="center"/>
    </xf>
    <xf numFmtId="0" fontId="56" fillId="5" borderId="0" xfId="0" applyFont="1" applyFill="1" applyAlignment="1"/>
    <xf numFmtId="202" fontId="52" fillId="8" borderId="0" xfId="0" applyNumberFormat="1" applyFont="1" applyFill="1" applyAlignment="1">
      <alignment horizontal="center" vertical="center"/>
    </xf>
    <xf numFmtId="0" fontId="52" fillId="5" borderId="21" xfId="0" applyFont="1" applyFill="1" applyBorder="1" applyAlignment="1">
      <alignment vertical="center" wrapText="1"/>
    </xf>
    <xf numFmtId="0" fontId="52" fillId="5" borderId="16" xfId="0" applyFont="1" applyFill="1" applyBorder="1" applyAlignment="1">
      <alignment vertical="center" wrapText="1"/>
    </xf>
    <xf numFmtId="194" fontId="52" fillId="8" borderId="16" xfId="0" applyNumberFormat="1" applyFont="1" applyFill="1" applyBorder="1" applyAlignment="1">
      <alignment horizontal="center" vertical="center"/>
    </xf>
    <xf numFmtId="0" fontId="57" fillId="5" borderId="0" xfId="0" applyFont="1" applyFill="1" applyAlignment="1">
      <alignment vertical="center" wrapText="1"/>
    </xf>
    <xf numFmtId="194" fontId="57" fillId="5" borderId="0" xfId="0" applyNumberFormat="1" applyFont="1" applyFill="1" applyAlignment="1">
      <alignment horizontal="center" vertical="center"/>
    </xf>
    <xf numFmtId="192" fontId="52" fillId="5" borderId="0" xfId="0" applyNumberFormat="1" applyFont="1" applyFill="1" applyAlignment="1">
      <alignment horizontal="center" vertical="center"/>
    </xf>
    <xf numFmtId="192" fontId="53" fillId="5" borderId="0" xfId="0" applyNumberFormat="1" applyFont="1" applyFill="1" applyAlignment="1">
      <alignment horizontal="center" vertical="center"/>
    </xf>
    <xf numFmtId="192" fontId="57" fillId="5" borderId="0" xfId="0" applyNumberFormat="1" applyFont="1" applyFill="1" applyAlignment="1">
      <alignment horizontal="center" vertical="center"/>
    </xf>
    <xf numFmtId="0" fontId="55" fillId="5" borderId="0" xfId="0" applyFont="1" applyFill="1" applyAlignment="1">
      <alignment horizontal="right" vertical="center" wrapText="1"/>
    </xf>
    <xf numFmtId="0" fontId="18" fillId="5" borderId="0" xfId="0" applyFont="1" applyFill="1" applyAlignment="1">
      <alignment vertical="center"/>
    </xf>
    <xf numFmtId="202" fontId="57" fillId="5" borderId="0" xfId="0" applyNumberFormat="1" applyFont="1" applyFill="1" applyAlignment="1">
      <alignment horizontal="center" vertical="center"/>
    </xf>
    <xf numFmtId="49" fontId="52" fillId="5" borderId="0" xfId="0" applyNumberFormat="1" applyFont="1" applyFill="1" applyAlignment="1">
      <alignment horizontal="center" vertical="center"/>
    </xf>
    <xf numFmtId="203" fontId="52" fillId="5" borderId="0" xfId="0" applyNumberFormat="1" applyFont="1" applyFill="1" applyAlignment="1">
      <alignment horizontal="center" vertical="center"/>
    </xf>
    <xf numFmtId="204" fontId="52" fillId="5" borderId="0" xfId="0" applyNumberFormat="1" applyFont="1" applyFill="1" applyAlignment="1">
      <alignment horizontal="center" vertical="center"/>
    </xf>
    <xf numFmtId="0" fontId="52" fillId="5" borderId="16" xfId="0" applyFont="1" applyFill="1" applyBorder="1" applyAlignment="1">
      <alignment vertical="center"/>
    </xf>
    <xf numFmtId="171" fontId="52" fillId="5" borderId="16" xfId="3" applyNumberFormat="1" applyFont="1" applyFill="1" applyBorder="1" applyAlignment="1">
      <alignment horizontal="center" vertical="center"/>
    </xf>
    <xf numFmtId="3" fontId="52" fillId="5" borderId="0" xfId="0" applyNumberFormat="1" applyFont="1" applyFill="1" applyAlignment="1">
      <alignment vertical="center"/>
    </xf>
    <xf numFmtId="2" fontId="11" fillId="0" borderId="0" xfId="0" applyNumberFormat="1" applyFont="1" applyAlignment="1">
      <alignment horizontal="right" vertical="top"/>
    </xf>
    <xf numFmtId="0" fontId="11" fillId="0" borderId="0" xfId="0" applyFont="1" applyAlignment="1">
      <alignment horizontal="center" vertical="top"/>
    </xf>
    <xf numFmtId="0" fontId="11" fillId="0" borderId="0" xfId="0" applyFont="1" applyAlignment="1">
      <alignment horizontal="left" vertical="top" wrapText="1"/>
    </xf>
    <xf numFmtId="0" fontId="11" fillId="0" borderId="0" xfId="0" applyFont="1" applyAlignment="1">
      <alignment horizontal="left" vertical="top"/>
    </xf>
    <xf numFmtId="167" fontId="11" fillId="0" borderId="0" xfId="0" applyNumberFormat="1" applyFont="1" applyAlignment="1">
      <alignment horizontal="center" vertical="center"/>
    </xf>
    <xf numFmtId="9" fontId="25" fillId="0" borderId="0" xfId="3" applyFont="1" applyAlignment="1">
      <alignment horizontal="center" vertical="top"/>
    </xf>
    <xf numFmtId="170" fontId="11" fillId="0" borderId="0" xfId="2" applyNumberFormat="1" applyFont="1" applyAlignment="1">
      <alignment horizontal="right" vertical="top"/>
    </xf>
    <xf numFmtId="0" fontId="12" fillId="0" borderId="0" xfId="0" applyFont="1" applyAlignment="1">
      <alignment horizontal="center" vertical="top"/>
    </xf>
    <xf numFmtId="168" fontId="11" fillId="0" borderId="0" xfId="0" applyNumberFormat="1" applyFont="1" applyAlignment="1">
      <alignment horizontal="center" vertical="top"/>
    </xf>
    <xf numFmtId="9" fontId="11" fillId="0" borderId="0" xfId="0" applyNumberFormat="1" applyFont="1" applyAlignment="1">
      <alignment horizontal="center" vertical="top"/>
    </xf>
    <xf numFmtId="171" fontId="14" fillId="0" borderId="0" xfId="0" applyNumberFormat="1" applyFont="1" applyAlignment="1">
      <alignment horizontal="center" vertical="top"/>
    </xf>
    <xf numFmtId="0" fontId="12" fillId="6" borderId="0" xfId="0" applyFont="1" applyFill="1" applyAlignment="1">
      <alignment horizontal="center" vertical="top"/>
    </xf>
    <xf numFmtId="0" fontId="9" fillId="0" borderId="0" xfId="0" applyFont="1" applyAlignment="1">
      <alignment horizontal="left"/>
    </xf>
    <xf numFmtId="0" fontId="15" fillId="0" borderId="0" xfId="0" applyFont="1" applyAlignment="1">
      <alignment horizontal="left"/>
    </xf>
    <xf numFmtId="0" fontId="15" fillId="0" borderId="0" xfId="0" applyFont="1" applyAlignment="1">
      <alignment horizontal="center"/>
    </xf>
  </cellXfs>
  <cellStyles count="13">
    <cellStyle name="Comma 2" xfId="10" xr:uid="{BB487DAA-FC91-4EA1-A50F-6FD98BC38195}"/>
    <cellStyle name="Données" xfId="1" xr:uid="{00000000-0005-0000-0000-000000000000}"/>
    <cellStyle name="Milliers" xfId="2" builtinId="3"/>
    <cellStyle name="Normal" xfId="0" builtinId="0"/>
    <cellStyle name="Normal 2" xfId="8" xr:uid="{02697D77-AD59-48BF-B704-D4C534459C1B}"/>
    <cellStyle name="OneDecimal" xfId="11" xr:uid="{6838F1D2-F0FC-4EC6-8137-D42252AC5910}"/>
    <cellStyle name="Percent 2" xfId="9" xr:uid="{E5E181F2-7115-4B7F-8475-9C68A99FDFFD}"/>
    <cellStyle name="Pourcentage" xfId="3" builtinId="5"/>
    <cellStyle name="Résultat" xfId="4" xr:uid="{00000000-0005-0000-0000-000004000000}"/>
    <cellStyle name="TextNormal" xfId="12" xr:uid="{C439D423-4957-41C1-9E94-6CF3E7D269F5}"/>
    <cellStyle name="Titre 1" xfId="5" xr:uid="{00000000-0005-0000-0000-000005000000}"/>
    <cellStyle name="Titre 2" xfId="6" xr:uid="{00000000-0005-0000-0000-000006000000}"/>
    <cellStyle name="TitreLigne" xfId="7" xr:uid="{00000000-0005-0000-0000-00000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charts/_rels/chart36.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sng" strike="noStrike" baseline="0">
                <a:solidFill>
                  <a:srgbClr val="000000"/>
                </a:solidFill>
                <a:latin typeface="Arial"/>
                <a:ea typeface="Arial"/>
                <a:cs typeface="Arial"/>
              </a:defRPr>
            </a:pPr>
            <a:r>
              <a:rPr lang="fr-FR"/>
              <a:t>VAN en fonction du taux d'actualisation</a:t>
            </a:r>
          </a:p>
        </c:rich>
      </c:tx>
      <c:layout>
        <c:manualLayout>
          <c:xMode val="edge"/>
          <c:yMode val="edge"/>
          <c:x val="0.27292142737476999"/>
          <c:y val="3.7068890373943099E-2"/>
        </c:manualLayout>
      </c:layout>
      <c:overlay val="0"/>
      <c:spPr>
        <a:noFill/>
        <a:ln w="25400">
          <a:noFill/>
        </a:ln>
      </c:spPr>
    </c:title>
    <c:autoTitleDeleted val="0"/>
    <c:plotArea>
      <c:layout>
        <c:manualLayout>
          <c:layoutTarget val="inner"/>
          <c:xMode val="edge"/>
          <c:yMode val="edge"/>
          <c:x val="0.113006494632112"/>
          <c:y val="0.166809732196713"/>
          <c:w val="0.83795381868716801"/>
          <c:h val="0.69689399228848903"/>
        </c:manualLayout>
      </c:layout>
      <c:scatterChart>
        <c:scatterStyle val="smoothMarker"/>
        <c:varyColors val="0"/>
        <c:ser>
          <c:idx val="0"/>
          <c:order val="0"/>
          <c:tx>
            <c:strRef>
              <c:f>' Chapitre 17'!$B$98</c:f>
              <c:strCache>
                <c:ptCount val="1"/>
                <c:pt idx="0">
                  <c:v>VAN</c:v>
                </c:pt>
              </c:strCache>
            </c:strRef>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17'!$A$99:$A$103</c:f>
              <c:numCache>
                <c:formatCode>0%</c:formatCode>
                <c:ptCount val="5"/>
                <c:pt idx="0">
                  <c:v>0.05</c:v>
                </c:pt>
                <c:pt idx="1">
                  <c:v>0.1</c:v>
                </c:pt>
                <c:pt idx="2">
                  <c:v>0.15</c:v>
                </c:pt>
                <c:pt idx="3">
                  <c:v>0.2</c:v>
                </c:pt>
                <c:pt idx="4">
                  <c:v>0.25</c:v>
                </c:pt>
              </c:numCache>
            </c:numRef>
          </c:xVal>
          <c:yVal>
            <c:numRef>
              <c:f>' Chapitre 17'!$B$99:$B$103</c:f>
              <c:numCache>
                <c:formatCode>0</c:formatCode>
                <c:ptCount val="5"/>
                <c:pt idx="0">
                  <c:v>401.8430011892458</c:v>
                </c:pt>
                <c:pt idx="1">
                  <c:v>240.2360308225343</c:v>
                </c:pt>
                <c:pt idx="2">
                  <c:v>108.6465294034208</c:v>
                </c:pt>
                <c:pt idx="3">
                  <c:v>0.18364197530866022</c:v>
                </c:pt>
                <c:pt idx="4">
                  <c:v>-90.216000000000008</c:v>
                </c:pt>
              </c:numCache>
            </c:numRef>
          </c:yVal>
          <c:smooth val="1"/>
          <c:extLst>
            <c:ext xmlns:c16="http://schemas.microsoft.com/office/drawing/2014/chart" uri="{C3380CC4-5D6E-409C-BE32-E72D297353CC}">
              <c16:uniqueId val="{00000000-B4A1-41DE-BD42-0815A57EAA7C}"/>
            </c:ext>
          </c:extLst>
        </c:ser>
        <c:dLbls>
          <c:showLegendKey val="0"/>
          <c:showVal val="0"/>
          <c:showCatName val="0"/>
          <c:showSerName val="0"/>
          <c:showPercent val="0"/>
          <c:showBubbleSize val="0"/>
        </c:dLbls>
        <c:axId val="-2131017552"/>
        <c:axId val="-2089499936"/>
      </c:scatterChart>
      <c:valAx>
        <c:axId val="-2131017552"/>
        <c:scaling>
          <c:orientation val="minMax"/>
        </c:scaling>
        <c:delete val="0"/>
        <c:axPos val="b"/>
        <c:title>
          <c:tx>
            <c:rich>
              <a:bodyPr/>
              <a:lstStyle/>
              <a:p>
                <a:pPr>
                  <a:defRPr sz="1025" b="1" i="0" u="none" strike="noStrike" baseline="0">
                    <a:solidFill>
                      <a:srgbClr val="000000"/>
                    </a:solidFill>
                    <a:latin typeface="Arial"/>
                    <a:ea typeface="Arial"/>
                    <a:cs typeface="Arial"/>
                  </a:defRPr>
                </a:pPr>
                <a:r>
                  <a:rPr lang="fr-FR"/>
                  <a:t>Taux</a:t>
                </a:r>
              </a:p>
            </c:rich>
          </c:tx>
          <c:layout>
            <c:manualLayout>
              <c:xMode val="edge"/>
              <c:yMode val="edge"/>
              <c:x val="0.49253766683419897"/>
              <c:y val="0.8970655974276280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fr-FR"/>
          </a:p>
        </c:txPr>
        <c:crossAx val="-2089499936"/>
        <c:crosses val="autoZero"/>
        <c:crossBetween val="midCat"/>
      </c:valAx>
      <c:valAx>
        <c:axId val="-2089499936"/>
        <c:scaling>
          <c:orientation val="minMax"/>
        </c:scaling>
        <c:delete val="0"/>
        <c:axPos val="l"/>
        <c:majorGridlines>
          <c:spPr>
            <a:ln w="3175">
              <a:solidFill>
                <a:srgbClr val="000000"/>
              </a:solidFill>
              <a:prstDash val="solid"/>
            </a:ln>
          </c:spPr>
        </c:majorGridlines>
        <c:title>
          <c:tx>
            <c:rich>
              <a:bodyPr/>
              <a:lstStyle/>
              <a:p>
                <a:pPr>
                  <a:defRPr sz="1025" b="1" i="0" u="none" strike="noStrike" baseline="0">
                    <a:solidFill>
                      <a:srgbClr val="000000"/>
                    </a:solidFill>
                    <a:latin typeface="Arial"/>
                    <a:ea typeface="Arial"/>
                    <a:cs typeface="Arial"/>
                  </a:defRPr>
                </a:pPr>
                <a:r>
                  <a:rPr lang="fr-FR"/>
                  <a:t>VAN</a:t>
                </a:r>
              </a:p>
            </c:rich>
          </c:tx>
          <c:layout>
            <c:manualLayout>
              <c:xMode val="edge"/>
              <c:yMode val="edge"/>
              <c:x val="1.06610822583347E-2"/>
              <c:y val="0.4559467704913269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fr-FR"/>
          </a:p>
        </c:txPr>
        <c:crossAx val="-213101755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24'!#REF!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24'!#REF!</c:f>
              <c:numCache>
                <c:formatCode>General</c:formatCode>
                <c:ptCount val="1"/>
                <c:pt idx="0">
                  <c:v>0</c:v>
                </c:pt>
              </c:numCache>
            </c:numRef>
          </c:xVal>
          <c:yVal>
            <c:numRef>
              <c:f>'Chapitre 24'!#REF!</c:f>
              <c:numCache>
                <c:formatCode>General</c:formatCode>
                <c:ptCount val="1"/>
                <c:pt idx="0">
                  <c:v>0</c:v>
                </c:pt>
              </c:numCache>
            </c:numRef>
          </c:yVal>
          <c:smooth val="1"/>
          <c:extLst>
            <c:ext xmlns:c16="http://schemas.microsoft.com/office/drawing/2014/chart" uri="{C3380CC4-5D6E-409C-BE32-E72D297353CC}">
              <c16:uniqueId val="{00000000-54CD-4C12-8CEA-75DBE7D3D9B5}"/>
            </c:ext>
          </c:extLst>
        </c:ser>
        <c:dLbls>
          <c:showLegendKey val="0"/>
          <c:showVal val="0"/>
          <c:showCatName val="0"/>
          <c:showSerName val="0"/>
          <c:showPercent val="0"/>
          <c:showBubbleSize val="0"/>
        </c:dLbls>
        <c:axId val="-2093066896"/>
        <c:axId val="-2097077600"/>
      </c:scatterChart>
      <c:valAx>
        <c:axId val="-2093066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7077600"/>
        <c:crosses val="autoZero"/>
        <c:crossBetween val="midCat"/>
      </c:valAx>
      <c:valAx>
        <c:axId val="-209707760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306689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24'!#REF!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24'!#REF!</c:f>
              <c:numCache>
                <c:formatCode>General</c:formatCode>
                <c:ptCount val="1"/>
                <c:pt idx="0">
                  <c:v>0</c:v>
                </c:pt>
              </c:numCache>
            </c:numRef>
          </c:xVal>
          <c:yVal>
            <c:numRef>
              <c:f>'Chapitre 24'!#REF!</c:f>
              <c:numCache>
                <c:formatCode>General</c:formatCode>
                <c:ptCount val="1"/>
                <c:pt idx="0">
                  <c:v>0</c:v>
                </c:pt>
              </c:numCache>
            </c:numRef>
          </c:yVal>
          <c:smooth val="1"/>
          <c:extLst>
            <c:ext xmlns:c16="http://schemas.microsoft.com/office/drawing/2014/chart" uri="{C3380CC4-5D6E-409C-BE32-E72D297353CC}">
              <c16:uniqueId val="{00000000-9107-4012-A211-E6B65D2B55B0}"/>
            </c:ext>
          </c:extLst>
        </c:ser>
        <c:dLbls>
          <c:showLegendKey val="0"/>
          <c:showVal val="0"/>
          <c:showCatName val="0"/>
          <c:showSerName val="0"/>
          <c:showPercent val="0"/>
          <c:showBubbleSize val="0"/>
        </c:dLbls>
        <c:axId val="-2072579136"/>
        <c:axId val="-2114066688"/>
      </c:scatterChart>
      <c:valAx>
        <c:axId val="-2072579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4066688"/>
        <c:crosses val="autoZero"/>
        <c:crossBetween val="midCat"/>
      </c:valAx>
      <c:valAx>
        <c:axId val="-21140666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7257913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26'!#REF!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26'!#REF!</c:f>
              <c:numCache>
                <c:formatCode>General</c:formatCode>
                <c:ptCount val="1"/>
                <c:pt idx="0">
                  <c:v>0</c:v>
                </c:pt>
              </c:numCache>
            </c:numRef>
          </c:xVal>
          <c:yVal>
            <c:numRef>
              <c:f>'Chapitre 26'!#REF!</c:f>
              <c:numCache>
                <c:formatCode>General</c:formatCode>
                <c:ptCount val="1"/>
                <c:pt idx="0">
                  <c:v>0</c:v>
                </c:pt>
              </c:numCache>
            </c:numRef>
          </c:yVal>
          <c:smooth val="1"/>
          <c:extLst>
            <c:ext xmlns:c16="http://schemas.microsoft.com/office/drawing/2014/chart" uri="{C3380CC4-5D6E-409C-BE32-E72D297353CC}">
              <c16:uniqueId val="{00000000-698E-4D11-95E0-F54DF668AAAE}"/>
            </c:ext>
          </c:extLst>
        </c:ser>
        <c:dLbls>
          <c:showLegendKey val="0"/>
          <c:showVal val="0"/>
          <c:showCatName val="0"/>
          <c:showSerName val="0"/>
          <c:showPercent val="0"/>
          <c:showBubbleSize val="0"/>
        </c:dLbls>
        <c:axId val="-2075023152"/>
        <c:axId val="-2074735168"/>
      </c:scatterChart>
      <c:valAx>
        <c:axId val="-2075023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74735168"/>
        <c:crosses val="autoZero"/>
        <c:crossBetween val="midCat"/>
      </c:valAx>
      <c:valAx>
        <c:axId val="-207473516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7502315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26'!#REF!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26'!#REF!</c:f>
              <c:numCache>
                <c:formatCode>General</c:formatCode>
                <c:ptCount val="1"/>
                <c:pt idx="0">
                  <c:v>0</c:v>
                </c:pt>
              </c:numCache>
            </c:numRef>
          </c:xVal>
          <c:yVal>
            <c:numRef>
              <c:f>'Chapitre 26'!#REF!</c:f>
              <c:numCache>
                <c:formatCode>General</c:formatCode>
                <c:ptCount val="1"/>
                <c:pt idx="0">
                  <c:v>0</c:v>
                </c:pt>
              </c:numCache>
            </c:numRef>
          </c:yVal>
          <c:smooth val="1"/>
          <c:extLst>
            <c:ext xmlns:c16="http://schemas.microsoft.com/office/drawing/2014/chart" uri="{C3380CC4-5D6E-409C-BE32-E72D297353CC}">
              <c16:uniqueId val="{00000000-044B-4B23-B6C5-918F3D9EA5DE}"/>
            </c:ext>
          </c:extLst>
        </c:ser>
        <c:dLbls>
          <c:showLegendKey val="0"/>
          <c:showVal val="0"/>
          <c:showCatName val="0"/>
          <c:showSerName val="0"/>
          <c:showPercent val="0"/>
          <c:showBubbleSize val="0"/>
        </c:dLbls>
        <c:axId val="-2131575568"/>
        <c:axId val="-2093055920"/>
      </c:scatterChart>
      <c:valAx>
        <c:axId val="-2131575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3055920"/>
        <c:crosses val="autoZero"/>
        <c:crossBetween val="midCat"/>
      </c:valAx>
      <c:valAx>
        <c:axId val="-20930559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57556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27'!#REF!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27'!#REF!</c:f>
              <c:numCache>
                <c:formatCode>General</c:formatCode>
                <c:ptCount val="1"/>
                <c:pt idx="0">
                  <c:v>0</c:v>
                </c:pt>
              </c:numCache>
            </c:numRef>
          </c:xVal>
          <c:yVal>
            <c:numRef>
              <c:f>'Chapitre 27'!#REF!</c:f>
              <c:numCache>
                <c:formatCode>General</c:formatCode>
                <c:ptCount val="1"/>
                <c:pt idx="0">
                  <c:v>0</c:v>
                </c:pt>
              </c:numCache>
            </c:numRef>
          </c:yVal>
          <c:smooth val="1"/>
          <c:extLst>
            <c:ext xmlns:c16="http://schemas.microsoft.com/office/drawing/2014/chart" uri="{C3380CC4-5D6E-409C-BE32-E72D297353CC}">
              <c16:uniqueId val="{00000000-1C89-4B61-B6D8-CD011AC6F1CD}"/>
            </c:ext>
          </c:extLst>
        </c:ser>
        <c:dLbls>
          <c:showLegendKey val="0"/>
          <c:showVal val="0"/>
          <c:showCatName val="0"/>
          <c:showSerName val="0"/>
          <c:showPercent val="0"/>
          <c:showBubbleSize val="0"/>
        </c:dLbls>
        <c:axId val="-2136254544"/>
        <c:axId val="-2136867856"/>
      </c:scatterChart>
      <c:valAx>
        <c:axId val="-21362545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6867856"/>
        <c:crosses val="autoZero"/>
        <c:crossBetween val="midCat"/>
      </c:valAx>
      <c:valAx>
        <c:axId val="-213686785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625454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27'!#REF!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27'!#REF!</c:f>
              <c:numCache>
                <c:formatCode>General</c:formatCode>
                <c:ptCount val="1"/>
                <c:pt idx="0">
                  <c:v>0</c:v>
                </c:pt>
              </c:numCache>
            </c:numRef>
          </c:xVal>
          <c:yVal>
            <c:numRef>
              <c:f>'Chapitre 27'!#REF!</c:f>
              <c:numCache>
                <c:formatCode>General</c:formatCode>
                <c:ptCount val="1"/>
                <c:pt idx="0">
                  <c:v>0</c:v>
                </c:pt>
              </c:numCache>
            </c:numRef>
          </c:yVal>
          <c:smooth val="1"/>
          <c:extLst>
            <c:ext xmlns:c16="http://schemas.microsoft.com/office/drawing/2014/chart" uri="{C3380CC4-5D6E-409C-BE32-E72D297353CC}">
              <c16:uniqueId val="{00000000-A45A-4F03-86C0-B1F3BAA086FA}"/>
            </c:ext>
          </c:extLst>
        </c:ser>
        <c:dLbls>
          <c:showLegendKey val="0"/>
          <c:showVal val="0"/>
          <c:showCatName val="0"/>
          <c:showSerName val="0"/>
          <c:showPercent val="0"/>
          <c:showBubbleSize val="0"/>
        </c:dLbls>
        <c:axId val="-2133535664"/>
        <c:axId val="-2080209872"/>
      </c:scatterChart>
      <c:valAx>
        <c:axId val="-2133535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80209872"/>
        <c:crosses val="autoZero"/>
        <c:crossBetween val="midCat"/>
      </c:valAx>
      <c:valAx>
        <c:axId val="-20802098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35356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28'!#REF!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28'!#REF!</c:f>
              <c:numCache>
                <c:formatCode>General</c:formatCode>
                <c:ptCount val="1"/>
                <c:pt idx="0">
                  <c:v>0</c:v>
                </c:pt>
              </c:numCache>
            </c:numRef>
          </c:xVal>
          <c:yVal>
            <c:numRef>
              <c:f>'Chapitre 28'!#REF!</c:f>
              <c:numCache>
                <c:formatCode>General</c:formatCode>
                <c:ptCount val="1"/>
                <c:pt idx="0">
                  <c:v>0</c:v>
                </c:pt>
              </c:numCache>
            </c:numRef>
          </c:yVal>
          <c:smooth val="1"/>
          <c:extLst>
            <c:ext xmlns:c16="http://schemas.microsoft.com/office/drawing/2014/chart" uri="{C3380CC4-5D6E-409C-BE32-E72D297353CC}">
              <c16:uniqueId val="{00000000-E3BA-402D-A46A-1239A9A2D53C}"/>
            </c:ext>
          </c:extLst>
        </c:ser>
        <c:dLbls>
          <c:showLegendKey val="0"/>
          <c:showVal val="0"/>
          <c:showCatName val="0"/>
          <c:showSerName val="0"/>
          <c:showPercent val="0"/>
          <c:showBubbleSize val="0"/>
        </c:dLbls>
        <c:axId val="-2131062624"/>
        <c:axId val="-2131444736"/>
      </c:scatterChart>
      <c:valAx>
        <c:axId val="-2131062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444736"/>
        <c:crosses val="autoZero"/>
        <c:crossBetween val="midCat"/>
      </c:valAx>
      <c:valAx>
        <c:axId val="-21314447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06262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28'!#REF!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28'!#REF!</c:f>
              <c:numCache>
                <c:formatCode>General</c:formatCode>
                <c:ptCount val="1"/>
                <c:pt idx="0">
                  <c:v>0</c:v>
                </c:pt>
              </c:numCache>
            </c:numRef>
          </c:xVal>
          <c:yVal>
            <c:numRef>
              <c:f>'Chapitre 28'!#REF!</c:f>
              <c:numCache>
                <c:formatCode>General</c:formatCode>
                <c:ptCount val="1"/>
                <c:pt idx="0">
                  <c:v>0</c:v>
                </c:pt>
              </c:numCache>
            </c:numRef>
          </c:yVal>
          <c:smooth val="1"/>
          <c:extLst>
            <c:ext xmlns:c16="http://schemas.microsoft.com/office/drawing/2014/chart" uri="{C3380CC4-5D6E-409C-BE32-E72D297353CC}">
              <c16:uniqueId val="{00000000-9115-4BE0-B68E-3256CA775818}"/>
            </c:ext>
          </c:extLst>
        </c:ser>
        <c:dLbls>
          <c:showLegendKey val="0"/>
          <c:showVal val="0"/>
          <c:showCatName val="0"/>
          <c:showSerName val="0"/>
          <c:showPercent val="0"/>
          <c:showBubbleSize val="0"/>
        </c:dLbls>
        <c:axId val="-2136239152"/>
        <c:axId val="-2091131472"/>
      </c:scatterChart>
      <c:valAx>
        <c:axId val="-21362391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1131472"/>
        <c:crosses val="autoZero"/>
        <c:crossBetween val="midCat"/>
      </c:valAx>
      <c:valAx>
        <c:axId val="-20911314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623915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 Chapitre 29'!#REF!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29'!#REF!</c:f>
              <c:numCache>
                <c:formatCode>General</c:formatCode>
                <c:ptCount val="1"/>
                <c:pt idx="0">
                  <c:v>1</c:v>
                </c:pt>
              </c:numCache>
            </c:numRef>
          </c:xVal>
          <c:yVal>
            <c:numRef>
              <c:f>' Chapitre 29'!#REF!</c:f>
              <c:numCache>
                <c:formatCode>General</c:formatCode>
                <c:ptCount val="1"/>
                <c:pt idx="0">
                  <c:v>1</c:v>
                </c:pt>
              </c:numCache>
            </c:numRef>
          </c:yVal>
          <c:smooth val="1"/>
          <c:extLst>
            <c:ext xmlns:c16="http://schemas.microsoft.com/office/drawing/2014/chart" uri="{C3380CC4-5D6E-409C-BE32-E72D297353CC}">
              <c16:uniqueId val="{00000000-F03A-4880-87A5-8054EB024511}"/>
            </c:ext>
          </c:extLst>
        </c:ser>
        <c:dLbls>
          <c:showLegendKey val="0"/>
          <c:showVal val="0"/>
          <c:showCatName val="0"/>
          <c:showSerName val="0"/>
          <c:showPercent val="0"/>
          <c:showBubbleSize val="0"/>
        </c:dLbls>
        <c:axId val="-2116399664"/>
        <c:axId val="-2131253056"/>
      </c:scatterChart>
      <c:valAx>
        <c:axId val="-2116399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253056"/>
        <c:crosses val="autoZero"/>
        <c:crossBetween val="midCat"/>
      </c:valAx>
      <c:valAx>
        <c:axId val="-213125305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63996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 Chapitre 29'!#REF!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29'!#REF!</c:f>
              <c:numCache>
                <c:formatCode>General</c:formatCode>
                <c:ptCount val="1"/>
                <c:pt idx="0">
                  <c:v>1</c:v>
                </c:pt>
              </c:numCache>
            </c:numRef>
          </c:xVal>
          <c:yVal>
            <c:numRef>
              <c:f>' Chapitre 29'!#REF!</c:f>
              <c:numCache>
                <c:formatCode>General</c:formatCode>
                <c:ptCount val="1"/>
                <c:pt idx="0">
                  <c:v>1</c:v>
                </c:pt>
              </c:numCache>
            </c:numRef>
          </c:yVal>
          <c:smooth val="1"/>
          <c:extLst>
            <c:ext xmlns:c16="http://schemas.microsoft.com/office/drawing/2014/chart" uri="{C3380CC4-5D6E-409C-BE32-E72D297353CC}">
              <c16:uniqueId val="{00000000-83B0-4237-BD2F-362E7CD4F898}"/>
            </c:ext>
          </c:extLst>
        </c:ser>
        <c:dLbls>
          <c:showLegendKey val="0"/>
          <c:showVal val="0"/>
          <c:showCatName val="0"/>
          <c:showSerName val="0"/>
          <c:showPercent val="0"/>
          <c:showBubbleSize val="0"/>
        </c:dLbls>
        <c:axId val="-2092138816"/>
        <c:axId val="-2092264480"/>
      </c:scatterChart>
      <c:valAx>
        <c:axId val="-2092138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264480"/>
        <c:crosses val="autoZero"/>
        <c:crossBetween val="midCat"/>
      </c:valAx>
      <c:valAx>
        <c:axId val="-209226448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13881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fr-FR"/>
              <a:t>VAN comparées</a:t>
            </a:r>
          </a:p>
        </c:rich>
      </c:tx>
      <c:layout>
        <c:manualLayout>
          <c:xMode val="edge"/>
          <c:yMode val="edge"/>
          <c:x val="0.44257206865878201"/>
          <c:y val="4.7215927277383003E-2"/>
        </c:manualLayout>
      </c:layout>
      <c:overlay val="0"/>
      <c:spPr>
        <a:noFill/>
        <a:ln w="25400">
          <a:noFill/>
        </a:ln>
      </c:spPr>
    </c:title>
    <c:autoTitleDeleted val="0"/>
    <c:plotArea>
      <c:layout>
        <c:manualLayout>
          <c:layoutTarget val="inner"/>
          <c:xMode val="edge"/>
          <c:yMode val="edge"/>
          <c:x val="8.3763658970675697E-2"/>
          <c:y val="0.212472418374238"/>
          <c:w val="0.74762191140991097"/>
          <c:h val="0.64331926674422002"/>
        </c:manualLayout>
      </c:layout>
      <c:scatterChart>
        <c:scatterStyle val="smoothMarker"/>
        <c:varyColors val="0"/>
        <c:ser>
          <c:idx val="0"/>
          <c:order val="0"/>
          <c:tx>
            <c:strRef>
              <c:f>'Chapitre 18'!$A$47</c:f>
              <c:strCache>
                <c:ptCount val="1"/>
                <c:pt idx="0">
                  <c:v>VAN Titre 1</c:v>
                </c:pt>
              </c:strCache>
            </c:strRef>
          </c:tx>
          <c:spPr>
            <a:ln w="12700">
              <a:solidFill>
                <a:srgbClr val="000090"/>
              </a:solidFill>
              <a:prstDash val="solid"/>
            </a:ln>
          </c:spPr>
          <c:marker>
            <c:symbol val="none"/>
          </c:marker>
          <c:xVal>
            <c:numRef>
              <c:f>'Chapitre 18'!$B$46:$N$46</c:f>
              <c:numCache>
                <c:formatCode>0%</c:formatCode>
                <c:ptCount val="13"/>
                <c:pt idx="0">
                  <c:v>0.09</c:v>
                </c:pt>
                <c:pt idx="1">
                  <c:v>9.9999999999999992E-2</c:v>
                </c:pt>
                <c:pt idx="2">
                  <c:v>0.10999999999999999</c:v>
                </c:pt>
                <c:pt idx="3">
                  <c:v>0.11999999999999998</c:v>
                </c:pt>
                <c:pt idx="4">
                  <c:v>0.12999999999999998</c:v>
                </c:pt>
                <c:pt idx="5">
                  <c:v>0.13999999999999999</c:v>
                </c:pt>
                <c:pt idx="6">
                  <c:v>0.15</c:v>
                </c:pt>
                <c:pt idx="7">
                  <c:v>0.16</c:v>
                </c:pt>
                <c:pt idx="8">
                  <c:v>0.17</c:v>
                </c:pt>
                <c:pt idx="9">
                  <c:v>0.18000000000000002</c:v>
                </c:pt>
                <c:pt idx="10">
                  <c:v>0.19000000000000003</c:v>
                </c:pt>
                <c:pt idx="11">
                  <c:v>0.20000000000000004</c:v>
                </c:pt>
                <c:pt idx="12">
                  <c:v>0.21000000000000005</c:v>
                </c:pt>
              </c:numCache>
            </c:numRef>
          </c:xVal>
          <c:yVal>
            <c:numRef>
              <c:f>'Chapitre 18'!$B$47:$N$47</c:f>
              <c:numCache>
                <c:formatCode>0.000</c:formatCode>
                <c:ptCount val="13"/>
                <c:pt idx="0">
                  <c:v>0.48591859023093176</c:v>
                </c:pt>
                <c:pt idx="1">
                  <c:v>0.35526069946222483</c:v>
                </c:pt>
                <c:pt idx="2">
                  <c:v>0.23053785373825852</c:v>
                </c:pt>
                <c:pt idx="3">
                  <c:v>0.11140732352232741</c:v>
                </c:pt>
                <c:pt idx="4">
                  <c:v>-2.4502110241529373E-3</c:v>
                </c:pt>
                <c:pt idx="5">
                  <c:v>-0.11133248345748997</c:v>
                </c:pt>
                <c:pt idx="6">
                  <c:v>-0.21551730607704078</c:v>
                </c:pt>
                <c:pt idx="7">
                  <c:v>-0.315264091671348</c:v>
                </c:pt>
                <c:pt idx="8">
                  <c:v>-0.41081524553058452</c:v>
                </c:pt>
                <c:pt idx="9">
                  <c:v>-0.50239743987974805</c:v>
                </c:pt>
                <c:pt idx="10">
                  <c:v>-0.59022278164974096</c:v>
                </c:pt>
                <c:pt idx="11">
                  <c:v>-0.6744898834019204</c:v>
                </c:pt>
                <c:pt idx="12">
                  <c:v>-0.75538484623979396</c:v>
                </c:pt>
              </c:numCache>
            </c:numRef>
          </c:yVal>
          <c:smooth val="1"/>
          <c:extLst>
            <c:ext xmlns:c16="http://schemas.microsoft.com/office/drawing/2014/chart" uri="{C3380CC4-5D6E-409C-BE32-E72D297353CC}">
              <c16:uniqueId val="{00000000-5DB4-45B0-AB89-FF0D9CADF527}"/>
            </c:ext>
          </c:extLst>
        </c:ser>
        <c:ser>
          <c:idx val="1"/>
          <c:order val="1"/>
          <c:tx>
            <c:strRef>
              <c:f>'Chapitre 18'!$A$48</c:f>
              <c:strCache>
                <c:ptCount val="1"/>
                <c:pt idx="0">
                  <c:v>VAN Titre 2</c:v>
                </c:pt>
              </c:strCache>
            </c:strRef>
          </c:tx>
          <c:spPr>
            <a:ln w="12700">
              <a:solidFill>
                <a:srgbClr val="F20884"/>
              </a:solidFill>
              <a:prstDash val="solid"/>
            </a:ln>
          </c:spPr>
          <c:marker>
            <c:symbol val="none"/>
          </c:marker>
          <c:xVal>
            <c:numRef>
              <c:f>'Chapitre 18'!$B$46:$N$46</c:f>
              <c:numCache>
                <c:formatCode>0%</c:formatCode>
                <c:ptCount val="13"/>
                <c:pt idx="0">
                  <c:v>0.09</c:v>
                </c:pt>
                <c:pt idx="1">
                  <c:v>9.9999999999999992E-2</c:v>
                </c:pt>
                <c:pt idx="2">
                  <c:v>0.10999999999999999</c:v>
                </c:pt>
                <c:pt idx="3">
                  <c:v>0.11999999999999998</c:v>
                </c:pt>
                <c:pt idx="4">
                  <c:v>0.12999999999999998</c:v>
                </c:pt>
                <c:pt idx="5">
                  <c:v>0.13999999999999999</c:v>
                </c:pt>
                <c:pt idx="6">
                  <c:v>0.15</c:v>
                </c:pt>
                <c:pt idx="7">
                  <c:v>0.16</c:v>
                </c:pt>
                <c:pt idx="8">
                  <c:v>0.17</c:v>
                </c:pt>
                <c:pt idx="9">
                  <c:v>0.18000000000000002</c:v>
                </c:pt>
                <c:pt idx="10">
                  <c:v>0.19000000000000003</c:v>
                </c:pt>
                <c:pt idx="11">
                  <c:v>0.20000000000000004</c:v>
                </c:pt>
                <c:pt idx="12">
                  <c:v>0.21000000000000005</c:v>
                </c:pt>
              </c:numCache>
            </c:numRef>
          </c:xVal>
          <c:yVal>
            <c:numRef>
              <c:f>'Chapitre 18'!$B$48:$N$48</c:f>
              <c:numCache>
                <c:formatCode>0.000</c:formatCode>
                <c:ptCount val="13"/>
                <c:pt idx="0">
                  <c:v>0.71403248799112906</c:v>
                </c:pt>
                <c:pt idx="1">
                  <c:v>0.55394874915399361</c:v>
                </c:pt>
                <c:pt idx="2">
                  <c:v>0.40010719354667768</c:v>
                </c:pt>
                <c:pt idx="3">
                  <c:v>0.25218981372159077</c:v>
                </c:pt>
                <c:pt idx="4">
                  <c:v>0.10989811010715289</c:v>
                </c:pt>
                <c:pt idx="5">
                  <c:v>-2.7048291249088918E-2</c:v>
                </c:pt>
                <c:pt idx="6">
                  <c:v>-0.15891291063885038</c:v>
                </c:pt>
                <c:pt idx="7">
                  <c:v>-0.2859435860955416</c:v>
                </c:pt>
                <c:pt idx="8">
                  <c:v>-0.4083735530425634</c:v>
                </c:pt>
                <c:pt idx="9">
                  <c:v>-0.52642244014705097</c:v>
                </c:pt>
                <c:pt idx="10">
                  <c:v>-0.64029718858353479</c:v>
                </c:pt>
                <c:pt idx="11">
                  <c:v>-0.75019290123456728</c:v>
                </c:pt>
                <c:pt idx="12">
                  <c:v>-0.85629362774682316</c:v>
                </c:pt>
              </c:numCache>
            </c:numRef>
          </c:yVal>
          <c:smooth val="1"/>
          <c:extLst>
            <c:ext xmlns:c16="http://schemas.microsoft.com/office/drawing/2014/chart" uri="{C3380CC4-5D6E-409C-BE32-E72D297353CC}">
              <c16:uniqueId val="{00000001-5DB4-45B0-AB89-FF0D9CADF527}"/>
            </c:ext>
          </c:extLst>
        </c:ser>
        <c:dLbls>
          <c:showLegendKey val="0"/>
          <c:showVal val="0"/>
          <c:showCatName val="0"/>
          <c:showSerName val="0"/>
          <c:showPercent val="0"/>
          <c:showBubbleSize val="0"/>
        </c:dLbls>
        <c:axId val="-2076483968"/>
        <c:axId val="-2121097008"/>
      </c:scatterChart>
      <c:valAx>
        <c:axId val="-2076483968"/>
        <c:scaling>
          <c:orientation val="minMax"/>
          <c:min val="0.08"/>
        </c:scaling>
        <c:delete val="0"/>
        <c:axPos val="b"/>
        <c:title>
          <c:tx>
            <c:rich>
              <a:bodyPr/>
              <a:lstStyle/>
              <a:p>
                <a:pPr>
                  <a:defRPr sz="850" b="1" i="0" u="none" strike="noStrike" baseline="0">
                    <a:solidFill>
                      <a:srgbClr val="000000"/>
                    </a:solidFill>
                    <a:latin typeface="Arial"/>
                    <a:ea typeface="Arial"/>
                    <a:cs typeface="Arial"/>
                  </a:defRPr>
                </a:pPr>
                <a:r>
                  <a:rPr lang="fr-FR"/>
                  <a:t>Taux</a:t>
                </a:r>
              </a:p>
            </c:rich>
          </c:tx>
          <c:layout>
            <c:manualLayout>
              <c:xMode val="edge"/>
              <c:yMode val="edge"/>
              <c:x val="0.43882153329160201"/>
              <c:y val="0.84988925164842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fr-FR"/>
          </a:p>
        </c:txPr>
        <c:crossAx val="-2121097008"/>
        <c:crosses val="autoZero"/>
        <c:crossBetween val="midCat"/>
      </c:valAx>
      <c:valAx>
        <c:axId val="-2121097008"/>
        <c:scaling>
          <c:orientation val="minMax"/>
        </c:scaling>
        <c:delete val="0"/>
        <c:axPos val="l"/>
        <c:majorGridlines>
          <c:spPr>
            <a:ln w="3175">
              <a:solidFill>
                <a:srgbClr val="000000"/>
              </a:solidFill>
              <a:prstDash val="solid"/>
            </a:ln>
          </c:spPr>
        </c:majorGridlines>
        <c:title>
          <c:tx>
            <c:rich>
              <a:bodyPr/>
              <a:lstStyle/>
              <a:p>
                <a:pPr>
                  <a:defRPr sz="850" b="1" i="0" u="none" strike="noStrike" baseline="0">
                    <a:solidFill>
                      <a:srgbClr val="000000"/>
                    </a:solidFill>
                    <a:latin typeface="Arial"/>
                    <a:ea typeface="Arial"/>
                    <a:cs typeface="Arial"/>
                  </a:defRPr>
                </a:pPr>
                <a:r>
                  <a:rPr lang="fr-FR"/>
                  <a:t>VAN</a:t>
                </a:r>
              </a:p>
            </c:rich>
          </c:tx>
          <c:layout>
            <c:manualLayout>
              <c:xMode val="edge"/>
              <c:yMode val="edge"/>
              <c:x val="6.2511119164497704E-3"/>
              <c:y val="0.45445426029063402"/>
            </c:manualLayout>
          </c:layout>
          <c:overlay val="0"/>
          <c:spPr>
            <a:noFill/>
            <a:ln w="25400">
              <a:noFill/>
            </a:ln>
          </c:spPr>
        </c:title>
        <c:numFmt formatCode="0.000"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Arial"/>
                <a:ea typeface="Arial"/>
                <a:cs typeface="Arial"/>
              </a:defRPr>
            </a:pPr>
            <a:endParaRPr lang="fr-FR"/>
          </a:p>
        </c:txPr>
        <c:crossAx val="-2076483968"/>
        <c:crosses val="autoZero"/>
        <c:crossBetween val="midCat"/>
      </c:valAx>
      <c:spPr>
        <a:solidFill>
          <a:srgbClr val="FFFFFF"/>
        </a:solidFill>
        <a:ln w="12700">
          <a:solidFill>
            <a:srgbClr val="808080"/>
          </a:solidFill>
          <a:prstDash val="solid"/>
        </a:ln>
      </c:spPr>
    </c:plotArea>
    <c:legend>
      <c:legendPos val="r"/>
      <c:layout>
        <c:manualLayout>
          <c:xMode val="edge"/>
          <c:yMode val="edge"/>
          <c:x val="0.88653901651330702"/>
          <c:y val="0.515384615384615"/>
          <c:w val="0.103846218854053"/>
          <c:h val="0.21923076923076901"/>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 Chapitre 30'!#REF!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30'!#REF!</c:f>
              <c:numCache>
                <c:formatCode>General</c:formatCode>
                <c:ptCount val="1"/>
                <c:pt idx="0">
                  <c:v>1</c:v>
                </c:pt>
              </c:numCache>
            </c:numRef>
          </c:xVal>
          <c:yVal>
            <c:numRef>
              <c:f>' Chapitre 30'!#REF!</c:f>
              <c:numCache>
                <c:formatCode>General</c:formatCode>
                <c:ptCount val="1"/>
                <c:pt idx="0">
                  <c:v>1</c:v>
                </c:pt>
              </c:numCache>
            </c:numRef>
          </c:yVal>
          <c:smooth val="1"/>
          <c:extLst>
            <c:ext xmlns:c16="http://schemas.microsoft.com/office/drawing/2014/chart" uri="{C3380CC4-5D6E-409C-BE32-E72D297353CC}">
              <c16:uniqueId val="{00000000-435A-4CF4-A6C0-CE57281D2B3F}"/>
            </c:ext>
          </c:extLst>
        </c:ser>
        <c:dLbls>
          <c:showLegendKey val="0"/>
          <c:showVal val="0"/>
          <c:showCatName val="0"/>
          <c:showSerName val="0"/>
          <c:showPercent val="0"/>
          <c:showBubbleSize val="0"/>
        </c:dLbls>
        <c:axId val="-2131042128"/>
        <c:axId val="-2131039216"/>
      </c:scatterChart>
      <c:valAx>
        <c:axId val="-2131042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039216"/>
        <c:crosses val="autoZero"/>
        <c:crossBetween val="midCat"/>
      </c:valAx>
      <c:valAx>
        <c:axId val="-21310392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04212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 Chapitre 30'!#REF!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30'!#REF!</c:f>
              <c:numCache>
                <c:formatCode>General</c:formatCode>
                <c:ptCount val="1"/>
                <c:pt idx="0">
                  <c:v>1</c:v>
                </c:pt>
              </c:numCache>
            </c:numRef>
          </c:xVal>
          <c:yVal>
            <c:numRef>
              <c:f>' Chapitre 30'!#REF!</c:f>
              <c:numCache>
                <c:formatCode>General</c:formatCode>
                <c:ptCount val="1"/>
                <c:pt idx="0">
                  <c:v>1</c:v>
                </c:pt>
              </c:numCache>
            </c:numRef>
          </c:yVal>
          <c:smooth val="1"/>
          <c:extLst>
            <c:ext xmlns:c16="http://schemas.microsoft.com/office/drawing/2014/chart" uri="{C3380CC4-5D6E-409C-BE32-E72D297353CC}">
              <c16:uniqueId val="{00000000-83F6-4906-A708-DC55C10C8836}"/>
            </c:ext>
          </c:extLst>
        </c:ser>
        <c:dLbls>
          <c:showLegendKey val="0"/>
          <c:showVal val="0"/>
          <c:showCatName val="0"/>
          <c:showSerName val="0"/>
          <c:showPercent val="0"/>
          <c:showBubbleSize val="0"/>
        </c:dLbls>
        <c:axId val="-2131566592"/>
        <c:axId val="-2111891104"/>
      </c:scatterChart>
      <c:valAx>
        <c:axId val="-2131566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1891104"/>
        <c:crosses val="autoZero"/>
        <c:crossBetween val="midCat"/>
      </c:valAx>
      <c:valAx>
        <c:axId val="-211189110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56659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31'!#REF!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31'!#REF!</c:f>
              <c:numCache>
                <c:formatCode>General</c:formatCode>
                <c:ptCount val="1"/>
                <c:pt idx="0">
                  <c:v>0</c:v>
                </c:pt>
              </c:numCache>
            </c:numRef>
          </c:xVal>
          <c:yVal>
            <c:numRef>
              <c:f>'Chapitre 31'!#REF!</c:f>
              <c:numCache>
                <c:formatCode>General</c:formatCode>
                <c:ptCount val="1"/>
                <c:pt idx="0">
                  <c:v>0</c:v>
                </c:pt>
              </c:numCache>
            </c:numRef>
          </c:yVal>
          <c:smooth val="1"/>
          <c:extLst>
            <c:ext xmlns:c16="http://schemas.microsoft.com/office/drawing/2014/chart" uri="{C3380CC4-5D6E-409C-BE32-E72D297353CC}">
              <c16:uniqueId val="{00000000-4370-46A1-9536-21B9F346B54F}"/>
            </c:ext>
          </c:extLst>
        </c:ser>
        <c:dLbls>
          <c:showLegendKey val="0"/>
          <c:showVal val="0"/>
          <c:showCatName val="0"/>
          <c:showSerName val="0"/>
          <c:showPercent val="0"/>
          <c:showBubbleSize val="0"/>
        </c:dLbls>
        <c:axId val="-2106864896"/>
        <c:axId val="-2107252560"/>
      </c:scatterChart>
      <c:valAx>
        <c:axId val="-2106864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252560"/>
        <c:crosses val="autoZero"/>
        <c:crossBetween val="midCat"/>
      </c:valAx>
      <c:valAx>
        <c:axId val="-21072525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686489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31'!#REF!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31'!#REF!</c:f>
              <c:numCache>
                <c:formatCode>General</c:formatCode>
                <c:ptCount val="1"/>
                <c:pt idx="0">
                  <c:v>0</c:v>
                </c:pt>
              </c:numCache>
            </c:numRef>
          </c:xVal>
          <c:yVal>
            <c:numRef>
              <c:f>'Chapitre 31'!#REF!</c:f>
              <c:numCache>
                <c:formatCode>General</c:formatCode>
                <c:ptCount val="1"/>
                <c:pt idx="0">
                  <c:v>0</c:v>
                </c:pt>
              </c:numCache>
            </c:numRef>
          </c:yVal>
          <c:smooth val="1"/>
          <c:extLst>
            <c:ext xmlns:c16="http://schemas.microsoft.com/office/drawing/2014/chart" uri="{C3380CC4-5D6E-409C-BE32-E72D297353CC}">
              <c16:uniqueId val="{00000000-AC78-4D6B-94C0-AC4288CD1E0F}"/>
            </c:ext>
          </c:extLst>
        </c:ser>
        <c:dLbls>
          <c:showLegendKey val="0"/>
          <c:showVal val="0"/>
          <c:showCatName val="0"/>
          <c:showSerName val="0"/>
          <c:showPercent val="0"/>
          <c:showBubbleSize val="0"/>
        </c:dLbls>
        <c:axId val="-2092892064"/>
        <c:axId val="-2135713088"/>
      </c:scatterChart>
      <c:valAx>
        <c:axId val="-2092892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5713088"/>
        <c:crosses val="autoZero"/>
        <c:crossBetween val="midCat"/>
      </c:valAx>
      <c:valAx>
        <c:axId val="-21357130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8920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32'!#REF!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32'!#REF!</c:f>
              <c:numCache>
                <c:formatCode>General</c:formatCode>
                <c:ptCount val="1"/>
                <c:pt idx="0">
                  <c:v>0</c:v>
                </c:pt>
              </c:numCache>
            </c:numRef>
          </c:xVal>
          <c:yVal>
            <c:numRef>
              <c:f>'Chapitre 32'!#REF!</c:f>
              <c:numCache>
                <c:formatCode>General</c:formatCode>
                <c:ptCount val="1"/>
                <c:pt idx="0">
                  <c:v>0</c:v>
                </c:pt>
              </c:numCache>
            </c:numRef>
          </c:yVal>
          <c:smooth val="1"/>
          <c:extLst>
            <c:ext xmlns:c16="http://schemas.microsoft.com/office/drawing/2014/chart" uri="{C3380CC4-5D6E-409C-BE32-E72D297353CC}">
              <c16:uniqueId val="{00000000-B126-4E9F-939E-7DE99EC4759A}"/>
            </c:ext>
          </c:extLst>
        </c:ser>
        <c:dLbls>
          <c:showLegendKey val="0"/>
          <c:showVal val="0"/>
          <c:showCatName val="0"/>
          <c:showSerName val="0"/>
          <c:showPercent val="0"/>
          <c:showBubbleSize val="0"/>
        </c:dLbls>
        <c:axId val="-2112228304"/>
        <c:axId val="-2092062864"/>
      </c:scatterChart>
      <c:valAx>
        <c:axId val="-2112228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062864"/>
        <c:crosses val="autoZero"/>
        <c:crossBetween val="midCat"/>
      </c:valAx>
      <c:valAx>
        <c:axId val="-20920628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2283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32'!#REF!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32'!#REF!</c:f>
              <c:numCache>
                <c:formatCode>General</c:formatCode>
                <c:ptCount val="1"/>
                <c:pt idx="0">
                  <c:v>0</c:v>
                </c:pt>
              </c:numCache>
            </c:numRef>
          </c:xVal>
          <c:yVal>
            <c:numRef>
              <c:f>'Chapitre 32'!#REF!</c:f>
              <c:numCache>
                <c:formatCode>General</c:formatCode>
                <c:ptCount val="1"/>
                <c:pt idx="0">
                  <c:v>0</c:v>
                </c:pt>
              </c:numCache>
            </c:numRef>
          </c:yVal>
          <c:smooth val="1"/>
          <c:extLst>
            <c:ext xmlns:c16="http://schemas.microsoft.com/office/drawing/2014/chart" uri="{C3380CC4-5D6E-409C-BE32-E72D297353CC}">
              <c16:uniqueId val="{00000000-59EB-4E9C-9B6A-0CEE7CB3A793}"/>
            </c:ext>
          </c:extLst>
        </c:ser>
        <c:dLbls>
          <c:showLegendKey val="0"/>
          <c:showVal val="0"/>
          <c:showCatName val="0"/>
          <c:showSerName val="0"/>
          <c:showPercent val="0"/>
          <c:showBubbleSize val="0"/>
        </c:dLbls>
        <c:axId val="-2112266560"/>
        <c:axId val="-2112263648"/>
      </c:scatterChart>
      <c:valAx>
        <c:axId val="-2112266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263648"/>
        <c:crosses val="autoZero"/>
        <c:crossBetween val="midCat"/>
      </c:valAx>
      <c:valAx>
        <c:axId val="-211226364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26656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fr-FR"/>
              <a:t>Profil de VAN</a:t>
            </a:r>
          </a:p>
        </c:rich>
      </c:tx>
      <c:layout>
        <c:manualLayout>
          <c:xMode val="edge"/>
          <c:yMode val="edge"/>
          <c:x val="0.43602657480314999"/>
          <c:y val="5.0251564708257597E-2"/>
        </c:manualLayout>
      </c:layout>
      <c:overlay val="0"/>
      <c:spPr>
        <a:noFill/>
        <a:ln w="25400">
          <a:noFill/>
        </a:ln>
      </c:spPr>
    </c:title>
    <c:autoTitleDeleted val="0"/>
    <c:plotArea>
      <c:layout>
        <c:manualLayout>
          <c:layoutTarget val="inner"/>
          <c:xMode val="edge"/>
          <c:yMode val="edge"/>
          <c:x val="0.12971402233733101"/>
          <c:y val="0.20100584713053801"/>
          <c:w val="0.81110334449487698"/>
          <c:h val="0.52764034871766297"/>
        </c:manualLayout>
      </c:layout>
      <c:scatterChart>
        <c:scatterStyle val="smoothMarker"/>
        <c:varyColors val="0"/>
        <c:ser>
          <c:idx val="0"/>
          <c:order val="0"/>
          <c:tx>
            <c:strRef>
              <c:f>'Chapitre 30'!$A$97</c:f>
              <c:strCache>
                <c:ptCount val="1"/>
                <c:pt idx="0">
                  <c:v>VAN</c:v>
                </c:pt>
              </c:strCache>
            </c:strRef>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30'!$B$96:$G$96</c:f>
              <c:numCache>
                <c:formatCode>0%</c:formatCode>
                <c:ptCount val="6"/>
                <c:pt idx="0">
                  <c:v>0.1</c:v>
                </c:pt>
                <c:pt idx="1">
                  <c:v>0.11</c:v>
                </c:pt>
                <c:pt idx="2">
                  <c:v>0.12</c:v>
                </c:pt>
                <c:pt idx="3">
                  <c:v>0.13</c:v>
                </c:pt>
                <c:pt idx="4">
                  <c:v>0.14000000000000001</c:v>
                </c:pt>
                <c:pt idx="5">
                  <c:v>0.15000000000000002</c:v>
                </c:pt>
              </c:numCache>
            </c:numRef>
          </c:xVal>
          <c:yVal>
            <c:numRef>
              <c:f>'Chapitre 30'!$B$97:$G$97</c:f>
              <c:numCache>
                <c:formatCode>0.00</c:formatCode>
                <c:ptCount val="6"/>
                <c:pt idx="0">
                  <c:v>-2.8913421140936243E-2</c:v>
                </c:pt>
                <c:pt idx="1">
                  <c:v>2.2153597771758932E-2</c:v>
                </c:pt>
                <c:pt idx="2">
                  <c:v>6.9955394317827227E-2</c:v>
                </c:pt>
                <c:pt idx="3">
                  <c:v>0.11475130480942275</c:v>
                </c:pt>
                <c:pt idx="4">
                  <c:v>0.1567768707412846</c:v>
                </c:pt>
                <c:pt idx="5">
                  <c:v>0.19624627482915372</c:v>
                </c:pt>
              </c:numCache>
            </c:numRef>
          </c:yVal>
          <c:smooth val="1"/>
          <c:extLst>
            <c:ext xmlns:c16="http://schemas.microsoft.com/office/drawing/2014/chart" uri="{C3380CC4-5D6E-409C-BE32-E72D297353CC}">
              <c16:uniqueId val="{00000000-670C-4A4E-867C-B4BE643BF686}"/>
            </c:ext>
          </c:extLst>
        </c:ser>
        <c:dLbls>
          <c:showLegendKey val="0"/>
          <c:showVal val="0"/>
          <c:showCatName val="0"/>
          <c:showSerName val="0"/>
          <c:showPercent val="0"/>
          <c:showBubbleSize val="0"/>
        </c:dLbls>
        <c:axId val="-2131347264"/>
        <c:axId val="-2075805440"/>
      </c:scatterChart>
      <c:valAx>
        <c:axId val="-2131347264"/>
        <c:scaling>
          <c:orientation val="minMax"/>
          <c:min val="0.09"/>
        </c:scaling>
        <c:delete val="0"/>
        <c:axPos val="b"/>
        <c:title>
          <c:tx>
            <c:rich>
              <a:bodyPr/>
              <a:lstStyle/>
              <a:p>
                <a:pPr>
                  <a:defRPr sz="825" b="1" i="0" u="none" strike="noStrike" baseline="0">
                    <a:solidFill>
                      <a:srgbClr val="000000"/>
                    </a:solidFill>
                    <a:latin typeface="Arial"/>
                    <a:ea typeface="Arial"/>
                    <a:cs typeface="Arial"/>
                  </a:defRPr>
                </a:pPr>
                <a:r>
                  <a:rPr lang="fr-FR"/>
                  <a:t>Taux éxigé</a:t>
                </a:r>
              </a:p>
            </c:rich>
          </c:tx>
          <c:layout>
            <c:manualLayout>
              <c:xMode val="edge"/>
              <c:yMode val="edge"/>
              <c:x val="0.486036909448819"/>
              <c:y val="0.7788976377952759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fr-FR"/>
          </a:p>
        </c:txPr>
        <c:crossAx val="-2075805440"/>
        <c:crosses val="autoZero"/>
        <c:crossBetween val="midCat"/>
      </c:valAx>
      <c:valAx>
        <c:axId val="-2075805440"/>
        <c:scaling>
          <c:orientation val="minMax"/>
        </c:scaling>
        <c:delete val="0"/>
        <c:axPos val="l"/>
        <c:majorGridlines>
          <c:spPr>
            <a:ln w="3175">
              <a:solidFill>
                <a:srgbClr val="000000"/>
              </a:solidFill>
              <a:prstDash val="solid"/>
            </a:ln>
          </c:spPr>
        </c:majorGridlines>
        <c:title>
          <c:tx>
            <c:rich>
              <a:bodyPr/>
              <a:lstStyle/>
              <a:p>
                <a:pPr>
                  <a:defRPr sz="825" b="1" i="0" u="none" strike="noStrike" baseline="0">
                    <a:solidFill>
                      <a:srgbClr val="000000"/>
                    </a:solidFill>
                    <a:latin typeface="Arial"/>
                    <a:ea typeface="Arial"/>
                    <a:cs typeface="Arial"/>
                  </a:defRPr>
                </a:pPr>
                <a:r>
                  <a:rPr lang="fr-FR"/>
                  <a:t>VAN</a:t>
                </a:r>
              </a:p>
            </c:rich>
          </c:tx>
          <c:layout>
            <c:manualLayout>
              <c:xMode val="edge"/>
              <c:yMode val="edge"/>
              <c:x val="4.2196194225721802E-2"/>
              <c:y val="0.396986607443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fr-FR"/>
          </a:p>
        </c:txPr>
        <c:crossAx val="-21313472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624282953641"/>
          <c:y val="0.119369254723187"/>
          <c:w val="0.85269293053874096"/>
          <c:h val="0.65891828607199399"/>
        </c:manualLayout>
      </c:layout>
      <c:scatterChart>
        <c:scatterStyle val="smoothMarker"/>
        <c:varyColors val="0"/>
        <c:ser>
          <c:idx val="6"/>
          <c:order val="0"/>
          <c:tx>
            <c:strRef>
              <c:f>'Chapitre 30'!$A$175</c:f>
              <c:strCache>
                <c:ptCount val="1"/>
                <c:pt idx="0">
                  <c:v>Flux cumulés et actualisés</c:v>
                </c:pt>
              </c:strCache>
            </c:strRef>
          </c:tx>
          <c:spPr>
            <a:ln w="12700">
              <a:solidFill>
                <a:srgbClr val="008080"/>
              </a:solidFill>
              <a:prstDash val="solid"/>
            </a:ln>
          </c:spPr>
          <c:marker>
            <c:symbol val="plus"/>
            <c:size val="5"/>
            <c:spPr>
              <a:noFill/>
              <a:ln>
                <a:solidFill>
                  <a:srgbClr val="008080"/>
                </a:solidFill>
                <a:prstDash val="solid"/>
              </a:ln>
            </c:spPr>
          </c:marker>
          <c:xVal>
            <c:numRef>
              <c:f>'Chapitre 30'!$B$158:$AF$158</c:f>
              <c:numCache>
                <c:formatCode>General</c:formatCode>
                <c:ptCount val="31"/>
                <c:pt idx="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pt idx="26">
                  <c:v>26</c:v>
                </c:pt>
                <c:pt idx="27">
                  <c:v>27</c:v>
                </c:pt>
                <c:pt idx="28">
                  <c:v>28</c:v>
                </c:pt>
                <c:pt idx="29">
                  <c:v>29</c:v>
                </c:pt>
                <c:pt idx="30">
                  <c:v>30</c:v>
                </c:pt>
              </c:numCache>
            </c:numRef>
          </c:xVal>
          <c:yVal>
            <c:numRef>
              <c:f>'Chapitre 30'!$B$175:$AF$175</c:f>
              <c:numCache>
                <c:formatCode>#\ ##0.00\ _F</c:formatCode>
                <c:ptCount val="31"/>
                <c:pt idx="0">
                  <c:v>-8400</c:v>
                </c:pt>
                <c:pt idx="1">
                  <c:v>-6963.636363636364</c:v>
                </c:pt>
                <c:pt idx="2">
                  <c:v>-5657.8512396694223</c:v>
                </c:pt>
                <c:pt idx="3">
                  <c:v>-4470.7738542449297</c:v>
                </c:pt>
                <c:pt idx="4">
                  <c:v>-3391.6125947681185</c:v>
                </c:pt>
                <c:pt idx="5">
                  <c:v>-2410.5569043346536</c:v>
                </c:pt>
                <c:pt idx="6">
                  <c:v>-1518.6880948496855</c:v>
                </c:pt>
                <c:pt idx="7">
                  <c:v>-707.89826804516929</c:v>
                </c:pt>
                <c:pt idx="8">
                  <c:v>29.183392686209118</c:v>
                </c:pt>
                <c:pt idx="9">
                  <c:v>699.25762971473489</c:v>
                </c:pt>
                <c:pt idx="10">
                  <c:v>1308.4160270133946</c:v>
                </c:pt>
                <c:pt idx="11">
                  <c:v>1862.1963881939942</c:v>
                </c:pt>
                <c:pt idx="12">
                  <c:v>2365.6330801763575</c:v>
                </c:pt>
                <c:pt idx="13">
                  <c:v>2823.3028001603243</c:v>
                </c:pt>
                <c:pt idx="14">
                  <c:v>3239.3661819639301</c:v>
                </c:pt>
                <c:pt idx="15">
                  <c:v>3617.6056199672084</c:v>
                </c:pt>
                <c:pt idx="16">
                  <c:v>3961.4596545156433</c:v>
                </c:pt>
                <c:pt idx="17">
                  <c:v>4274.0542313778569</c:v>
                </c:pt>
                <c:pt idx="18">
                  <c:v>4558.2311194344147</c:v>
                </c:pt>
                <c:pt idx="19">
                  <c:v>4816.5737449403759</c:v>
                </c:pt>
                <c:pt idx="20">
                  <c:v>5051.4306772185228</c:v>
                </c:pt>
                <c:pt idx="21">
                  <c:v>5264.936979289565</c:v>
                </c:pt>
                <c:pt idx="22">
                  <c:v>5459.0336175359671</c:v>
                </c:pt>
                <c:pt idx="23">
                  <c:v>5635.4851068508779</c:v>
                </c:pt>
                <c:pt idx="24">
                  <c:v>5795.8955516826154</c:v>
                </c:pt>
                <c:pt idx="25">
                  <c:v>5941.723228802377</c:v>
                </c:pt>
                <c:pt idx="26">
                  <c:v>6074.2938443657958</c:v>
                </c:pt>
                <c:pt idx="27">
                  <c:v>6194.8125857870864</c:v>
                </c:pt>
                <c:pt idx="28">
                  <c:v>6304.3750779882594</c:v>
                </c:pt>
                <c:pt idx="29">
                  <c:v>6403.9773436256892</c:v>
                </c:pt>
                <c:pt idx="30">
                  <c:v>6494.5248578415349</c:v>
                </c:pt>
              </c:numCache>
            </c:numRef>
          </c:yVal>
          <c:smooth val="1"/>
          <c:extLst>
            <c:ext xmlns:c16="http://schemas.microsoft.com/office/drawing/2014/chart" uri="{C3380CC4-5D6E-409C-BE32-E72D297353CC}">
              <c16:uniqueId val="{00000000-8B7C-4492-AE16-0B8B81C799EA}"/>
            </c:ext>
          </c:extLst>
        </c:ser>
        <c:dLbls>
          <c:showLegendKey val="0"/>
          <c:showVal val="0"/>
          <c:showCatName val="0"/>
          <c:showSerName val="0"/>
          <c:showPercent val="0"/>
          <c:showBubbleSize val="0"/>
        </c:dLbls>
        <c:axId val="-2137143168"/>
        <c:axId val="-2091534784"/>
      </c:scatterChart>
      <c:valAx>
        <c:axId val="-213714316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fr-FR"/>
                  <a:t>Année</a:t>
                </a:r>
              </a:p>
            </c:rich>
          </c:tx>
          <c:layout>
            <c:manualLayout>
              <c:xMode val="edge"/>
              <c:yMode val="edge"/>
              <c:x val="0.52569479325867496"/>
              <c:y val="0.8260352090135080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2091534784"/>
        <c:crosses val="autoZero"/>
        <c:crossBetween val="midCat"/>
      </c:valAx>
      <c:valAx>
        <c:axId val="-2091534784"/>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fr-FR"/>
                  <a:t>Flux cumulés</a:t>
                </a:r>
              </a:p>
            </c:rich>
          </c:tx>
          <c:layout>
            <c:manualLayout>
              <c:xMode val="edge"/>
              <c:yMode val="edge"/>
              <c:x val="1.8166543030021399E-2"/>
              <c:y val="0.26738723513219398"/>
            </c:manualLayout>
          </c:layout>
          <c:overlay val="0"/>
          <c:spPr>
            <a:noFill/>
            <a:ln w="25400">
              <a:noFill/>
            </a:ln>
          </c:spPr>
        </c:title>
        <c:numFmt formatCode="#\ ##0.00\ _F"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213714316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07105047876201"/>
          <c:y val="0.118252156378528"/>
          <c:w val="0.86676941261463902"/>
          <c:h val="0.75954269673900499"/>
        </c:manualLayout>
      </c:layout>
      <c:scatterChart>
        <c:scatterStyle val="smoothMarker"/>
        <c:varyColors val="0"/>
        <c:ser>
          <c:idx val="11"/>
          <c:order val="0"/>
          <c:tx>
            <c:strRef>
              <c:f>'Chapitre 30'!$A$233</c:f>
              <c:strCache>
                <c:ptCount val="1"/>
                <c:pt idx="0">
                  <c:v>Flux cumulés et actualisés</c:v>
                </c:pt>
              </c:strCache>
            </c:strRef>
          </c:tx>
          <c:spPr>
            <a:ln w="12700">
              <a:solidFill>
                <a:srgbClr val="FFFF99"/>
              </a:solidFill>
              <a:prstDash val="solid"/>
            </a:ln>
          </c:spPr>
          <c:marker>
            <c:symbol val="triangle"/>
            <c:size val="5"/>
            <c:spPr>
              <a:solidFill>
                <a:srgbClr val="FFFF99"/>
              </a:solidFill>
              <a:ln>
                <a:solidFill>
                  <a:srgbClr val="FFFF99"/>
                </a:solidFill>
                <a:prstDash val="solid"/>
              </a:ln>
            </c:spPr>
          </c:marker>
          <c:xVal>
            <c:numRef>
              <c:f>'Chapitre 30'!$B$221:$I$221</c:f>
              <c:numCache>
                <c:formatCode>General</c:formatCode>
                <c:ptCount val="8"/>
                <c:pt idx="0">
                  <c:v>0</c:v>
                </c:pt>
                <c:pt idx="1">
                  <c:v>1</c:v>
                </c:pt>
                <c:pt idx="2">
                  <c:v>2</c:v>
                </c:pt>
                <c:pt idx="3">
                  <c:v>3</c:v>
                </c:pt>
                <c:pt idx="4">
                  <c:v>4</c:v>
                </c:pt>
                <c:pt idx="5">
                  <c:v>5</c:v>
                </c:pt>
                <c:pt idx="6">
                  <c:v>6</c:v>
                </c:pt>
                <c:pt idx="7">
                  <c:v>7</c:v>
                </c:pt>
              </c:numCache>
            </c:numRef>
          </c:xVal>
          <c:yVal>
            <c:numRef>
              <c:f>'Chapitre 30'!$B$233:$I$233</c:f>
              <c:numCache>
                <c:formatCode>#\ ##0.00\ _F</c:formatCode>
                <c:ptCount val="8"/>
                <c:pt idx="0">
                  <c:v>-5500</c:v>
                </c:pt>
                <c:pt idx="1">
                  <c:v>-3340.9090909090892</c:v>
                </c:pt>
                <c:pt idx="2">
                  <c:v>-1378.0991735537159</c:v>
                </c:pt>
                <c:pt idx="3">
                  <c:v>406.27347858753205</c:v>
                </c:pt>
                <c:pt idx="4">
                  <c:v>2028.4304350795758</c:v>
                </c:pt>
                <c:pt idx="5">
                  <c:v>3503.1185773450698</c:v>
                </c:pt>
                <c:pt idx="6">
                  <c:v>4843.7441612227922</c:v>
                </c:pt>
                <c:pt idx="7">
                  <c:v>6062.4946920207212</c:v>
                </c:pt>
              </c:numCache>
            </c:numRef>
          </c:yVal>
          <c:smooth val="1"/>
          <c:extLst>
            <c:ext xmlns:c16="http://schemas.microsoft.com/office/drawing/2014/chart" uri="{C3380CC4-5D6E-409C-BE32-E72D297353CC}">
              <c16:uniqueId val="{00000000-E3C4-44EF-BDE9-D7C83D4FF2A9}"/>
            </c:ext>
          </c:extLst>
        </c:ser>
        <c:dLbls>
          <c:showLegendKey val="0"/>
          <c:showVal val="0"/>
          <c:showCatName val="0"/>
          <c:showSerName val="0"/>
          <c:showPercent val="0"/>
          <c:showBubbleSize val="0"/>
        </c:dLbls>
        <c:axId val="-2113953472"/>
        <c:axId val="-2133264272"/>
      </c:scatterChart>
      <c:valAx>
        <c:axId val="-2113953472"/>
        <c:scaling>
          <c:orientation val="minMax"/>
        </c:scaling>
        <c:delete val="0"/>
        <c:axPos val="b"/>
        <c:title>
          <c:tx>
            <c:rich>
              <a:bodyPr/>
              <a:lstStyle/>
              <a:p>
                <a:pPr>
                  <a:defRPr sz="875" b="1" i="0" u="none" strike="noStrike" baseline="0">
                    <a:solidFill>
                      <a:srgbClr val="000000"/>
                    </a:solidFill>
                    <a:latin typeface="Arial"/>
                    <a:ea typeface="Arial"/>
                    <a:cs typeface="Arial"/>
                  </a:defRPr>
                </a:pPr>
                <a:r>
                  <a:rPr lang="fr-FR"/>
                  <a:t>Années</a:t>
                </a:r>
              </a:p>
            </c:rich>
          </c:tx>
          <c:layout>
            <c:manualLayout>
              <c:xMode val="edge"/>
              <c:yMode val="edge"/>
              <c:x val="0.520061641672384"/>
              <c:y val="0.8823429164377709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fr-FR"/>
          </a:p>
        </c:txPr>
        <c:crossAx val="-2133264272"/>
        <c:crosses val="autoZero"/>
        <c:crossBetween val="midCat"/>
      </c:valAx>
      <c:valAx>
        <c:axId val="-2133264272"/>
        <c:scaling>
          <c:orientation val="minMax"/>
        </c:scaling>
        <c:delete val="0"/>
        <c:axPos val="l"/>
        <c:majorGridlines>
          <c:spPr>
            <a:ln w="3175">
              <a:solidFill>
                <a:srgbClr val="000000"/>
              </a:solidFill>
              <a:prstDash val="solid"/>
            </a:ln>
          </c:spPr>
        </c:majorGridlines>
        <c:title>
          <c:tx>
            <c:rich>
              <a:bodyPr/>
              <a:lstStyle/>
              <a:p>
                <a:pPr>
                  <a:defRPr sz="875" b="1" i="0" u="none" strike="noStrike" baseline="0">
                    <a:solidFill>
                      <a:srgbClr val="000000"/>
                    </a:solidFill>
                    <a:latin typeface="Arial"/>
                    <a:ea typeface="Arial"/>
                    <a:cs typeface="Arial"/>
                  </a:defRPr>
                </a:pPr>
                <a:r>
                  <a:rPr lang="fr-FR"/>
                  <a:t>Flux cumulés et actualisés</a:t>
                </a:r>
              </a:p>
            </c:rich>
          </c:tx>
          <c:layout>
            <c:manualLayout>
              <c:xMode val="edge"/>
              <c:yMode val="edge"/>
              <c:x val="1.1418520817677901E-2"/>
              <c:y val="0.14554110968687101"/>
            </c:manualLayout>
          </c:layout>
          <c:overlay val="0"/>
          <c:spPr>
            <a:noFill/>
            <a:ln w="25400">
              <a:noFill/>
            </a:ln>
          </c:spPr>
        </c:title>
        <c:numFmt formatCode="#\ ##0.00\ _F" sourceLinked="1"/>
        <c:majorTickMark val="out"/>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Arial"/>
                <a:ea typeface="Arial"/>
                <a:cs typeface="Arial"/>
              </a:defRPr>
            </a:pPr>
            <a:endParaRPr lang="fr-FR"/>
          </a:p>
        </c:txPr>
        <c:crossAx val="-211395347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007364379526"/>
          <c:y val="0.13326353088019099"/>
          <c:w val="0.835252570339998"/>
          <c:h val="0.73900685306287905"/>
        </c:manualLayout>
      </c:layout>
      <c:scatterChart>
        <c:scatterStyle val="smoothMarker"/>
        <c:varyColors val="0"/>
        <c:ser>
          <c:idx val="0"/>
          <c:order val="0"/>
          <c:tx>
            <c:strRef>
              <c:f>'Chapitre 30'!$A$132</c:f>
              <c:strCache>
                <c:ptCount val="1"/>
                <c:pt idx="0">
                  <c:v>VAN</c:v>
                </c:pt>
              </c:strCache>
            </c:strRef>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30'!$B$131:$E$131</c:f>
              <c:numCache>
                <c:formatCode>General</c:formatCode>
                <c:ptCount val="4"/>
                <c:pt idx="0">
                  <c:v>7000</c:v>
                </c:pt>
                <c:pt idx="1">
                  <c:v>8000</c:v>
                </c:pt>
                <c:pt idx="2">
                  <c:v>9000</c:v>
                </c:pt>
                <c:pt idx="3">
                  <c:v>10000</c:v>
                </c:pt>
              </c:numCache>
            </c:numRef>
          </c:xVal>
          <c:yVal>
            <c:numRef>
              <c:f>'Chapitre 30'!$B$132:$E$132</c:f>
              <c:numCache>
                <c:formatCode>#\ ##0\ _F</c:formatCode>
                <c:ptCount val="4"/>
                <c:pt idx="0">
                  <c:v>-5309.7711395136248</c:v>
                </c:pt>
                <c:pt idx="1">
                  <c:v>2678.1660979024491</c:v>
                </c:pt>
                <c:pt idx="2">
                  <c:v>10666.103335318534</c:v>
                </c:pt>
                <c:pt idx="3">
                  <c:v>18654.040572734626</c:v>
                </c:pt>
              </c:numCache>
            </c:numRef>
          </c:yVal>
          <c:smooth val="1"/>
          <c:extLst>
            <c:ext xmlns:c16="http://schemas.microsoft.com/office/drawing/2014/chart" uri="{C3380CC4-5D6E-409C-BE32-E72D297353CC}">
              <c16:uniqueId val="{00000000-8F83-4308-8D64-07EBDDEC1A2B}"/>
            </c:ext>
          </c:extLst>
        </c:ser>
        <c:dLbls>
          <c:showLegendKey val="0"/>
          <c:showVal val="0"/>
          <c:showCatName val="0"/>
          <c:showSerName val="0"/>
          <c:showPercent val="0"/>
          <c:showBubbleSize val="0"/>
        </c:dLbls>
        <c:axId val="-2072057056"/>
        <c:axId val="-2114261376"/>
      </c:scatterChart>
      <c:valAx>
        <c:axId val="-2072057056"/>
        <c:scaling>
          <c:orientation val="minMax"/>
          <c:min val="6000"/>
        </c:scaling>
        <c:delete val="0"/>
        <c:axPos val="b"/>
        <c:title>
          <c:tx>
            <c:rich>
              <a:bodyPr/>
              <a:lstStyle/>
              <a:p>
                <a:pPr>
                  <a:defRPr sz="575" b="1" i="0" u="none" strike="noStrike" baseline="0">
                    <a:solidFill>
                      <a:srgbClr val="000000"/>
                    </a:solidFill>
                    <a:latin typeface="Arial"/>
                    <a:ea typeface="Arial"/>
                    <a:cs typeface="Arial"/>
                  </a:defRPr>
                </a:pPr>
                <a:r>
                  <a:rPr lang="fr-FR"/>
                  <a:t>Nbre de pieces / an</a:t>
                </a:r>
              </a:p>
            </c:rich>
          </c:tx>
          <c:layout>
            <c:manualLayout>
              <c:xMode val="edge"/>
              <c:yMode val="edge"/>
              <c:x val="0.45182839555127602"/>
              <c:y val="0.8843854703347270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Arial"/>
                <a:ea typeface="Arial"/>
                <a:cs typeface="Arial"/>
              </a:defRPr>
            </a:pPr>
            <a:endParaRPr lang="fr-FR"/>
          </a:p>
        </c:txPr>
        <c:crossAx val="-2114261376"/>
        <c:crosses val="autoZero"/>
        <c:crossBetween val="midCat"/>
      </c:valAx>
      <c:valAx>
        <c:axId val="-2114261376"/>
        <c:scaling>
          <c:orientation val="minMax"/>
        </c:scaling>
        <c:delete val="0"/>
        <c:axPos val="l"/>
        <c:majorGridlines>
          <c:spPr>
            <a:ln w="3175">
              <a:solidFill>
                <a:srgbClr val="000000"/>
              </a:solidFill>
              <a:prstDash val="solid"/>
            </a:ln>
          </c:spPr>
        </c:majorGridlines>
        <c:title>
          <c:tx>
            <c:rich>
              <a:bodyPr/>
              <a:lstStyle/>
              <a:p>
                <a:pPr>
                  <a:defRPr sz="575" b="1" i="0" u="none" strike="noStrike" baseline="0">
                    <a:solidFill>
                      <a:srgbClr val="000000"/>
                    </a:solidFill>
                    <a:latin typeface="Arial"/>
                    <a:ea typeface="Arial"/>
                    <a:cs typeface="Arial"/>
                  </a:defRPr>
                </a:pPr>
                <a:r>
                  <a:rPr lang="fr-FR"/>
                  <a:t>VAN</a:t>
                </a:r>
              </a:p>
            </c:rich>
          </c:tx>
          <c:layout>
            <c:manualLayout>
              <c:xMode val="edge"/>
              <c:yMode val="edge"/>
              <c:x val="1.2600879925980499E-2"/>
              <c:y val="0.42402060853504397"/>
            </c:manualLayout>
          </c:layout>
          <c:overlay val="0"/>
          <c:spPr>
            <a:noFill/>
            <a:ln w="25400">
              <a:noFill/>
            </a:ln>
          </c:spPr>
        </c:title>
        <c:numFmt formatCode="#\ ##0\ _F" sourceLinked="1"/>
        <c:majorTickMark val="out"/>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Arial"/>
                <a:ea typeface="Arial"/>
                <a:cs typeface="Arial"/>
              </a:defRPr>
            </a:pPr>
            <a:endParaRPr lang="fr-FR"/>
          </a:p>
        </c:txPr>
        <c:crossAx val="-207205705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353741321967"/>
          <c:y val="7.0104241645121995E-2"/>
          <c:w val="0.62668105603742597"/>
          <c:h val="0.74193655741087505"/>
        </c:manualLayout>
      </c:layout>
      <c:barChart>
        <c:barDir val="col"/>
        <c:grouping val="stacked"/>
        <c:varyColors val="0"/>
        <c:ser>
          <c:idx val="3"/>
          <c:order val="0"/>
          <c:tx>
            <c:strRef>
              <c:f>'Chapitre 18'!$D$86</c:f>
              <c:strCache>
                <c:ptCount val="1"/>
                <c:pt idx="0">
                  <c:v>Amort. du capital</c:v>
                </c:pt>
              </c:strCache>
            </c:strRef>
          </c:tx>
          <c:spPr>
            <a:solidFill>
              <a:srgbClr val="CCFFFF"/>
            </a:solidFill>
            <a:ln w="12700">
              <a:solidFill>
                <a:srgbClr val="000000"/>
              </a:solidFill>
              <a:prstDash val="solid"/>
            </a:ln>
          </c:spPr>
          <c:invertIfNegative val="0"/>
          <c:val>
            <c:numRef>
              <c:f>'Chapitre 18'!$D$87:$D$90</c:f>
              <c:numCache>
                <c:formatCode>#\ ##0.00\ _F</c:formatCode>
                <c:ptCount val="4"/>
                <c:pt idx="0">
                  <c:v>22.5228</c:v>
                </c:pt>
                <c:pt idx="1">
                  <c:v>24.099395999999999</c:v>
                </c:pt>
                <c:pt idx="2">
                  <c:v>25.786353720000001</c:v>
                </c:pt>
                <c:pt idx="3">
                  <c:v>27.591398480399999</c:v>
                </c:pt>
              </c:numCache>
            </c:numRef>
          </c:val>
          <c:extLst>
            <c:ext xmlns:c16="http://schemas.microsoft.com/office/drawing/2014/chart" uri="{C3380CC4-5D6E-409C-BE32-E72D297353CC}">
              <c16:uniqueId val="{00000000-32BF-450D-82C9-F7A1D00B0DC3}"/>
            </c:ext>
          </c:extLst>
        </c:ser>
        <c:ser>
          <c:idx val="4"/>
          <c:order val="1"/>
          <c:tx>
            <c:strRef>
              <c:f>'Chapitre 18'!$E$86</c:f>
              <c:strCache>
                <c:ptCount val="1"/>
                <c:pt idx="0">
                  <c:v>Intérêts</c:v>
                </c:pt>
              </c:strCache>
            </c:strRef>
          </c:tx>
          <c:spPr>
            <a:solidFill>
              <a:srgbClr val="660066"/>
            </a:solidFill>
            <a:ln w="12700">
              <a:solidFill>
                <a:srgbClr val="000000"/>
              </a:solidFill>
              <a:prstDash val="solid"/>
            </a:ln>
          </c:spPr>
          <c:invertIfNegative val="0"/>
          <c:val>
            <c:numRef>
              <c:f>'Chapitre 18'!$E$87:$E$90</c:f>
              <c:numCache>
                <c:formatCode>#\ ##0.00\ _F</c:formatCode>
                <c:ptCount val="4"/>
                <c:pt idx="0">
                  <c:v>7.0000000000000009</c:v>
                </c:pt>
                <c:pt idx="1">
                  <c:v>5.4234040000000006</c:v>
                </c:pt>
                <c:pt idx="2">
                  <c:v>3.73644628</c:v>
                </c:pt>
                <c:pt idx="3">
                  <c:v>1.9314015195999998</c:v>
                </c:pt>
              </c:numCache>
            </c:numRef>
          </c:val>
          <c:extLst>
            <c:ext xmlns:c16="http://schemas.microsoft.com/office/drawing/2014/chart" uri="{C3380CC4-5D6E-409C-BE32-E72D297353CC}">
              <c16:uniqueId val="{00000001-32BF-450D-82C9-F7A1D00B0DC3}"/>
            </c:ext>
          </c:extLst>
        </c:ser>
        <c:dLbls>
          <c:showLegendKey val="0"/>
          <c:showVal val="0"/>
          <c:showCatName val="0"/>
          <c:showSerName val="0"/>
          <c:showPercent val="0"/>
          <c:showBubbleSize val="0"/>
        </c:dLbls>
        <c:gapWidth val="150"/>
        <c:overlap val="100"/>
        <c:axId val="-2113992752"/>
        <c:axId val="-2133965088"/>
      </c:barChart>
      <c:catAx>
        <c:axId val="-2113992752"/>
        <c:scaling>
          <c:orientation val="minMax"/>
        </c:scaling>
        <c:delete val="0"/>
        <c:axPos val="b"/>
        <c:title>
          <c:tx>
            <c:rich>
              <a:bodyPr/>
              <a:lstStyle/>
              <a:p>
                <a:pPr>
                  <a:defRPr sz="825" b="1" i="0" u="none" strike="noStrike" baseline="0">
                    <a:solidFill>
                      <a:srgbClr val="000000"/>
                    </a:solidFill>
                    <a:latin typeface="Arial"/>
                    <a:ea typeface="Arial"/>
                    <a:cs typeface="Arial"/>
                  </a:defRPr>
                </a:pPr>
                <a:r>
                  <a:rPr lang="fr-FR"/>
                  <a:t>Période</a:t>
                </a:r>
              </a:p>
            </c:rich>
          </c:tx>
          <c:layout>
            <c:manualLayout>
              <c:xMode val="edge"/>
              <c:yMode val="edge"/>
              <c:x val="0.37432629744811302"/>
              <c:y val="0.8529346331708540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fr-FR"/>
          </a:p>
        </c:txPr>
        <c:crossAx val="-2133965088"/>
        <c:crosses val="autoZero"/>
        <c:auto val="1"/>
        <c:lblAlgn val="ctr"/>
        <c:lblOffset val="100"/>
        <c:tickLblSkip val="1"/>
        <c:tickMarkSkip val="1"/>
        <c:noMultiLvlLbl val="0"/>
      </c:catAx>
      <c:valAx>
        <c:axId val="-2133965088"/>
        <c:scaling>
          <c:orientation val="minMax"/>
        </c:scaling>
        <c:delete val="0"/>
        <c:axPos val="l"/>
        <c:majorGridlines>
          <c:spPr>
            <a:ln w="3175">
              <a:solidFill>
                <a:srgbClr val="000000"/>
              </a:solidFill>
              <a:prstDash val="solid"/>
            </a:ln>
          </c:spPr>
        </c:majorGridlines>
        <c:title>
          <c:tx>
            <c:rich>
              <a:bodyPr/>
              <a:lstStyle/>
              <a:p>
                <a:pPr>
                  <a:defRPr sz="825" b="1" i="0" u="none" strike="noStrike" baseline="0">
                    <a:solidFill>
                      <a:srgbClr val="000000"/>
                    </a:solidFill>
                    <a:latin typeface="Arial"/>
                    <a:ea typeface="Arial"/>
                    <a:cs typeface="Arial"/>
                  </a:defRPr>
                </a:pPr>
                <a:r>
                  <a:rPr lang="fr-FR"/>
                  <a:t>€</a:t>
                </a:r>
              </a:p>
            </c:rich>
          </c:tx>
          <c:layout>
            <c:manualLayout>
              <c:xMode val="edge"/>
              <c:yMode val="edge"/>
              <c:x val="1.05147885926024E-2"/>
              <c:y val="0.408941382327209"/>
            </c:manualLayout>
          </c:layout>
          <c:overlay val="0"/>
          <c:spPr>
            <a:noFill/>
            <a:ln w="25400">
              <a:noFill/>
            </a:ln>
          </c:spPr>
        </c:title>
        <c:numFmt formatCode="#\ ##0.00\ _F"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fr-FR"/>
          </a:p>
        </c:txPr>
        <c:crossAx val="-2113992752"/>
        <c:crosses val="autoZero"/>
        <c:crossBetween val="between"/>
      </c:valAx>
      <c:spPr>
        <a:solidFill>
          <a:srgbClr val="C0C0C0"/>
        </a:solidFill>
        <a:ln w="12700">
          <a:solidFill>
            <a:srgbClr val="808080"/>
          </a:solidFill>
          <a:prstDash val="solid"/>
        </a:ln>
      </c:spPr>
    </c:plotArea>
    <c:legend>
      <c:legendPos val="r"/>
      <c:layout>
        <c:manualLayout>
          <c:xMode val="edge"/>
          <c:yMode val="edge"/>
          <c:x val="0.78819146929056205"/>
          <c:y val="0.35741544402619602"/>
          <c:w val="0.189987520285021"/>
          <c:h val="0.2167306415903529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 Chapitre 33'!#REF!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33'!#REF!</c:f>
              <c:numCache>
                <c:formatCode>General</c:formatCode>
                <c:ptCount val="1"/>
                <c:pt idx="0">
                  <c:v>0</c:v>
                </c:pt>
              </c:numCache>
            </c:numRef>
          </c:xVal>
          <c:yVal>
            <c:numRef>
              <c:f>' Chapitre 33'!#REF!</c:f>
              <c:numCache>
                <c:formatCode>General</c:formatCode>
                <c:ptCount val="1"/>
                <c:pt idx="0">
                  <c:v>0</c:v>
                </c:pt>
              </c:numCache>
            </c:numRef>
          </c:yVal>
          <c:smooth val="1"/>
          <c:extLst>
            <c:ext xmlns:c16="http://schemas.microsoft.com/office/drawing/2014/chart" uri="{C3380CC4-5D6E-409C-BE32-E72D297353CC}">
              <c16:uniqueId val="{00000000-ACE6-4083-86BC-7CE0119EE018}"/>
            </c:ext>
          </c:extLst>
        </c:ser>
        <c:dLbls>
          <c:showLegendKey val="0"/>
          <c:showVal val="0"/>
          <c:showCatName val="0"/>
          <c:showSerName val="0"/>
          <c:showPercent val="0"/>
          <c:showBubbleSize val="0"/>
        </c:dLbls>
        <c:axId val="-2131078032"/>
        <c:axId val="-2092874816"/>
      </c:scatterChart>
      <c:valAx>
        <c:axId val="-21310780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874816"/>
        <c:crosses val="autoZero"/>
        <c:crossBetween val="midCat"/>
      </c:valAx>
      <c:valAx>
        <c:axId val="-20928748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07803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 Chapitre 33'!#REF!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33'!#REF!</c:f>
              <c:numCache>
                <c:formatCode>General</c:formatCode>
                <c:ptCount val="1"/>
                <c:pt idx="0">
                  <c:v>0</c:v>
                </c:pt>
              </c:numCache>
            </c:numRef>
          </c:xVal>
          <c:yVal>
            <c:numRef>
              <c:f>' Chapitre 33'!#REF!</c:f>
              <c:numCache>
                <c:formatCode>General</c:formatCode>
                <c:ptCount val="1"/>
                <c:pt idx="0">
                  <c:v>0</c:v>
                </c:pt>
              </c:numCache>
            </c:numRef>
          </c:yVal>
          <c:smooth val="1"/>
          <c:extLst>
            <c:ext xmlns:c16="http://schemas.microsoft.com/office/drawing/2014/chart" uri="{C3380CC4-5D6E-409C-BE32-E72D297353CC}">
              <c16:uniqueId val="{00000000-1C07-47DD-9288-BE1CFC5D31C7}"/>
            </c:ext>
          </c:extLst>
        </c:ser>
        <c:dLbls>
          <c:showLegendKey val="0"/>
          <c:showVal val="0"/>
          <c:showCatName val="0"/>
          <c:showSerName val="0"/>
          <c:showPercent val="0"/>
          <c:showBubbleSize val="0"/>
        </c:dLbls>
        <c:axId val="-2097062736"/>
        <c:axId val="-2135069680"/>
      </c:scatterChart>
      <c:valAx>
        <c:axId val="-2097062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5069680"/>
        <c:crosses val="autoZero"/>
        <c:crossBetween val="midCat"/>
      </c:valAx>
      <c:valAx>
        <c:axId val="-213506968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706273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34'!#REF!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34'!#REF!</c:f>
              <c:numCache>
                <c:formatCode>General</c:formatCode>
                <c:ptCount val="1"/>
                <c:pt idx="0">
                  <c:v>0</c:v>
                </c:pt>
              </c:numCache>
            </c:numRef>
          </c:xVal>
          <c:yVal>
            <c:numRef>
              <c:f>'Chapitre 34'!#REF!</c:f>
              <c:numCache>
                <c:formatCode>General</c:formatCode>
                <c:ptCount val="1"/>
                <c:pt idx="0">
                  <c:v>0</c:v>
                </c:pt>
              </c:numCache>
            </c:numRef>
          </c:yVal>
          <c:smooth val="1"/>
          <c:extLst>
            <c:ext xmlns:c16="http://schemas.microsoft.com/office/drawing/2014/chart" uri="{C3380CC4-5D6E-409C-BE32-E72D297353CC}">
              <c16:uniqueId val="{00000000-0B2C-4BD3-8512-AC9460708257}"/>
            </c:ext>
          </c:extLst>
        </c:ser>
        <c:dLbls>
          <c:showLegendKey val="0"/>
          <c:showVal val="0"/>
          <c:showCatName val="0"/>
          <c:showSerName val="0"/>
          <c:showPercent val="0"/>
          <c:showBubbleSize val="0"/>
        </c:dLbls>
        <c:axId val="-2116354656"/>
        <c:axId val="-2116396256"/>
      </c:scatterChart>
      <c:valAx>
        <c:axId val="-2116354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6396256"/>
        <c:crosses val="autoZero"/>
        <c:crossBetween val="midCat"/>
      </c:valAx>
      <c:valAx>
        <c:axId val="-211639625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635465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34'!#REF!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34'!#REF!</c:f>
              <c:numCache>
                <c:formatCode>General</c:formatCode>
                <c:ptCount val="1"/>
                <c:pt idx="0">
                  <c:v>0</c:v>
                </c:pt>
              </c:numCache>
            </c:numRef>
          </c:xVal>
          <c:yVal>
            <c:numRef>
              <c:f>'Chapitre 34'!#REF!</c:f>
              <c:numCache>
                <c:formatCode>General</c:formatCode>
                <c:ptCount val="1"/>
                <c:pt idx="0">
                  <c:v>0</c:v>
                </c:pt>
              </c:numCache>
            </c:numRef>
          </c:yVal>
          <c:smooth val="1"/>
          <c:extLst>
            <c:ext xmlns:c16="http://schemas.microsoft.com/office/drawing/2014/chart" uri="{C3380CC4-5D6E-409C-BE32-E72D297353CC}">
              <c16:uniqueId val="{00000000-2139-488A-8B85-37B90C581725}"/>
            </c:ext>
          </c:extLst>
        </c:ser>
        <c:dLbls>
          <c:showLegendKey val="0"/>
          <c:showVal val="0"/>
          <c:showCatName val="0"/>
          <c:showSerName val="0"/>
          <c:showPercent val="0"/>
          <c:showBubbleSize val="0"/>
        </c:dLbls>
        <c:axId val="-2112878352"/>
        <c:axId val="-2112741216"/>
      </c:scatterChart>
      <c:valAx>
        <c:axId val="-2112878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741216"/>
        <c:crosses val="autoZero"/>
        <c:crossBetween val="midCat"/>
      </c:valAx>
      <c:valAx>
        <c:axId val="-21127412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87835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35'!#REF!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35'!#REF!</c:f>
              <c:numCache>
                <c:formatCode>General</c:formatCode>
                <c:ptCount val="1"/>
                <c:pt idx="0">
                  <c:v>1</c:v>
                </c:pt>
              </c:numCache>
            </c:numRef>
          </c:xVal>
          <c:yVal>
            <c:numRef>
              <c:f>'Chapitre 35'!#REF!</c:f>
              <c:numCache>
                <c:formatCode>General</c:formatCode>
                <c:ptCount val="1"/>
                <c:pt idx="0">
                  <c:v>1</c:v>
                </c:pt>
              </c:numCache>
            </c:numRef>
          </c:yVal>
          <c:smooth val="1"/>
          <c:extLst>
            <c:ext xmlns:c16="http://schemas.microsoft.com/office/drawing/2014/chart" uri="{C3380CC4-5D6E-409C-BE32-E72D297353CC}">
              <c16:uniqueId val="{00000000-18A6-4CEA-AC85-6321A680EF37}"/>
            </c:ext>
          </c:extLst>
        </c:ser>
        <c:dLbls>
          <c:showLegendKey val="0"/>
          <c:showVal val="0"/>
          <c:showCatName val="0"/>
          <c:showSerName val="0"/>
          <c:showPercent val="0"/>
          <c:showBubbleSize val="0"/>
        </c:dLbls>
        <c:axId val="-2112460800"/>
        <c:axId val="-2093725424"/>
      </c:scatterChart>
      <c:valAx>
        <c:axId val="-2112460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3725424"/>
        <c:crosses val="autoZero"/>
        <c:crossBetween val="midCat"/>
      </c:valAx>
      <c:valAx>
        <c:axId val="-209372542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46080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35'!#REF!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35'!#REF!</c:f>
              <c:numCache>
                <c:formatCode>General</c:formatCode>
                <c:ptCount val="1"/>
                <c:pt idx="0">
                  <c:v>1</c:v>
                </c:pt>
              </c:numCache>
            </c:numRef>
          </c:xVal>
          <c:yVal>
            <c:numRef>
              <c:f>'Chapitre 35'!#REF!</c:f>
              <c:numCache>
                <c:formatCode>General</c:formatCode>
                <c:ptCount val="1"/>
                <c:pt idx="0">
                  <c:v>1</c:v>
                </c:pt>
              </c:numCache>
            </c:numRef>
          </c:yVal>
          <c:smooth val="1"/>
          <c:extLst>
            <c:ext xmlns:c16="http://schemas.microsoft.com/office/drawing/2014/chart" uri="{C3380CC4-5D6E-409C-BE32-E72D297353CC}">
              <c16:uniqueId val="{00000000-3EFC-4761-BDE5-7155541ECB66}"/>
            </c:ext>
          </c:extLst>
        </c:ser>
        <c:dLbls>
          <c:showLegendKey val="0"/>
          <c:showVal val="0"/>
          <c:showCatName val="0"/>
          <c:showSerName val="0"/>
          <c:showPercent val="0"/>
          <c:showBubbleSize val="0"/>
        </c:dLbls>
        <c:axId val="-2131285280"/>
        <c:axId val="-2089410352"/>
      </c:scatterChart>
      <c:valAx>
        <c:axId val="-2131285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89410352"/>
        <c:crosses val="autoZero"/>
        <c:crossBetween val="midCat"/>
      </c:valAx>
      <c:valAx>
        <c:axId val="-208941035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28528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b="1"/>
              <a:t>Multiple</a:t>
            </a:r>
            <a:r>
              <a:rPr lang="fr-FR" b="1" baseline="0"/>
              <a:t> du résultat d'exploitation 2025 et taux de croissance du résultat d'exploitation 2025-2028</a:t>
            </a:r>
            <a:endParaRPr lang="fr-FR" b="1"/>
          </a:p>
        </c:rich>
      </c:tx>
      <c:layout>
        <c:manualLayout>
          <c:xMode val="edge"/>
          <c:yMode val="edge"/>
          <c:x val="0.22000463303809145"/>
          <c:y val="2.954546512006625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scatterChart>
        <c:scatterStyle val="lineMarker"/>
        <c:varyColors val="0"/>
        <c:ser>
          <c:idx val="0"/>
          <c:order val="0"/>
          <c:spPr>
            <a:ln w="381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28866054243219597"/>
                  <c:y val="-0.13798749444205041"/>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baseline="0"/>
                      <a:t>y = 252,33x + 3,0934</a:t>
                    </a:r>
                    <a:br>
                      <a:rPr lang="en-US" baseline="0"/>
                    </a:br>
                    <a:r>
                      <a:rPr lang="en-US" baseline="0"/>
                      <a:t>R² = 0,48</a:t>
                    </a:r>
                    <a:endParaRPr lang="en-US"/>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'Chapitre 33'!$K$91:$K$95</c:f>
              <c:numCache>
                <c:formatCode>0%</c:formatCode>
                <c:ptCount val="5"/>
                <c:pt idx="0">
                  <c:v>0.35017885146144079</c:v>
                </c:pt>
                <c:pt idx="1">
                  <c:v>0.44500048657421121</c:v>
                </c:pt>
                <c:pt idx="2">
                  <c:v>-5.796727990335071E-2</c:v>
                </c:pt>
                <c:pt idx="3">
                  <c:v>0.58127931543054112</c:v>
                </c:pt>
                <c:pt idx="4">
                  <c:v>0.67825690531144267</c:v>
                </c:pt>
              </c:numCache>
            </c:numRef>
          </c:xVal>
          <c:yVal>
            <c:numRef>
              <c:f>'Chapitre 33'!$M$91:$M$95</c:f>
              <c:numCache>
                <c:formatCode>0" x"</c:formatCode>
                <c:ptCount val="5"/>
                <c:pt idx="0">
                  <c:v>44.805752003771808</c:v>
                </c:pt>
                <c:pt idx="1">
                  <c:v>43.018092294477213</c:v>
                </c:pt>
                <c:pt idx="2">
                  <c:v>17.058980151686299</c:v>
                </c:pt>
                <c:pt idx="3">
                  <c:v>264.55555555555554</c:v>
                </c:pt>
                <c:pt idx="4">
                  <c:v>149.8602673147023</c:v>
                </c:pt>
              </c:numCache>
            </c:numRef>
          </c:yVal>
          <c:smooth val="0"/>
          <c:extLst>
            <c:ext xmlns:c16="http://schemas.microsoft.com/office/drawing/2014/chart" uri="{C3380CC4-5D6E-409C-BE32-E72D297353CC}">
              <c16:uniqueId val="{00000001-F108-490D-A87A-0E166814394C}"/>
            </c:ext>
          </c:extLst>
        </c:ser>
        <c:dLbls>
          <c:showLegendKey val="0"/>
          <c:showVal val="0"/>
          <c:showCatName val="0"/>
          <c:showSerName val="0"/>
          <c:showPercent val="0"/>
          <c:showBubbleSize val="0"/>
        </c:dLbls>
        <c:axId val="2030397952"/>
        <c:axId val="2030399296"/>
      </c:scatterChart>
      <c:valAx>
        <c:axId val="20303979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1" i="0" u="none" strike="noStrike" kern="1200" spc="0" baseline="0">
                    <a:solidFill>
                      <a:sysClr val="windowText" lastClr="000000">
                        <a:lumMod val="65000"/>
                        <a:lumOff val="35000"/>
                      </a:sysClr>
                    </a:solidFill>
                  </a:rPr>
                  <a:t>Taux de croissance du résultat d'exploitation 2025-2028</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0399296"/>
        <c:crosses val="autoZero"/>
        <c:crossBetween val="midCat"/>
      </c:valAx>
      <c:valAx>
        <c:axId val="20303992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sz="1000" b="1" i="0" u="none" strike="noStrike" kern="1200" spc="0" baseline="0">
                    <a:solidFill>
                      <a:sysClr val="windowText" lastClr="000000">
                        <a:lumMod val="65000"/>
                        <a:lumOff val="35000"/>
                      </a:sysClr>
                    </a:solidFill>
                  </a:rPr>
                  <a:t>Multiple du résultat d'exploitation 2025 </a:t>
                </a:r>
              </a:p>
            </c:rich>
          </c:tx>
          <c:layout>
            <c:manualLayout>
              <c:xMode val="edge"/>
              <c:yMode val="edge"/>
              <c:x val="7.9901661816153442E-3"/>
              <c:y val="0.1527078468634281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quot; x&quot;"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0397952"/>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36'!#REF!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36'!#REF!</c:f>
              <c:numCache>
                <c:formatCode>General</c:formatCode>
                <c:ptCount val="1"/>
                <c:pt idx="0">
                  <c:v>0</c:v>
                </c:pt>
              </c:numCache>
            </c:numRef>
          </c:xVal>
          <c:yVal>
            <c:numRef>
              <c:f>'Chapitre 36'!#REF!</c:f>
              <c:numCache>
                <c:formatCode>General</c:formatCode>
                <c:ptCount val="1"/>
                <c:pt idx="0">
                  <c:v>0</c:v>
                </c:pt>
              </c:numCache>
            </c:numRef>
          </c:yVal>
          <c:smooth val="1"/>
          <c:extLst>
            <c:ext xmlns:c16="http://schemas.microsoft.com/office/drawing/2014/chart" uri="{C3380CC4-5D6E-409C-BE32-E72D297353CC}">
              <c16:uniqueId val="{00000000-3CA6-4E83-98C3-48823BB39A7B}"/>
            </c:ext>
          </c:extLst>
        </c:ser>
        <c:dLbls>
          <c:showLegendKey val="0"/>
          <c:showVal val="0"/>
          <c:showCatName val="0"/>
          <c:showSerName val="0"/>
          <c:showPercent val="0"/>
          <c:showBubbleSize val="0"/>
        </c:dLbls>
        <c:axId val="-2135864496"/>
        <c:axId val="-2108464160"/>
      </c:scatterChart>
      <c:valAx>
        <c:axId val="-21358644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8464160"/>
        <c:crosses val="autoZero"/>
        <c:crossBetween val="midCat"/>
      </c:valAx>
      <c:valAx>
        <c:axId val="-21084641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586449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36'!#REF!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36'!#REF!</c:f>
              <c:numCache>
                <c:formatCode>General</c:formatCode>
                <c:ptCount val="1"/>
                <c:pt idx="0">
                  <c:v>0</c:v>
                </c:pt>
              </c:numCache>
            </c:numRef>
          </c:xVal>
          <c:yVal>
            <c:numRef>
              <c:f>'Chapitre 36'!#REF!</c:f>
              <c:numCache>
                <c:formatCode>General</c:formatCode>
                <c:ptCount val="1"/>
                <c:pt idx="0">
                  <c:v>0</c:v>
                </c:pt>
              </c:numCache>
            </c:numRef>
          </c:yVal>
          <c:smooth val="1"/>
          <c:extLst>
            <c:ext xmlns:c16="http://schemas.microsoft.com/office/drawing/2014/chart" uri="{C3380CC4-5D6E-409C-BE32-E72D297353CC}">
              <c16:uniqueId val="{00000000-7009-4EE6-BA90-C41784ECAA57}"/>
            </c:ext>
          </c:extLst>
        </c:ser>
        <c:dLbls>
          <c:showLegendKey val="0"/>
          <c:showVal val="0"/>
          <c:showCatName val="0"/>
          <c:showSerName val="0"/>
          <c:showPercent val="0"/>
          <c:showBubbleSize val="0"/>
        </c:dLbls>
        <c:axId val="-2130916816"/>
        <c:axId val="-2130913904"/>
      </c:scatterChart>
      <c:valAx>
        <c:axId val="-21309168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0913904"/>
        <c:crosses val="autoZero"/>
        <c:crossBetween val="midCat"/>
      </c:valAx>
      <c:valAx>
        <c:axId val="-213091390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091681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 Chapitre 37'!#REF!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37'!#REF!</c:f>
              <c:numCache>
                <c:formatCode>General</c:formatCode>
                <c:ptCount val="1"/>
                <c:pt idx="0">
                  <c:v>1</c:v>
                </c:pt>
              </c:numCache>
            </c:numRef>
          </c:xVal>
          <c:yVal>
            <c:numRef>
              <c:f>' Chapitre 37'!#REF!</c:f>
              <c:numCache>
                <c:formatCode>General</c:formatCode>
                <c:ptCount val="1"/>
                <c:pt idx="0">
                  <c:v>1</c:v>
                </c:pt>
              </c:numCache>
            </c:numRef>
          </c:yVal>
          <c:smooth val="1"/>
          <c:extLst>
            <c:ext xmlns:c16="http://schemas.microsoft.com/office/drawing/2014/chart" uri="{C3380CC4-5D6E-409C-BE32-E72D297353CC}">
              <c16:uniqueId val="{00000000-9C2A-4917-825C-CD2FBECF3238}"/>
            </c:ext>
          </c:extLst>
        </c:ser>
        <c:dLbls>
          <c:showLegendKey val="0"/>
          <c:showVal val="0"/>
          <c:showCatName val="0"/>
          <c:showSerName val="0"/>
          <c:showPercent val="0"/>
          <c:showBubbleSize val="0"/>
        </c:dLbls>
        <c:axId val="-2092752928"/>
        <c:axId val="-2135214320"/>
      </c:scatterChart>
      <c:valAx>
        <c:axId val="-2092752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5214320"/>
        <c:crosses val="autoZero"/>
        <c:crossBetween val="midCat"/>
      </c:valAx>
      <c:valAx>
        <c:axId val="-21352143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75292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63767490073301E-2"/>
          <c:y val="6.3937727317664603E-2"/>
          <c:w val="0.65072604687616398"/>
          <c:h val="0.74981516581624796"/>
        </c:manualLayout>
      </c:layout>
      <c:barChart>
        <c:barDir val="col"/>
        <c:grouping val="stacked"/>
        <c:varyColors val="0"/>
        <c:ser>
          <c:idx val="3"/>
          <c:order val="0"/>
          <c:tx>
            <c:strRef>
              <c:f>'Chapitre 18'!$D$95</c:f>
              <c:strCache>
                <c:ptCount val="1"/>
                <c:pt idx="0">
                  <c:v>Amort. du capital</c:v>
                </c:pt>
              </c:strCache>
            </c:strRef>
          </c:tx>
          <c:spPr>
            <a:solidFill>
              <a:srgbClr val="CCFFFF"/>
            </a:solidFill>
            <a:ln w="12700">
              <a:solidFill>
                <a:srgbClr val="000000"/>
              </a:solidFill>
              <a:prstDash val="solid"/>
            </a:ln>
          </c:spPr>
          <c:invertIfNegative val="0"/>
          <c:val>
            <c:numRef>
              <c:f>'Chapitre 18'!$D$96:$D$99</c:f>
              <c:numCache>
                <c:formatCode>#\ ##0.00\ _F</c:formatCode>
                <c:ptCount val="4"/>
                <c:pt idx="0">
                  <c:v>25</c:v>
                </c:pt>
                <c:pt idx="1">
                  <c:v>25</c:v>
                </c:pt>
                <c:pt idx="2">
                  <c:v>25</c:v>
                </c:pt>
                <c:pt idx="3">
                  <c:v>25</c:v>
                </c:pt>
              </c:numCache>
            </c:numRef>
          </c:val>
          <c:extLst>
            <c:ext xmlns:c16="http://schemas.microsoft.com/office/drawing/2014/chart" uri="{C3380CC4-5D6E-409C-BE32-E72D297353CC}">
              <c16:uniqueId val="{00000000-E227-4DE3-BFA4-82D38DB405AB}"/>
            </c:ext>
          </c:extLst>
        </c:ser>
        <c:ser>
          <c:idx val="4"/>
          <c:order val="1"/>
          <c:tx>
            <c:strRef>
              <c:f>'Chapitre 18'!$E$95</c:f>
              <c:strCache>
                <c:ptCount val="1"/>
                <c:pt idx="0">
                  <c:v>Intérêts</c:v>
                </c:pt>
              </c:strCache>
            </c:strRef>
          </c:tx>
          <c:spPr>
            <a:solidFill>
              <a:srgbClr val="660066"/>
            </a:solidFill>
            <a:ln w="12700">
              <a:solidFill>
                <a:srgbClr val="000000"/>
              </a:solidFill>
              <a:prstDash val="solid"/>
            </a:ln>
          </c:spPr>
          <c:invertIfNegative val="0"/>
          <c:val>
            <c:numRef>
              <c:f>'Chapitre 18'!$E$96:$E$99</c:f>
              <c:numCache>
                <c:formatCode>#\ ##0.00\ _F</c:formatCode>
                <c:ptCount val="4"/>
                <c:pt idx="0">
                  <c:v>7.0000000000000009</c:v>
                </c:pt>
                <c:pt idx="1">
                  <c:v>5.2500000000000009</c:v>
                </c:pt>
                <c:pt idx="2">
                  <c:v>3.5000000000000004</c:v>
                </c:pt>
                <c:pt idx="3">
                  <c:v>1.7500000000000002</c:v>
                </c:pt>
              </c:numCache>
            </c:numRef>
          </c:val>
          <c:extLst>
            <c:ext xmlns:c16="http://schemas.microsoft.com/office/drawing/2014/chart" uri="{C3380CC4-5D6E-409C-BE32-E72D297353CC}">
              <c16:uniqueId val="{00000001-E227-4DE3-BFA4-82D38DB405AB}"/>
            </c:ext>
          </c:extLst>
        </c:ser>
        <c:dLbls>
          <c:showLegendKey val="0"/>
          <c:showVal val="0"/>
          <c:showCatName val="0"/>
          <c:showSerName val="0"/>
          <c:showPercent val="0"/>
          <c:showBubbleSize val="0"/>
        </c:dLbls>
        <c:gapWidth val="150"/>
        <c:overlap val="100"/>
        <c:axId val="-2138601568"/>
        <c:axId val="-2094337120"/>
      </c:barChart>
      <c:catAx>
        <c:axId val="-213860156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fr-FR"/>
                  <a:t>Période</a:t>
                </a:r>
              </a:p>
            </c:rich>
          </c:tx>
          <c:layout>
            <c:manualLayout>
              <c:xMode val="edge"/>
              <c:yMode val="edge"/>
              <c:x val="0.3631471852182"/>
              <c:y val="0.8544403547189739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2094337120"/>
        <c:crosses val="autoZero"/>
        <c:auto val="1"/>
        <c:lblAlgn val="ctr"/>
        <c:lblOffset val="100"/>
        <c:tickLblSkip val="1"/>
        <c:tickMarkSkip val="1"/>
        <c:noMultiLvlLbl val="0"/>
      </c:catAx>
      <c:valAx>
        <c:axId val="-2094337120"/>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fr-FR"/>
                  <a:t>€</a:t>
                </a:r>
              </a:p>
            </c:rich>
          </c:tx>
          <c:layout>
            <c:manualLayout>
              <c:xMode val="edge"/>
              <c:yMode val="edge"/>
              <c:x val="1.04956062882077E-2"/>
              <c:y val="0.40687632980788702"/>
            </c:manualLayout>
          </c:layout>
          <c:overlay val="0"/>
          <c:spPr>
            <a:noFill/>
            <a:ln w="25400">
              <a:noFill/>
            </a:ln>
          </c:spPr>
        </c:title>
        <c:numFmt formatCode="#\ ##0.00\ _F" sourceLinked="1"/>
        <c:majorTickMark val="out"/>
        <c:minorTickMark val="none"/>
        <c:tickLblPos val="nextTo"/>
        <c:spPr>
          <a:ln w="3175">
            <a:solidFill>
              <a:srgbClr val="000000"/>
            </a:solidFill>
            <a:prstDash val="solid"/>
          </a:ln>
        </c:spPr>
        <c:txPr>
          <a:bodyPr rot="0" vert="horz"/>
          <a:lstStyle/>
          <a:p>
            <a:pPr>
              <a:defRPr sz="450" b="0" i="0" u="none" strike="noStrike" baseline="0">
                <a:solidFill>
                  <a:srgbClr val="000000"/>
                </a:solidFill>
                <a:latin typeface="Arial"/>
                <a:ea typeface="Arial"/>
                <a:cs typeface="Arial"/>
              </a:defRPr>
            </a:pPr>
            <a:endParaRPr lang="fr-FR"/>
          </a:p>
        </c:txPr>
        <c:crossAx val="-2138601568"/>
        <c:crosses val="autoZero"/>
        <c:crossBetween val="between"/>
      </c:valAx>
      <c:spPr>
        <a:solidFill>
          <a:srgbClr val="C0C0C0"/>
        </a:solidFill>
        <a:ln w="12700">
          <a:solidFill>
            <a:srgbClr val="808080"/>
          </a:solidFill>
          <a:prstDash val="solid"/>
        </a:ln>
      </c:spPr>
    </c:plotArea>
    <c:legend>
      <c:legendPos val="r"/>
      <c:layout>
        <c:manualLayout>
          <c:xMode val="edge"/>
          <c:yMode val="edge"/>
          <c:x val="0.78846326598897698"/>
          <c:y val="0.38697354205349599"/>
          <c:w val="0.18974400547376999"/>
          <c:h val="0.21839100888167601"/>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 Chapitre 37'!#REF!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37'!#REF!</c:f>
              <c:numCache>
                <c:formatCode>General</c:formatCode>
                <c:ptCount val="1"/>
                <c:pt idx="0">
                  <c:v>1</c:v>
                </c:pt>
              </c:numCache>
            </c:numRef>
          </c:xVal>
          <c:yVal>
            <c:numRef>
              <c:f>' Chapitre 37'!#REF!</c:f>
              <c:numCache>
                <c:formatCode>General</c:formatCode>
                <c:ptCount val="1"/>
                <c:pt idx="0">
                  <c:v>1</c:v>
                </c:pt>
              </c:numCache>
            </c:numRef>
          </c:yVal>
          <c:smooth val="1"/>
          <c:extLst>
            <c:ext xmlns:c16="http://schemas.microsoft.com/office/drawing/2014/chart" uri="{C3380CC4-5D6E-409C-BE32-E72D297353CC}">
              <c16:uniqueId val="{00000000-CEF1-441C-AA2A-06550D8689CC}"/>
            </c:ext>
          </c:extLst>
        </c:ser>
        <c:dLbls>
          <c:showLegendKey val="0"/>
          <c:showVal val="0"/>
          <c:showCatName val="0"/>
          <c:showSerName val="0"/>
          <c:showPercent val="0"/>
          <c:showBubbleSize val="0"/>
        </c:dLbls>
        <c:axId val="-2135055552"/>
        <c:axId val="-2111928960"/>
      </c:scatterChart>
      <c:valAx>
        <c:axId val="-2135055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1928960"/>
        <c:crosses val="autoZero"/>
        <c:crossBetween val="midCat"/>
      </c:valAx>
      <c:valAx>
        <c:axId val="-21119289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505555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38'!#REF!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38'!#REF!</c:f>
              <c:numCache>
                <c:formatCode>General</c:formatCode>
                <c:ptCount val="1"/>
                <c:pt idx="0">
                  <c:v>0</c:v>
                </c:pt>
              </c:numCache>
            </c:numRef>
          </c:xVal>
          <c:yVal>
            <c:numRef>
              <c:f>'Chapitre 38'!#REF!</c:f>
              <c:numCache>
                <c:formatCode>General</c:formatCode>
                <c:ptCount val="1"/>
                <c:pt idx="0">
                  <c:v>0</c:v>
                </c:pt>
              </c:numCache>
            </c:numRef>
          </c:yVal>
          <c:smooth val="1"/>
          <c:extLst>
            <c:ext xmlns:c16="http://schemas.microsoft.com/office/drawing/2014/chart" uri="{C3380CC4-5D6E-409C-BE32-E72D297353CC}">
              <c16:uniqueId val="{00000000-1192-4605-B6C8-E40D74554E9E}"/>
            </c:ext>
          </c:extLst>
        </c:ser>
        <c:dLbls>
          <c:showLegendKey val="0"/>
          <c:showVal val="0"/>
          <c:showCatName val="0"/>
          <c:showSerName val="0"/>
          <c:showPercent val="0"/>
          <c:showBubbleSize val="0"/>
        </c:dLbls>
        <c:axId val="-2107313344"/>
        <c:axId val="-2106670096"/>
      </c:scatterChart>
      <c:valAx>
        <c:axId val="-2107313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6670096"/>
        <c:crosses val="autoZero"/>
        <c:crossBetween val="midCat"/>
      </c:valAx>
      <c:valAx>
        <c:axId val="-21066700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31334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38'!#REF!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38'!#REF!</c:f>
              <c:numCache>
                <c:formatCode>General</c:formatCode>
                <c:ptCount val="1"/>
                <c:pt idx="0">
                  <c:v>0</c:v>
                </c:pt>
              </c:numCache>
            </c:numRef>
          </c:xVal>
          <c:yVal>
            <c:numRef>
              <c:f>'Chapitre 38'!#REF!</c:f>
              <c:numCache>
                <c:formatCode>General</c:formatCode>
                <c:ptCount val="1"/>
                <c:pt idx="0">
                  <c:v>0</c:v>
                </c:pt>
              </c:numCache>
            </c:numRef>
          </c:yVal>
          <c:smooth val="1"/>
          <c:extLst>
            <c:ext xmlns:c16="http://schemas.microsoft.com/office/drawing/2014/chart" uri="{C3380CC4-5D6E-409C-BE32-E72D297353CC}">
              <c16:uniqueId val="{00000000-C419-4A55-B894-16F12B10727A}"/>
            </c:ext>
          </c:extLst>
        </c:ser>
        <c:dLbls>
          <c:showLegendKey val="0"/>
          <c:showVal val="0"/>
          <c:showCatName val="0"/>
          <c:showSerName val="0"/>
          <c:showPercent val="0"/>
          <c:showBubbleSize val="0"/>
        </c:dLbls>
        <c:axId val="-2130835264"/>
        <c:axId val="-2107482016"/>
      </c:scatterChart>
      <c:valAx>
        <c:axId val="-2130835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482016"/>
        <c:crosses val="autoZero"/>
        <c:crossBetween val="midCat"/>
      </c:valAx>
      <c:valAx>
        <c:axId val="-21074820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083526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39'!#REF!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39'!#REF!</c:f>
              <c:numCache>
                <c:formatCode>General</c:formatCode>
                <c:ptCount val="1"/>
                <c:pt idx="0">
                  <c:v>0</c:v>
                </c:pt>
              </c:numCache>
            </c:numRef>
          </c:xVal>
          <c:yVal>
            <c:numRef>
              <c:f>'Chapitre 39'!#REF!</c:f>
              <c:numCache>
                <c:formatCode>General</c:formatCode>
                <c:ptCount val="1"/>
                <c:pt idx="0">
                  <c:v>0</c:v>
                </c:pt>
              </c:numCache>
            </c:numRef>
          </c:yVal>
          <c:smooth val="1"/>
          <c:extLst>
            <c:ext xmlns:c16="http://schemas.microsoft.com/office/drawing/2014/chart" uri="{C3380CC4-5D6E-409C-BE32-E72D297353CC}">
              <c16:uniqueId val="{00000000-5CC2-4BE9-828C-A2A5CD628035}"/>
            </c:ext>
          </c:extLst>
        </c:ser>
        <c:dLbls>
          <c:showLegendKey val="0"/>
          <c:showVal val="0"/>
          <c:showCatName val="0"/>
          <c:showSerName val="0"/>
          <c:showPercent val="0"/>
          <c:showBubbleSize val="0"/>
        </c:dLbls>
        <c:axId val="-2107464144"/>
        <c:axId val="-2130827936"/>
      </c:scatterChart>
      <c:valAx>
        <c:axId val="-2107464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0827936"/>
        <c:crosses val="autoZero"/>
        <c:crossBetween val="midCat"/>
      </c:valAx>
      <c:valAx>
        <c:axId val="-2130827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46414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39'!#REF!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39'!#REF!</c:f>
              <c:numCache>
                <c:formatCode>General</c:formatCode>
                <c:ptCount val="1"/>
                <c:pt idx="0">
                  <c:v>0</c:v>
                </c:pt>
              </c:numCache>
            </c:numRef>
          </c:xVal>
          <c:yVal>
            <c:numRef>
              <c:f>'Chapitre 39'!#REF!</c:f>
              <c:numCache>
                <c:formatCode>General</c:formatCode>
                <c:ptCount val="1"/>
                <c:pt idx="0">
                  <c:v>0</c:v>
                </c:pt>
              </c:numCache>
            </c:numRef>
          </c:yVal>
          <c:smooth val="1"/>
          <c:extLst>
            <c:ext xmlns:c16="http://schemas.microsoft.com/office/drawing/2014/chart" uri="{C3380CC4-5D6E-409C-BE32-E72D297353CC}">
              <c16:uniqueId val="{00000000-494C-4F85-A1A5-F08E3D2448AD}"/>
            </c:ext>
          </c:extLst>
        </c:ser>
        <c:dLbls>
          <c:showLegendKey val="0"/>
          <c:showVal val="0"/>
          <c:showCatName val="0"/>
          <c:showSerName val="0"/>
          <c:showPercent val="0"/>
          <c:showBubbleSize val="0"/>
        </c:dLbls>
        <c:axId val="-2075112848"/>
        <c:axId val="-2092891104"/>
      </c:scatterChart>
      <c:valAx>
        <c:axId val="-2075112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891104"/>
        <c:crosses val="autoZero"/>
        <c:crossBetween val="midCat"/>
      </c:valAx>
      <c:valAx>
        <c:axId val="-209289110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7511284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40'!#REF!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40'!#REF!</c:f>
              <c:numCache>
                <c:formatCode>General</c:formatCode>
                <c:ptCount val="1"/>
                <c:pt idx="0">
                  <c:v>0</c:v>
                </c:pt>
              </c:numCache>
            </c:numRef>
          </c:xVal>
          <c:yVal>
            <c:numRef>
              <c:f>'Chapitre 40'!#REF!</c:f>
              <c:numCache>
                <c:formatCode>General</c:formatCode>
                <c:ptCount val="1"/>
                <c:pt idx="0">
                  <c:v>0</c:v>
                </c:pt>
              </c:numCache>
            </c:numRef>
          </c:yVal>
          <c:smooth val="1"/>
          <c:extLst>
            <c:ext xmlns:c16="http://schemas.microsoft.com/office/drawing/2014/chart" uri="{C3380CC4-5D6E-409C-BE32-E72D297353CC}">
              <c16:uniqueId val="{00000000-D7BD-4676-99D0-E54CF6700438}"/>
            </c:ext>
          </c:extLst>
        </c:ser>
        <c:dLbls>
          <c:showLegendKey val="0"/>
          <c:showVal val="0"/>
          <c:showCatName val="0"/>
          <c:showSerName val="0"/>
          <c:showPercent val="0"/>
          <c:showBubbleSize val="0"/>
        </c:dLbls>
        <c:axId val="-2106882192"/>
        <c:axId val="-2107516544"/>
      </c:scatterChart>
      <c:valAx>
        <c:axId val="-2106882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516544"/>
        <c:crosses val="autoZero"/>
        <c:crossBetween val="midCat"/>
      </c:valAx>
      <c:valAx>
        <c:axId val="-21075165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688219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40'!#REF!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40'!#REF!</c:f>
              <c:numCache>
                <c:formatCode>General</c:formatCode>
                <c:ptCount val="1"/>
                <c:pt idx="0">
                  <c:v>0</c:v>
                </c:pt>
              </c:numCache>
            </c:numRef>
          </c:xVal>
          <c:yVal>
            <c:numRef>
              <c:f>'Chapitre 40'!#REF!</c:f>
              <c:numCache>
                <c:formatCode>General</c:formatCode>
                <c:ptCount val="1"/>
                <c:pt idx="0">
                  <c:v>0</c:v>
                </c:pt>
              </c:numCache>
            </c:numRef>
          </c:yVal>
          <c:smooth val="1"/>
          <c:extLst>
            <c:ext xmlns:c16="http://schemas.microsoft.com/office/drawing/2014/chart" uri="{C3380CC4-5D6E-409C-BE32-E72D297353CC}">
              <c16:uniqueId val="{00000000-0EC7-4F90-8A3C-D1EBA8BA2030}"/>
            </c:ext>
          </c:extLst>
        </c:ser>
        <c:dLbls>
          <c:showLegendKey val="0"/>
          <c:showVal val="0"/>
          <c:showCatName val="0"/>
          <c:showSerName val="0"/>
          <c:showPercent val="0"/>
          <c:showBubbleSize val="0"/>
        </c:dLbls>
        <c:axId val="-2106907280"/>
        <c:axId val="-2111971744"/>
      </c:scatterChart>
      <c:valAx>
        <c:axId val="-2106907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1971744"/>
        <c:crosses val="autoZero"/>
        <c:crossBetween val="midCat"/>
      </c:valAx>
      <c:valAx>
        <c:axId val="-21119717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690728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41'!#REF!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41'!#REF!</c:f>
              <c:numCache>
                <c:formatCode>General</c:formatCode>
                <c:ptCount val="1"/>
                <c:pt idx="0">
                  <c:v>0</c:v>
                </c:pt>
              </c:numCache>
            </c:numRef>
          </c:xVal>
          <c:yVal>
            <c:numRef>
              <c:f>'Chapitre 41'!#REF!</c:f>
              <c:numCache>
                <c:formatCode>General</c:formatCode>
                <c:ptCount val="1"/>
                <c:pt idx="0">
                  <c:v>0</c:v>
                </c:pt>
              </c:numCache>
            </c:numRef>
          </c:yVal>
          <c:smooth val="1"/>
          <c:extLst>
            <c:ext xmlns:c16="http://schemas.microsoft.com/office/drawing/2014/chart" uri="{C3380CC4-5D6E-409C-BE32-E72D297353CC}">
              <c16:uniqueId val="{00000000-3F2B-4E93-9943-35B00B112656}"/>
            </c:ext>
          </c:extLst>
        </c:ser>
        <c:dLbls>
          <c:showLegendKey val="0"/>
          <c:showVal val="0"/>
          <c:showCatName val="0"/>
          <c:showSerName val="0"/>
          <c:showPercent val="0"/>
          <c:showBubbleSize val="0"/>
        </c:dLbls>
        <c:axId val="-2131243200"/>
        <c:axId val="-2131169760"/>
      </c:scatterChart>
      <c:valAx>
        <c:axId val="-2131243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169760"/>
        <c:crosses val="autoZero"/>
        <c:crossBetween val="midCat"/>
      </c:valAx>
      <c:valAx>
        <c:axId val="-21311697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24320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41'!#REF!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41'!#REF!</c:f>
              <c:numCache>
                <c:formatCode>General</c:formatCode>
                <c:ptCount val="1"/>
                <c:pt idx="0">
                  <c:v>0</c:v>
                </c:pt>
              </c:numCache>
            </c:numRef>
          </c:xVal>
          <c:yVal>
            <c:numRef>
              <c:f>'Chapitre 41'!#REF!</c:f>
              <c:numCache>
                <c:formatCode>General</c:formatCode>
                <c:ptCount val="1"/>
                <c:pt idx="0">
                  <c:v>0</c:v>
                </c:pt>
              </c:numCache>
            </c:numRef>
          </c:yVal>
          <c:smooth val="1"/>
          <c:extLst>
            <c:ext xmlns:c16="http://schemas.microsoft.com/office/drawing/2014/chart" uri="{C3380CC4-5D6E-409C-BE32-E72D297353CC}">
              <c16:uniqueId val="{00000000-9268-49BD-8531-BC045FFAC6B3}"/>
            </c:ext>
          </c:extLst>
        </c:ser>
        <c:dLbls>
          <c:showLegendKey val="0"/>
          <c:showVal val="0"/>
          <c:showCatName val="0"/>
          <c:showSerName val="0"/>
          <c:showPercent val="0"/>
          <c:showBubbleSize val="0"/>
        </c:dLbls>
        <c:axId val="-2131366112"/>
        <c:axId val="-2106939040"/>
      </c:scatterChart>
      <c:valAx>
        <c:axId val="-2131366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6939040"/>
        <c:crosses val="autoZero"/>
        <c:crossBetween val="midCat"/>
      </c:valAx>
      <c:valAx>
        <c:axId val="-210693904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136611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 Chapitre 42'!#REF!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42'!#REF!</c:f>
              <c:numCache>
                <c:formatCode>General</c:formatCode>
                <c:ptCount val="1"/>
                <c:pt idx="0">
                  <c:v>0</c:v>
                </c:pt>
              </c:numCache>
            </c:numRef>
          </c:xVal>
          <c:yVal>
            <c:numRef>
              <c:f>' Chapitre 42'!#REF!</c:f>
              <c:numCache>
                <c:formatCode>General</c:formatCode>
                <c:ptCount val="1"/>
                <c:pt idx="0">
                  <c:v>0</c:v>
                </c:pt>
              </c:numCache>
            </c:numRef>
          </c:yVal>
          <c:smooth val="1"/>
          <c:extLst>
            <c:ext xmlns:c16="http://schemas.microsoft.com/office/drawing/2014/chart" uri="{C3380CC4-5D6E-409C-BE32-E72D297353CC}">
              <c16:uniqueId val="{00000000-2FED-45F0-89AB-965BE44B330D}"/>
            </c:ext>
          </c:extLst>
        </c:ser>
        <c:dLbls>
          <c:showLegendKey val="0"/>
          <c:showVal val="0"/>
          <c:showCatName val="0"/>
          <c:showSerName val="0"/>
          <c:showPercent val="0"/>
          <c:showBubbleSize val="0"/>
        </c:dLbls>
        <c:axId val="-2092218208"/>
        <c:axId val="-2135701392"/>
      </c:scatterChart>
      <c:valAx>
        <c:axId val="-2092218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5701392"/>
        <c:crosses val="autoZero"/>
        <c:crossBetween val="midCat"/>
      </c:valAx>
      <c:valAx>
        <c:axId val="-21357013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21820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fr-FR"/>
              <a:t>Portefeuille H,C</a:t>
            </a:r>
          </a:p>
        </c:rich>
      </c:tx>
      <c:layout>
        <c:manualLayout>
          <c:xMode val="edge"/>
          <c:yMode val="edge"/>
          <c:x val="0.39602210049830699"/>
          <c:y val="3.9215686274509803E-2"/>
        </c:manualLayout>
      </c:layout>
      <c:overlay val="0"/>
      <c:spPr>
        <a:noFill/>
        <a:ln w="25400">
          <a:noFill/>
        </a:ln>
      </c:spPr>
    </c:title>
    <c:autoTitleDeleted val="0"/>
    <c:plotArea>
      <c:layout>
        <c:manualLayout>
          <c:layoutTarget val="inner"/>
          <c:xMode val="edge"/>
          <c:yMode val="edge"/>
          <c:x val="0.16636542718466299"/>
          <c:y val="0.25098135332932497"/>
          <c:w val="0.76672762093801305"/>
          <c:h val="0.48627637207556701"/>
        </c:manualLayout>
      </c:layout>
      <c:scatterChart>
        <c:scatterStyle val="smoothMarker"/>
        <c:varyColors val="0"/>
        <c:ser>
          <c:idx val="0"/>
          <c:order val="0"/>
          <c:tx>
            <c:strRef>
              <c:f>'Chapitre 20'!$A$27</c:f>
              <c:strCache>
                <c:ptCount val="1"/>
                <c:pt idx="0">
                  <c:v>E(r H,C)</c:v>
                </c:pt>
              </c:strCache>
            </c:strRef>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20'!$B$26:$L$26</c:f>
              <c:numCache>
                <c:formatCode>0.00%</c:formatCode>
                <c:ptCount val="11"/>
                <c:pt idx="0">
                  <c:v>0.1</c:v>
                </c:pt>
                <c:pt idx="1">
                  <c:v>9.6472794092427955E-2</c:v>
                </c:pt>
                <c:pt idx="2">
                  <c:v>9.57257260831504E-2</c:v>
                </c:pt>
                <c:pt idx="3">
                  <c:v>9.8198777996470005E-2</c:v>
                </c:pt>
                <c:pt idx="4">
                  <c:v>0.10330537256115968</c:v>
                </c:pt>
                <c:pt idx="5">
                  <c:v>0.1107925990308017</c:v>
                </c:pt>
                <c:pt idx="6">
                  <c:v>0.12021647141718976</c:v>
                </c:pt>
                <c:pt idx="7">
                  <c:v>0.13116020738013492</c:v>
                </c:pt>
                <c:pt idx="8">
                  <c:v>0.14327595750857858</c:v>
                </c:pt>
                <c:pt idx="9">
                  <c:v>0.15629139451678076</c:v>
                </c:pt>
                <c:pt idx="10">
                  <c:v>0.17</c:v>
                </c:pt>
              </c:numCache>
            </c:numRef>
          </c:xVal>
          <c:yVal>
            <c:numRef>
              <c:f>'Chapitre 20'!$B$27:$L$27</c:f>
              <c:numCache>
                <c:formatCode>0.00%</c:formatCode>
                <c:ptCount val="11"/>
                <c:pt idx="0">
                  <c:v>0.06</c:v>
                </c:pt>
                <c:pt idx="1">
                  <c:v>6.7000000000000004E-2</c:v>
                </c:pt>
                <c:pt idx="2">
                  <c:v>7.1951219512195116E-2</c:v>
                </c:pt>
                <c:pt idx="3">
                  <c:v>8.0999999999999989E-2</c:v>
                </c:pt>
                <c:pt idx="4">
                  <c:v>8.7999999999999995E-2</c:v>
                </c:pt>
                <c:pt idx="5">
                  <c:v>9.5000000000000001E-2</c:v>
                </c:pt>
                <c:pt idx="6">
                  <c:v>0.10200000000000001</c:v>
                </c:pt>
                <c:pt idx="7">
                  <c:v>0.109</c:v>
                </c:pt>
                <c:pt idx="8">
                  <c:v>0.11600000000000001</c:v>
                </c:pt>
                <c:pt idx="9">
                  <c:v>0.123</c:v>
                </c:pt>
                <c:pt idx="10">
                  <c:v>0.13</c:v>
                </c:pt>
              </c:numCache>
            </c:numRef>
          </c:yVal>
          <c:smooth val="1"/>
          <c:extLst>
            <c:ext xmlns:c16="http://schemas.microsoft.com/office/drawing/2014/chart" uri="{C3380CC4-5D6E-409C-BE32-E72D297353CC}">
              <c16:uniqueId val="{00000000-1E2D-4351-A41B-5BDF1F67045D}"/>
            </c:ext>
          </c:extLst>
        </c:ser>
        <c:dLbls>
          <c:showLegendKey val="0"/>
          <c:showVal val="0"/>
          <c:showCatName val="0"/>
          <c:showSerName val="0"/>
          <c:showPercent val="0"/>
          <c:showBubbleSize val="0"/>
        </c:dLbls>
        <c:axId val="-2074874640"/>
        <c:axId val="-2096550192"/>
      </c:scatterChart>
      <c:valAx>
        <c:axId val="-2074874640"/>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fr-FR" sz="925" b="1" i="0" u="none" strike="noStrike" baseline="0">
                    <a:solidFill>
                      <a:srgbClr val="000000"/>
                    </a:solidFill>
                    <a:latin typeface="Arial"/>
                    <a:cs typeface="Arial"/>
                  </a:rPr>
                  <a:t>σ H,C</a:t>
                </a:r>
              </a:p>
            </c:rich>
          </c:tx>
          <c:layout>
            <c:manualLayout>
              <c:xMode val="edge"/>
              <c:yMode val="edge"/>
              <c:x val="0.52079615048118999"/>
              <c:y val="0.85490525449024801"/>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2096550192"/>
        <c:crosses val="autoZero"/>
        <c:crossBetween val="midCat"/>
      </c:valAx>
      <c:valAx>
        <c:axId val="-2096550192"/>
        <c:scaling>
          <c:orientation val="minMax"/>
        </c:scaling>
        <c:delete val="0"/>
        <c:axPos val="l"/>
        <c:majorGridlines>
          <c:spPr>
            <a:ln w="3175">
              <a:solidFill>
                <a:srgbClr val="000000"/>
              </a:solidFill>
              <a:prstDash val="solid"/>
            </a:ln>
          </c:spPr>
        </c:majorGridlines>
        <c:title>
          <c:tx>
            <c:rich>
              <a:bodyPr/>
              <a:lstStyle/>
              <a:p>
                <a:pPr>
                  <a:defRPr sz="925" b="1" i="0" u="none" strike="noStrike" baseline="0">
                    <a:solidFill>
                      <a:srgbClr val="000000"/>
                    </a:solidFill>
                    <a:latin typeface="Arial"/>
                    <a:ea typeface="Arial"/>
                    <a:cs typeface="Arial"/>
                  </a:defRPr>
                </a:pPr>
                <a:r>
                  <a:rPr lang="fr-FR"/>
                  <a:t>E(r H,C)</a:t>
                </a:r>
              </a:p>
            </c:rich>
          </c:tx>
          <c:layout>
            <c:manualLayout>
              <c:xMode val="edge"/>
              <c:yMode val="edge"/>
              <c:x val="2.8933013808056601E-2"/>
              <c:y val="0.40784478410786901"/>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fr-FR"/>
          </a:p>
        </c:txPr>
        <c:crossAx val="-207487464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 Chapitre 42'!#REF!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42'!#REF!</c:f>
              <c:numCache>
                <c:formatCode>General</c:formatCode>
                <c:ptCount val="1"/>
                <c:pt idx="0">
                  <c:v>0</c:v>
                </c:pt>
              </c:numCache>
            </c:numRef>
          </c:xVal>
          <c:yVal>
            <c:numRef>
              <c:f>' Chapitre 42'!#REF!</c:f>
              <c:numCache>
                <c:formatCode>General</c:formatCode>
                <c:ptCount val="1"/>
                <c:pt idx="0">
                  <c:v>0</c:v>
                </c:pt>
              </c:numCache>
            </c:numRef>
          </c:yVal>
          <c:smooth val="1"/>
          <c:extLst>
            <c:ext xmlns:c16="http://schemas.microsoft.com/office/drawing/2014/chart" uri="{C3380CC4-5D6E-409C-BE32-E72D297353CC}">
              <c16:uniqueId val="{00000000-E71C-4D9E-AF38-C797E8964D3B}"/>
            </c:ext>
          </c:extLst>
        </c:ser>
        <c:dLbls>
          <c:showLegendKey val="0"/>
          <c:showVal val="0"/>
          <c:showCatName val="0"/>
          <c:showSerName val="0"/>
          <c:showPercent val="0"/>
          <c:showBubbleSize val="0"/>
        </c:dLbls>
        <c:axId val="-2112252000"/>
        <c:axId val="-2112249088"/>
      </c:scatterChart>
      <c:valAx>
        <c:axId val="-2112252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249088"/>
        <c:crosses val="autoZero"/>
        <c:crossBetween val="midCat"/>
      </c:valAx>
      <c:valAx>
        <c:axId val="-21122490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25200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spPr>
            <a:ln w="12700">
              <a:solidFill>
                <a:srgbClr val="000090"/>
              </a:solidFill>
              <a:prstDash val="solid"/>
            </a:ln>
          </c:spPr>
          <c:marker>
            <c:symbol val="diamond"/>
            <c:size val="5"/>
            <c:spPr>
              <a:solidFill>
                <a:srgbClr val="000080"/>
              </a:solidFill>
              <a:ln>
                <a:solidFill>
                  <a:srgbClr val="000090"/>
                </a:solidFill>
                <a:prstDash val="solid"/>
              </a:ln>
            </c:spPr>
          </c:marker>
          <c:yVal>
            <c:numLit>
              <c:formatCode>General</c:formatCode>
              <c:ptCount val="1"/>
              <c:pt idx="0">
                <c:v>0</c:v>
              </c:pt>
            </c:numLit>
          </c:yVal>
          <c:smooth val="1"/>
          <c:extLst>
            <c:ext xmlns:c16="http://schemas.microsoft.com/office/drawing/2014/chart" uri="{C3380CC4-5D6E-409C-BE32-E72D297353CC}">
              <c16:uniqueId val="{00000000-4A17-4735-BBB9-AD81A66BB5B5}"/>
            </c:ext>
          </c:extLst>
        </c:ser>
        <c:dLbls>
          <c:showLegendKey val="0"/>
          <c:showVal val="0"/>
          <c:showCatName val="0"/>
          <c:showSerName val="0"/>
          <c:showPercent val="0"/>
          <c:showBubbleSize val="0"/>
        </c:dLbls>
        <c:axId val="-2092045648"/>
        <c:axId val="-2107296592"/>
      </c:scatterChart>
      <c:valAx>
        <c:axId val="-2092045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296592"/>
        <c:crosses val="autoZero"/>
        <c:crossBetween val="midCat"/>
      </c:valAx>
      <c:valAx>
        <c:axId val="-21072965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04564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spPr>
            <a:ln w="12700">
              <a:solidFill>
                <a:srgbClr val="000090"/>
              </a:solidFill>
              <a:prstDash val="solid"/>
            </a:ln>
          </c:spPr>
          <c:marker>
            <c:symbol val="diamond"/>
            <c:size val="5"/>
            <c:spPr>
              <a:solidFill>
                <a:srgbClr val="000080"/>
              </a:solidFill>
              <a:ln>
                <a:solidFill>
                  <a:srgbClr val="000090"/>
                </a:solidFill>
                <a:prstDash val="solid"/>
              </a:ln>
            </c:spPr>
          </c:marker>
          <c:yVal>
            <c:numLit>
              <c:formatCode>General</c:formatCode>
              <c:ptCount val="1"/>
              <c:pt idx="0">
                <c:v>0</c:v>
              </c:pt>
            </c:numLit>
          </c:yVal>
          <c:smooth val="1"/>
          <c:extLst>
            <c:ext xmlns:c16="http://schemas.microsoft.com/office/drawing/2014/chart" uri="{C3380CC4-5D6E-409C-BE32-E72D297353CC}">
              <c16:uniqueId val="{00000000-6185-44F5-8911-4453A48F84FE}"/>
            </c:ext>
          </c:extLst>
        </c:ser>
        <c:dLbls>
          <c:showLegendKey val="0"/>
          <c:showVal val="0"/>
          <c:showCatName val="0"/>
          <c:showSerName val="0"/>
          <c:showPercent val="0"/>
          <c:showBubbleSize val="0"/>
        </c:dLbls>
        <c:axId val="-2107246480"/>
        <c:axId val="-2107242528"/>
      </c:scatterChart>
      <c:valAx>
        <c:axId val="-2107246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242528"/>
        <c:crosses val="autoZero"/>
        <c:crossBetween val="midCat"/>
      </c:valAx>
      <c:valAx>
        <c:axId val="-21072425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24648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en-GB"/>
              <a:t>Portefeuille B,S</a:t>
            </a:r>
          </a:p>
        </c:rich>
      </c:tx>
      <c:overlay val="0"/>
      <c:spPr>
        <a:noFill/>
        <a:ln w="25400">
          <a:noFill/>
        </a:ln>
      </c:spPr>
    </c:title>
    <c:autoTitleDeleted val="0"/>
    <c:plotArea>
      <c:layout/>
      <c:scatterChart>
        <c:scatterStyle val="smoothMarker"/>
        <c:varyColors val="0"/>
        <c:ser>
          <c:idx val="0"/>
          <c:order val="0"/>
          <c:spPr>
            <a:ln w="12700">
              <a:solidFill>
                <a:srgbClr val="000090"/>
              </a:solidFill>
              <a:prstDash val="solid"/>
            </a:ln>
          </c:spPr>
          <c:marker>
            <c:symbol val="diamond"/>
            <c:size val="5"/>
            <c:spPr>
              <a:solidFill>
                <a:srgbClr val="000080"/>
              </a:solidFill>
              <a:ln>
                <a:solidFill>
                  <a:srgbClr val="000090"/>
                </a:solidFill>
                <a:prstDash val="solid"/>
              </a:ln>
            </c:spPr>
          </c:marker>
          <c:yVal>
            <c:numLit>
              <c:formatCode>General</c:formatCode>
              <c:ptCount val="1"/>
              <c:pt idx="0">
                <c:v>0</c:v>
              </c:pt>
            </c:numLit>
          </c:yVal>
          <c:smooth val="1"/>
          <c:extLst>
            <c:ext xmlns:c16="http://schemas.microsoft.com/office/drawing/2014/chart" uri="{C3380CC4-5D6E-409C-BE32-E72D297353CC}">
              <c16:uniqueId val="{00000000-6BF3-42BA-B6E0-6708C054EA03}"/>
            </c:ext>
          </c:extLst>
        </c:ser>
        <c:dLbls>
          <c:showLegendKey val="0"/>
          <c:showVal val="0"/>
          <c:showCatName val="0"/>
          <c:showSerName val="0"/>
          <c:showPercent val="0"/>
          <c:showBubbleSize val="0"/>
        </c:dLbls>
        <c:axId val="-2107094208"/>
        <c:axId val="-2107077808"/>
      </c:scatterChart>
      <c:valAx>
        <c:axId val="-2107094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077808"/>
        <c:crosses val="autoZero"/>
        <c:crossBetween val="midCat"/>
      </c:valAx>
      <c:valAx>
        <c:axId val="-210707780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709420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spPr>
            <a:ln w="12700">
              <a:solidFill>
                <a:srgbClr val="000090"/>
              </a:solidFill>
              <a:prstDash val="solid"/>
            </a:ln>
          </c:spPr>
          <c:marker>
            <c:symbol val="diamond"/>
            <c:size val="5"/>
            <c:spPr>
              <a:solidFill>
                <a:srgbClr val="000080"/>
              </a:solidFill>
              <a:ln>
                <a:solidFill>
                  <a:srgbClr val="000090"/>
                </a:solidFill>
                <a:prstDash val="solid"/>
              </a:ln>
            </c:spPr>
          </c:marker>
          <c:yVal>
            <c:numLit>
              <c:formatCode>General</c:formatCode>
              <c:ptCount val="1"/>
              <c:pt idx="0">
                <c:v>0</c:v>
              </c:pt>
            </c:numLit>
          </c:yVal>
          <c:smooth val="1"/>
          <c:extLst>
            <c:ext xmlns:c16="http://schemas.microsoft.com/office/drawing/2014/chart" uri="{C3380CC4-5D6E-409C-BE32-E72D297353CC}">
              <c16:uniqueId val="{00000000-0059-4696-890E-38D626C84E5C}"/>
            </c:ext>
          </c:extLst>
        </c:ser>
        <c:dLbls>
          <c:showLegendKey val="0"/>
          <c:showVal val="0"/>
          <c:showCatName val="0"/>
          <c:showSerName val="0"/>
          <c:showPercent val="0"/>
          <c:showBubbleSize val="0"/>
        </c:dLbls>
        <c:axId val="-2135818240"/>
        <c:axId val="2144278704"/>
      </c:scatterChart>
      <c:valAx>
        <c:axId val="-2135818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44278704"/>
        <c:crosses val="autoZero"/>
        <c:crossBetween val="midCat"/>
      </c:valAx>
      <c:valAx>
        <c:axId val="214427870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581824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45'!#REF!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45'!#REF!</c:f>
              <c:numCache>
                <c:formatCode>General</c:formatCode>
                <c:ptCount val="1"/>
                <c:pt idx="0">
                  <c:v>0</c:v>
                </c:pt>
              </c:numCache>
            </c:numRef>
          </c:xVal>
          <c:yVal>
            <c:numRef>
              <c:f>'Chapitre 45'!#REF!</c:f>
              <c:numCache>
                <c:formatCode>General</c:formatCode>
                <c:ptCount val="1"/>
                <c:pt idx="0">
                  <c:v>0</c:v>
                </c:pt>
              </c:numCache>
            </c:numRef>
          </c:yVal>
          <c:smooth val="1"/>
          <c:extLst>
            <c:ext xmlns:c16="http://schemas.microsoft.com/office/drawing/2014/chart" uri="{C3380CC4-5D6E-409C-BE32-E72D297353CC}">
              <c16:uniqueId val="{00000000-7653-4FD3-8902-17E92A594C0F}"/>
            </c:ext>
          </c:extLst>
        </c:ser>
        <c:dLbls>
          <c:showLegendKey val="0"/>
          <c:showVal val="0"/>
          <c:showCatName val="0"/>
          <c:showSerName val="0"/>
          <c:showPercent val="0"/>
          <c:showBubbleSize val="0"/>
        </c:dLbls>
        <c:axId val="-2112662992"/>
        <c:axId val="-2089746896"/>
      </c:scatterChart>
      <c:valAx>
        <c:axId val="-2112662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89746896"/>
        <c:crosses val="autoZero"/>
        <c:crossBetween val="midCat"/>
      </c:valAx>
      <c:valAx>
        <c:axId val="-208974689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66299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45'!#REF!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45'!#REF!</c:f>
              <c:numCache>
                <c:formatCode>General</c:formatCode>
                <c:ptCount val="1"/>
                <c:pt idx="0">
                  <c:v>0</c:v>
                </c:pt>
              </c:numCache>
            </c:numRef>
          </c:xVal>
          <c:yVal>
            <c:numRef>
              <c:f>'Chapitre 45'!#REF!</c:f>
              <c:numCache>
                <c:formatCode>General</c:formatCode>
                <c:ptCount val="1"/>
                <c:pt idx="0">
                  <c:v>0</c:v>
                </c:pt>
              </c:numCache>
            </c:numRef>
          </c:yVal>
          <c:smooth val="1"/>
          <c:extLst>
            <c:ext xmlns:c16="http://schemas.microsoft.com/office/drawing/2014/chart" uri="{C3380CC4-5D6E-409C-BE32-E72D297353CC}">
              <c16:uniqueId val="{00000000-4D27-4EAB-830A-CFCABF6BD81A}"/>
            </c:ext>
          </c:extLst>
        </c:ser>
        <c:dLbls>
          <c:showLegendKey val="0"/>
          <c:showVal val="0"/>
          <c:showCatName val="0"/>
          <c:showSerName val="0"/>
          <c:showPercent val="0"/>
          <c:showBubbleSize val="0"/>
        </c:dLbls>
        <c:axId val="-2112154240"/>
        <c:axId val="-2096335264"/>
      </c:scatterChart>
      <c:valAx>
        <c:axId val="-2112154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6335264"/>
        <c:crosses val="autoZero"/>
        <c:crossBetween val="midCat"/>
      </c:valAx>
      <c:valAx>
        <c:axId val="-20963352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15424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49'!#REF!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49'!#REF!</c:f>
              <c:numCache>
                <c:formatCode>General</c:formatCode>
                <c:ptCount val="1"/>
                <c:pt idx="0">
                  <c:v>0</c:v>
                </c:pt>
              </c:numCache>
            </c:numRef>
          </c:xVal>
          <c:yVal>
            <c:numRef>
              <c:f>'Chapitre 49'!#REF!</c:f>
              <c:numCache>
                <c:formatCode>General</c:formatCode>
                <c:ptCount val="1"/>
                <c:pt idx="0">
                  <c:v>0</c:v>
                </c:pt>
              </c:numCache>
            </c:numRef>
          </c:yVal>
          <c:smooth val="1"/>
          <c:extLst>
            <c:ext xmlns:c16="http://schemas.microsoft.com/office/drawing/2014/chart" uri="{C3380CC4-5D6E-409C-BE32-E72D297353CC}">
              <c16:uniqueId val="{00000000-E697-47EE-AFF6-072509CA84A2}"/>
            </c:ext>
          </c:extLst>
        </c:ser>
        <c:dLbls>
          <c:showLegendKey val="0"/>
          <c:showVal val="0"/>
          <c:showCatName val="0"/>
          <c:showSerName val="0"/>
          <c:showPercent val="0"/>
          <c:showBubbleSize val="0"/>
        </c:dLbls>
        <c:axId val="-2112817712"/>
        <c:axId val="-2092055632"/>
      </c:scatterChart>
      <c:valAx>
        <c:axId val="-2112817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055632"/>
        <c:crosses val="autoZero"/>
        <c:crossBetween val="midCat"/>
      </c:valAx>
      <c:valAx>
        <c:axId val="-20920556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81771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49'!#REF!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49'!#REF!</c:f>
              <c:numCache>
                <c:formatCode>General</c:formatCode>
                <c:ptCount val="1"/>
                <c:pt idx="0">
                  <c:v>0</c:v>
                </c:pt>
              </c:numCache>
            </c:numRef>
          </c:xVal>
          <c:yVal>
            <c:numRef>
              <c:f>'Chapitre 49'!#REF!</c:f>
              <c:numCache>
                <c:formatCode>General</c:formatCode>
                <c:ptCount val="1"/>
                <c:pt idx="0">
                  <c:v>0</c:v>
                </c:pt>
              </c:numCache>
            </c:numRef>
          </c:yVal>
          <c:smooth val="1"/>
          <c:extLst>
            <c:ext xmlns:c16="http://schemas.microsoft.com/office/drawing/2014/chart" uri="{C3380CC4-5D6E-409C-BE32-E72D297353CC}">
              <c16:uniqueId val="{00000000-5BCC-4288-A76C-A09839FA63B1}"/>
            </c:ext>
          </c:extLst>
        </c:ser>
        <c:dLbls>
          <c:showLegendKey val="0"/>
          <c:showVal val="0"/>
          <c:showCatName val="0"/>
          <c:showSerName val="0"/>
          <c:showPercent val="0"/>
          <c:showBubbleSize val="0"/>
        </c:dLbls>
        <c:axId val="-2112697168"/>
        <c:axId val="-2112434416"/>
      </c:scatterChart>
      <c:valAx>
        <c:axId val="-2112697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434416"/>
        <c:crosses val="autoZero"/>
        <c:crossBetween val="midCat"/>
      </c:valAx>
      <c:valAx>
        <c:axId val="-211243441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69716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51'!#REF!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51'!#REF!</c:f>
              <c:numCache>
                <c:formatCode>General</c:formatCode>
                <c:ptCount val="1"/>
                <c:pt idx="0">
                  <c:v>0</c:v>
                </c:pt>
              </c:numCache>
            </c:numRef>
          </c:xVal>
          <c:yVal>
            <c:numRef>
              <c:f>'Chapitre 51'!#REF!</c:f>
              <c:numCache>
                <c:formatCode>General</c:formatCode>
                <c:ptCount val="1"/>
                <c:pt idx="0">
                  <c:v>0</c:v>
                </c:pt>
              </c:numCache>
            </c:numRef>
          </c:yVal>
          <c:smooth val="1"/>
          <c:extLst>
            <c:ext xmlns:c16="http://schemas.microsoft.com/office/drawing/2014/chart" uri="{C3380CC4-5D6E-409C-BE32-E72D297353CC}">
              <c16:uniqueId val="{00000000-221C-4FD0-96CD-4E7E89649639}"/>
            </c:ext>
          </c:extLst>
        </c:ser>
        <c:dLbls>
          <c:showLegendKey val="0"/>
          <c:showVal val="0"/>
          <c:showCatName val="0"/>
          <c:showSerName val="0"/>
          <c:showPercent val="0"/>
          <c:showBubbleSize val="0"/>
        </c:dLbls>
        <c:axId val="-2112780176"/>
        <c:axId val="2143630944"/>
      </c:scatterChart>
      <c:valAx>
        <c:axId val="-2112780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43630944"/>
        <c:crosses val="autoZero"/>
        <c:crossBetween val="midCat"/>
      </c:valAx>
      <c:valAx>
        <c:axId val="214363094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1278017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3829401088929"/>
          <c:y val="3.6363878428240001E-2"/>
        </c:manualLayout>
      </c:layout>
      <c:overlay val="0"/>
      <c:spPr>
        <a:noFill/>
        <a:ln w="25400">
          <a:noFill/>
        </a:ln>
      </c:spPr>
      <c:txPr>
        <a:bodyPr/>
        <a:lstStyle/>
        <a:p>
          <a:pPr>
            <a:defRPr sz="1000" b="0" i="0" u="none" strike="noStrike" baseline="0">
              <a:solidFill>
                <a:srgbClr val="000000"/>
              </a:solidFill>
              <a:latin typeface="Arial"/>
              <a:ea typeface="Arial"/>
              <a:cs typeface="Arial"/>
            </a:defRPr>
          </a:pPr>
          <a:endParaRPr lang="fr-FR"/>
        </a:p>
      </c:txPr>
    </c:title>
    <c:autoTitleDeleted val="0"/>
    <c:plotArea>
      <c:layout>
        <c:manualLayout>
          <c:layoutTarget val="inner"/>
          <c:xMode val="edge"/>
          <c:yMode val="edge"/>
          <c:x val="0.17241379310344801"/>
          <c:y val="0.218181818181818"/>
          <c:w val="0.75862068965517304"/>
          <c:h val="0.530909090909091"/>
        </c:manualLayout>
      </c:layout>
      <c:scatterChart>
        <c:scatterStyle val="smoothMarker"/>
        <c:varyColors val="0"/>
        <c:ser>
          <c:idx val="0"/>
          <c:order val="0"/>
          <c:tx>
            <c:strRef>
              <c:f>'Chapitre 20'!$A$56</c:f>
              <c:strCache>
                <c:ptCount val="1"/>
                <c:pt idx="0">
                  <c:v>Rentabilité attendue</c:v>
                </c:pt>
              </c:strCache>
            </c:strRef>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20'!$C$55:$H$55</c:f>
              <c:numCache>
                <c:formatCode>0.00%</c:formatCode>
                <c:ptCount val="6"/>
                <c:pt idx="0">
                  <c:v>0.15</c:v>
                </c:pt>
                <c:pt idx="1">
                  <c:v>0.14523687548277814</c:v>
                </c:pt>
                <c:pt idx="2">
                  <c:v>0.15</c:v>
                </c:pt>
                <c:pt idx="3">
                  <c:v>0.18371173070873834</c:v>
                </c:pt>
                <c:pt idx="4">
                  <c:v>0.23717082451262844</c:v>
                </c:pt>
                <c:pt idx="5">
                  <c:v>0.3</c:v>
                </c:pt>
              </c:numCache>
            </c:numRef>
          </c:xVal>
          <c:yVal>
            <c:numRef>
              <c:f>'Chapitre 20'!$C$56:$H$56</c:f>
              <c:numCache>
                <c:formatCode>0.00%</c:formatCode>
                <c:ptCount val="6"/>
                <c:pt idx="0">
                  <c:v>0.1</c:v>
                </c:pt>
                <c:pt idx="1">
                  <c:v>0.11250000000000002</c:v>
                </c:pt>
                <c:pt idx="2">
                  <c:v>0.125</c:v>
                </c:pt>
                <c:pt idx="3">
                  <c:v>0.15000000000000002</c:v>
                </c:pt>
                <c:pt idx="4">
                  <c:v>0.17500000000000002</c:v>
                </c:pt>
                <c:pt idx="5">
                  <c:v>0.2</c:v>
                </c:pt>
              </c:numCache>
            </c:numRef>
          </c:yVal>
          <c:smooth val="1"/>
          <c:extLst>
            <c:ext xmlns:c16="http://schemas.microsoft.com/office/drawing/2014/chart" uri="{C3380CC4-5D6E-409C-BE32-E72D297353CC}">
              <c16:uniqueId val="{00000000-5558-4AD6-94A2-5F0A3F8B0B89}"/>
            </c:ext>
          </c:extLst>
        </c:ser>
        <c:dLbls>
          <c:showLegendKey val="0"/>
          <c:showVal val="0"/>
          <c:showCatName val="0"/>
          <c:showSerName val="0"/>
          <c:showPercent val="0"/>
          <c:showBubbleSize val="0"/>
        </c:dLbls>
        <c:axId val="2144163760"/>
        <c:axId val="-2074222928"/>
      </c:scatterChart>
      <c:valAx>
        <c:axId val="214416376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fr-FR"/>
                  <a:t>Ecart-type</a:t>
                </a:r>
              </a:p>
            </c:rich>
          </c:tx>
          <c:layout>
            <c:manualLayout>
              <c:xMode val="edge"/>
              <c:yMode val="edge"/>
              <c:x val="0.49183303085299501"/>
              <c:y val="0.86181825097949705"/>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r-FR"/>
          </a:p>
        </c:txPr>
        <c:crossAx val="-2074222928"/>
        <c:crosses val="autoZero"/>
        <c:crossBetween val="midCat"/>
      </c:valAx>
      <c:valAx>
        <c:axId val="-2074222928"/>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fr-FR"/>
                  <a:t>Rentabilité attendue</a:t>
                </a:r>
              </a:p>
            </c:rich>
          </c:tx>
          <c:layout>
            <c:manualLayout>
              <c:xMode val="edge"/>
              <c:yMode val="edge"/>
              <c:x val="2.9038112522686E-2"/>
              <c:y val="0.24363612157176001"/>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fr-FR"/>
          </a:p>
        </c:txPr>
        <c:crossAx val="214416376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51'!#REF!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51'!#REF!</c:f>
              <c:numCache>
                <c:formatCode>General</c:formatCode>
                <c:ptCount val="1"/>
                <c:pt idx="0">
                  <c:v>0</c:v>
                </c:pt>
              </c:numCache>
            </c:numRef>
          </c:xVal>
          <c:yVal>
            <c:numRef>
              <c:f>'Chapitre 51'!#REF!</c:f>
              <c:numCache>
                <c:formatCode>General</c:formatCode>
                <c:ptCount val="1"/>
                <c:pt idx="0">
                  <c:v>0</c:v>
                </c:pt>
              </c:numCache>
            </c:numRef>
          </c:yVal>
          <c:smooth val="1"/>
          <c:extLst>
            <c:ext xmlns:c16="http://schemas.microsoft.com/office/drawing/2014/chart" uri="{C3380CC4-5D6E-409C-BE32-E72D297353CC}">
              <c16:uniqueId val="{00000000-4A46-4E26-8A9E-27687DD09688}"/>
            </c:ext>
          </c:extLst>
        </c:ser>
        <c:dLbls>
          <c:showLegendKey val="0"/>
          <c:showVal val="0"/>
          <c:showCatName val="0"/>
          <c:showSerName val="0"/>
          <c:showPercent val="0"/>
          <c:showBubbleSize val="0"/>
        </c:dLbls>
        <c:axId val="-2108447856"/>
        <c:axId val="-2108445072"/>
      </c:scatterChart>
      <c:valAx>
        <c:axId val="-2108447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8445072"/>
        <c:crosses val="autoZero"/>
        <c:crossBetween val="midCat"/>
      </c:valAx>
      <c:valAx>
        <c:axId val="-210844507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0844785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40705563093601"/>
          <c:y val="9.6153846153846201E-2"/>
          <c:w val="0.86974219810040698"/>
          <c:h val="0.72692307692307701"/>
        </c:manualLayout>
      </c:layout>
      <c:scatterChart>
        <c:scatterStyle val="smoothMarker"/>
        <c:varyColors val="0"/>
        <c:ser>
          <c:idx val="18"/>
          <c:order val="0"/>
          <c:tx>
            <c:strRef>
              <c:f>'Chapitre 51'!$A$60</c:f>
              <c:strCache>
                <c:ptCount val="1"/>
                <c:pt idx="0">
                  <c:v>VAN</c:v>
                </c:pt>
              </c:strCache>
            </c:strRef>
          </c:tx>
          <c:spPr>
            <a:ln w="25400">
              <a:solidFill>
                <a:srgbClr val="FFCC00"/>
              </a:solidFill>
              <a:prstDash val="solid"/>
            </a:ln>
          </c:spPr>
          <c:marker>
            <c:symbol val="diamond"/>
            <c:size val="5"/>
            <c:spPr>
              <a:solidFill>
                <a:srgbClr val="FFCC00"/>
              </a:solidFill>
              <a:ln>
                <a:solidFill>
                  <a:srgbClr val="FFCC00"/>
                </a:solidFill>
                <a:prstDash val="solid"/>
              </a:ln>
            </c:spPr>
          </c:marker>
          <c:xVal>
            <c:numRef>
              <c:f>'Chapitre 51'!$B$45:$F$45</c:f>
              <c:numCache>
                <c:formatCode>General</c:formatCode>
                <c:ptCount val="5"/>
                <c:pt idx="0">
                  <c:v>0</c:v>
                </c:pt>
                <c:pt idx="1">
                  <c:v>15</c:v>
                </c:pt>
                <c:pt idx="2">
                  <c:v>30</c:v>
                </c:pt>
                <c:pt idx="3">
                  <c:v>45</c:v>
                </c:pt>
                <c:pt idx="4">
                  <c:v>60</c:v>
                </c:pt>
              </c:numCache>
            </c:numRef>
          </c:xVal>
          <c:yVal>
            <c:numRef>
              <c:f>'Chapitre 51'!$B$60:$F$60</c:f>
              <c:numCache>
                <c:formatCode>0.00</c:formatCode>
                <c:ptCount val="5"/>
                <c:pt idx="0">
                  <c:v>0</c:v>
                </c:pt>
                <c:pt idx="1">
                  <c:v>9.521739130434753</c:v>
                </c:pt>
                <c:pt idx="2">
                  <c:v>25.260393873085377</c:v>
                </c:pt>
                <c:pt idx="3">
                  <c:v>5.7513368983957207</c:v>
                </c:pt>
                <c:pt idx="4">
                  <c:v>-0.4675066312997842</c:v>
                </c:pt>
              </c:numCache>
            </c:numRef>
          </c:yVal>
          <c:smooth val="1"/>
          <c:extLst>
            <c:ext xmlns:c16="http://schemas.microsoft.com/office/drawing/2014/chart" uri="{C3380CC4-5D6E-409C-BE32-E72D297353CC}">
              <c16:uniqueId val="{00000000-22E9-4C6A-85D6-4724D7D98C6D}"/>
            </c:ext>
          </c:extLst>
        </c:ser>
        <c:dLbls>
          <c:showLegendKey val="0"/>
          <c:showVal val="0"/>
          <c:showCatName val="0"/>
          <c:showSerName val="0"/>
          <c:showPercent val="0"/>
          <c:showBubbleSize val="0"/>
        </c:dLbls>
        <c:axId val="-2130848848"/>
        <c:axId val="-2111994160"/>
      </c:scatterChart>
      <c:valAx>
        <c:axId val="-2130848848"/>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fr-FR"/>
                  <a:t>Jours de crédit sup.</a:t>
                </a:r>
              </a:p>
            </c:rich>
          </c:tx>
          <c:layout>
            <c:manualLayout>
              <c:xMode val="edge"/>
              <c:yMode val="edge"/>
              <c:x val="0.45725907223553602"/>
              <c:y val="0.8615384615384620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2111994160"/>
        <c:crosses val="autoZero"/>
        <c:crossBetween val="midCat"/>
      </c:valAx>
      <c:valAx>
        <c:axId val="-2111994160"/>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fr-FR"/>
                  <a:t>VAN</a:t>
                </a:r>
              </a:p>
            </c:rich>
          </c:tx>
          <c:layout>
            <c:manualLayout>
              <c:xMode val="edge"/>
              <c:yMode val="edge"/>
              <c:x val="2.1709602875727499E-2"/>
              <c:y val="0.4076923076923080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2130848848"/>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83446404341899"/>
          <c:y val="9.6153846153846201E-2"/>
          <c:w val="0.86431478968792397"/>
          <c:h val="0.72692307692307701"/>
        </c:manualLayout>
      </c:layout>
      <c:scatterChart>
        <c:scatterStyle val="smoothMarker"/>
        <c:varyColors val="0"/>
        <c:ser>
          <c:idx val="14"/>
          <c:order val="0"/>
          <c:tx>
            <c:strRef>
              <c:f>'Chapitre 51'!$A$97</c:f>
              <c:strCache>
                <c:ptCount val="1"/>
                <c:pt idx="0">
                  <c:v>VAN</c:v>
                </c:pt>
              </c:strCache>
            </c:strRef>
          </c:tx>
          <c:spPr>
            <a:ln w="25400">
              <a:solidFill>
                <a:srgbClr val="FFCC00"/>
              </a:solidFill>
              <a:prstDash val="solid"/>
            </a:ln>
          </c:spPr>
          <c:marker>
            <c:symbol val="circle"/>
            <c:size val="5"/>
            <c:spPr>
              <a:solidFill>
                <a:srgbClr val="FFCC00"/>
              </a:solidFill>
              <a:ln>
                <a:solidFill>
                  <a:srgbClr val="FFCC00"/>
                </a:solidFill>
                <a:prstDash val="solid"/>
              </a:ln>
            </c:spPr>
          </c:marker>
          <c:xVal>
            <c:numRef>
              <c:f>'Chapitre 51'!$B$83:$F$83</c:f>
              <c:numCache>
                <c:formatCode>General</c:formatCode>
                <c:ptCount val="5"/>
                <c:pt idx="0">
                  <c:v>0</c:v>
                </c:pt>
                <c:pt idx="1">
                  <c:v>15</c:v>
                </c:pt>
                <c:pt idx="2">
                  <c:v>30</c:v>
                </c:pt>
                <c:pt idx="3">
                  <c:v>45</c:v>
                </c:pt>
                <c:pt idx="4">
                  <c:v>60</c:v>
                </c:pt>
              </c:numCache>
            </c:numRef>
          </c:xVal>
          <c:yVal>
            <c:numRef>
              <c:f>'Chapitre 51'!$B$97:$F$97</c:f>
              <c:numCache>
                <c:formatCode>0.00</c:formatCode>
                <c:ptCount val="5"/>
                <c:pt idx="0">
                  <c:v>0</c:v>
                </c:pt>
                <c:pt idx="1">
                  <c:v>-10.513253924361607</c:v>
                </c:pt>
                <c:pt idx="2">
                  <c:v>-15.083758667871507</c:v>
                </c:pt>
                <c:pt idx="3">
                  <c:v>-23.986439994709713</c:v>
                </c:pt>
                <c:pt idx="4">
                  <c:v>-40.137640859933867</c:v>
                </c:pt>
              </c:numCache>
            </c:numRef>
          </c:yVal>
          <c:smooth val="1"/>
          <c:extLst>
            <c:ext xmlns:c16="http://schemas.microsoft.com/office/drawing/2014/chart" uri="{C3380CC4-5D6E-409C-BE32-E72D297353CC}">
              <c16:uniqueId val="{00000000-C8F4-44D4-A0C8-15BB64A0ED94}"/>
            </c:ext>
          </c:extLst>
        </c:ser>
        <c:dLbls>
          <c:showLegendKey val="0"/>
          <c:showVal val="0"/>
          <c:showCatName val="0"/>
          <c:showSerName val="0"/>
          <c:showPercent val="0"/>
          <c:showBubbleSize val="0"/>
        </c:dLbls>
        <c:axId val="-2110340592"/>
        <c:axId val="-2109853856"/>
      </c:scatterChart>
      <c:valAx>
        <c:axId val="-211034059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fr-FR"/>
                  <a:t>Jours de crédit sup.</a:t>
                </a:r>
              </a:p>
            </c:rich>
          </c:tx>
          <c:layout>
            <c:manualLayout>
              <c:xMode val="edge"/>
              <c:yMode val="edge"/>
              <c:x val="0.45997289740956299"/>
              <c:y val="0.8615384615384620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2109853856"/>
        <c:crosses val="autoZero"/>
        <c:crossBetween val="midCat"/>
      </c:valAx>
      <c:valAx>
        <c:axId val="-2109853856"/>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fr-FR"/>
                  <a:t>VAN</a:t>
                </a:r>
              </a:p>
            </c:rich>
          </c:tx>
          <c:layout>
            <c:manualLayout>
              <c:xMode val="edge"/>
              <c:yMode val="edge"/>
              <c:x val="2.1709602875727499E-2"/>
              <c:y val="0.40769230769230802"/>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fr-FR"/>
          </a:p>
        </c:txPr>
        <c:crossAx val="-211034059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 Chapitre 54'!#REF!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54'!#REF!</c:f>
              <c:numCache>
                <c:formatCode>General</c:formatCode>
                <c:ptCount val="1"/>
                <c:pt idx="0">
                  <c:v>1</c:v>
                </c:pt>
              </c:numCache>
            </c:numRef>
          </c:xVal>
          <c:yVal>
            <c:numRef>
              <c:f>' Chapitre 54'!#REF!</c:f>
              <c:numCache>
                <c:formatCode>General</c:formatCode>
                <c:ptCount val="1"/>
                <c:pt idx="0">
                  <c:v>1</c:v>
                </c:pt>
              </c:numCache>
            </c:numRef>
          </c:yVal>
          <c:smooth val="1"/>
          <c:extLst>
            <c:ext xmlns:c16="http://schemas.microsoft.com/office/drawing/2014/chart" uri="{C3380CC4-5D6E-409C-BE32-E72D297353CC}">
              <c16:uniqueId val="{00000000-3F46-46ED-B207-8C2233A329D5}"/>
            </c:ext>
          </c:extLst>
        </c:ser>
        <c:dLbls>
          <c:showLegendKey val="0"/>
          <c:showVal val="0"/>
          <c:showCatName val="0"/>
          <c:showSerName val="0"/>
          <c:showPercent val="0"/>
          <c:showBubbleSize val="0"/>
        </c:dLbls>
        <c:axId val="-2089094240"/>
        <c:axId val="-2092559008"/>
      </c:scatterChart>
      <c:valAx>
        <c:axId val="-2089094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559008"/>
        <c:crosses val="autoZero"/>
        <c:crossBetween val="midCat"/>
      </c:valAx>
      <c:valAx>
        <c:axId val="-209255900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89094240"/>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 Chapitre 54'!#REF!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 Chapitre 54'!#REF!</c:f>
              <c:numCache>
                <c:formatCode>General</c:formatCode>
                <c:ptCount val="1"/>
                <c:pt idx="0">
                  <c:v>1</c:v>
                </c:pt>
              </c:numCache>
            </c:numRef>
          </c:xVal>
          <c:yVal>
            <c:numRef>
              <c:f>' Chapitre 54'!#REF!</c:f>
              <c:numCache>
                <c:formatCode>General</c:formatCode>
                <c:ptCount val="1"/>
                <c:pt idx="0">
                  <c:v>1</c:v>
                </c:pt>
              </c:numCache>
            </c:numRef>
          </c:yVal>
          <c:smooth val="1"/>
          <c:extLst>
            <c:ext xmlns:c16="http://schemas.microsoft.com/office/drawing/2014/chart" uri="{C3380CC4-5D6E-409C-BE32-E72D297353CC}">
              <c16:uniqueId val="{00000000-4D69-49BD-B910-C4302B8243AF}"/>
            </c:ext>
          </c:extLst>
        </c:ser>
        <c:dLbls>
          <c:showLegendKey val="0"/>
          <c:showVal val="0"/>
          <c:showCatName val="0"/>
          <c:showSerName val="0"/>
          <c:showPercent val="0"/>
          <c:showBubbleSize val="0"/>
        </c:dLbls>
        <c:axId val="-2092652112"/>
        <c:axId val="-2092070064"/>
      </c:scatterChart>
      <c:valAx>
        <c:axId val="-2092652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070064"/>
        <c:crosses val="autoZero"/>
        <c:crossBetween val="midCat"/>
      </c:valAx>
      <c:valAx>
        <c:axId val="-209207006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652112"/>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a:ea typeface="Arial"/>
                <a:cs typeface="Arial"/>
              </a:defRPr>
            </a:pPr>
            <a:r>
              <a:rPr lang="fr-FR"/>
              <a:t>Portefeuille B,S</a:t>
            </a:r>
          </a:p>
        </c:rich>
      </c:tx>
      <c:overlay val="0"/>
      <c:spPr>
        <a:noFill/>
        <a:ln w="25400">
          <a:noFill/>
        </a:ln>
      </c:spPr>
    </c:title>
    <c:autoTitleDeleted val="0"/>
    <c:plotArea>
      <c:layout/>
      <c:scatterChart>
        <c:scatterStyle val="smoothMarker"/>
        <c:varyColors val="0"/>
        <c:ser>
          <c:idx val="0"/>
          <c:order val="0"/>
          <c:tx>
            <c:v>'Chapitre 23'!#REF!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23'!#REF!</c:f>
              <c:numCache>
                <c:formatCode>General</c:formatCode>
                <c:ptCount val="1"/>
                <c:pt idx="0">
                  <c:v>1</c:v>
                </c:pt>
              </c:numCache>
            </c:numRef>
          </c:xVal>
          <c:yVal>
            <c:numRef>
              <c:f>'Chapitre 23'!#REF!</c:f>
              <c:numCache>
                <c:formatCode>General</c:formatCode>
                <c:ptCount val="1"/>
                <c:pt idx="0">
                  <c:v>1</c:v>
                </c:pt>
              </c:numCache>
            </c:numRef>
          </c:yVal>
          <c:smooth val="1"/>
          <c:extLst>
            <c:ext xmlns:c16="http://schemas.microsoft.com/office/drawing/2014/chart" uri="{C3380CC4-5D6E-409C-BE32-E72D297353CC}">
              <c16:uniqueId val="{00000000-CF1D-4271-8E06-E83E6A72D07D}"/>
            </c:ext>
          </c:extLst>
        </c:ser>
        <c:dLbls>
          <c:showLegendKey val="0"/>
          <c:showVal val="0"/>
          <c:showCatName val="0"/>
          <c:showSerName val="0"/>
          <c:showPercent val="0"/>
          <c:showBubbleSize val="0"/>
        </c:dLbls>
        <c:axId val="-2096953344"/>
        <c:axId val="-2092475296"/>
      </c:scatterChart>
      <c:valAx>
        <c:axId val="-2096953344"/>
        <c:scaling>
          <c:orientation val="minMax"/>
        </c:scaling>
        <c:delete val="0"/>
        <c:axPos val="b"/>
        <c:title>
          <c:tx>
            <c:rich>
              <a:bodyPr/>
              <a:lstStyle/>
              <a:p>
                <a:pPr>
                  <a:defRPr sz="1100" b="0" i="0" u="none" strike="noStrike" baseline="0">
                    <a:solidFill>
                      <a:srgbClr val="000000"/>
                    </a:solidFill>
                    <a:latin typeface="Calibri"/>
                    <a:ea typeface="Calibri"/>
                    <a:cs typeface="Calibri"/>
                  </a:defRPr>
                </a:pPr>
                <a:r>
                  <a:rPr lang="fr-FR" sz="1800" b="0" i="0" u="none" strike="noStrike" baseline="0">
                    <a:solidFill>
                      <a:srgbClr val="000000"/>
                    </a:solidFill>
                    <a:latin typeface="Calibri"/>
                  </a:rPr>
                  <a:t>σ B,S</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475296"/>
        <c:crosses val="autoZero"/>
        <c:crossBetween val="midCat"/>
      </c:valAx>
      <c:valAx>
        <c:axId val="-2092475296"/>
        <c:scaling>
          <c:orientation val="minMax"/>
        </c:scaling>
        <c:delete val="0"/>
        <c:axPos val="l"/>
        <c:majorGridlines>
          <c:spPr>
            <a:ln w="3175">
              <a:solidFill>
                <a:srgbClr val="000000"/>
              </a:solidFill>
              <a:prstDash val="solid"/>
            </a:ln>
          </c:spPr>
        </c:majorGridlines>
        <c:title>
          <c:tx>
            <c:rich>
              <a:bodyPr/>
              <a:lstStyle/>
              <a:p>
                <a:pPr>
                  <a:defRPr sz="150" b="1" i="0" u="none" strike="noStrike" baseline="0">
                    <a:solidFill>
                      <a:srgbClr val="000000"/>
                    </a:solidFill>
                    <a:latin typeface="Arial"/>
                    <a:ea typeface="Arial"/>
                    <a:cs typeface="Arial"/>
                  </a:defRPr>
                </a:pPr>
                <a:r>
                  <a:rPr lang="fr-FR"/>
                  <a:t>E(r B,S)</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695334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50" b="0" i="0" u="none" strike="noStrike" baseline="0">
              <a:solidFill>
                <a:srgbClr val="000000"/>
              </a:solidFill>
              <a:latin typeface="Arial"/>
              <a:ea typeface="Arial"/>
              <a:cs typeface="Arial"/>
            </a:defRPr>
          </a:pPr>
          <a:endParaRPr lang="fr-FR"/>
        </a:p>
      </c:txPr>
    </c:title>
    <c:autoTitleDeleted val="0"/>
    <c:plotArea>
      <c:layout/>
      <c:scatterChart>
        <c:scatterStyle val="smoothMarker"/>
        <c:varyColors val="0"/>
        <c:ser>
          <c:idx val="0"/>
          <c:order val="0"/>
          <c:tx>
            <c:v>'Chapitre 23'!#REF!</c:v>
          </c:tx>
          <c:spPr>
            <a:ln w="12700">
              <a:solidFill>
                <a:srgbClr val="000090"/>
              </a:solidFill>
              <a:prstDash val="solid"/>
            </a:ln>
          </c:spPr>
          <c:marker>
            <c:symbol val="diamond"/>
            <c:size val="5"/>
            <c:spPr>
              <a:solidFill>
                <a:srgbClr val="000090"/>
              </a:solidFill>
              <a:ln>
                <a:solidFill>
                  <a:srgbClr val="000090"/>
                </a:solidFill>
                <a:prstDash val="solid"/>
              </a:ln>
            </c:spPr>
          </c:marker>
          <c:xVal>
            <c:numRef>
              <c:f>'Chapitre 23'!#REF!</c:f>
              <c:numCache>
                <c:formatCode>General</c:formatCode>
                <c:ptCount val="1"/>
                <c:pt idx="0">
                  <c:v>1</c:v>
                </c:pt>
              </c:numCache>
            </c:numRef>
          </c:xVal>
          <c:yVal>
            <c:numRef>
              <c:f>'Chapitre 23'!#REF!</c:f>
              <c:numCache>
                <c:formatCode>General</c:formatCode>
                <c:ptCount val="1"/>
                <c:pt idx="0">
                  <c:v>1</c:v>
                </c:pt>
              </c:numCache>
            </c:numRef>
          </c:yVal>
          <c:smooth val="1"/>
          <c:extLst>
            <c:ext xmlns:c16="http://schemas.microsoft.com/office/drawing/2014/chart" uri="{C3380CC4-5D6E-409C-BE32-E72D297353CC}">
              <c16:uniqueId val="{00000000-062E-45E5-A10F-8B29CAC44366}"/>
            </c:ext>
          </c:extLst>
        </c:ser>
        <c:dLbls>
          <c:showLegendKey val="0"/>
          <c:showVal val="0"/>
          <c:showCatName val="0"/>
          <c:showSerName val="0"/>
          <c:showPercent val="0"/>
          <c:showBubbleSize val="0"/>
        </c:dLbls>
        <c:axId val="-2135583296"/>
        <c:axId val="-2092934592"/>
      </c:scatterChart>
      <c:valAx>
        <c:axId val="-2135583296"/>
        <c:scaling>
          <c:orientation val="minMax"/>
        </c:scaling>
        <c:delete val="0"/>
        <c:axPos val="b"/>
        <c:title>
          <c:tx>
            <c:rich>
              <a:bodyPr/>
              <a:lstStyle/>
              <a:p>
                <a:pPr>
                  <a:defRPr sz="150" b="1" i="0" u="none" strike="noStrike" baseline="0">
                    <a:solidFill>
                      <a:srgbClr val="000000"/>
                    </a:solidFill>
                    <a:latin typeface="Arial"/>
                    <a:ea typeface="Arial"/>
                    <a:cs typeface="Arial"/>
                  </a:defRPr>
                </a:pPr>
                <a:r>
                  <a:rPr lang="fr-FR"/>
                  <a:t>Ecart-type</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092934592"/>
        <c:crosses val="autoZero"/>
        <c:crossBetween val="midCat"/>
      </c:valAx>
      <c:valAx>
        <c:axId val="-2092934592"/>
        <c:scaling>
          <c:orientation val="minMax"/>
        </c:scaling>
        <c:delete val="0"/>
        <c:axPos val="l"/>
        <c:majorGridlines>
          <c:spPr>
            <a:ln w="3175">
              <a:solidFill>
                <a:srgbClr val="000000"/>
              </a:solidFill>
              <a:prstDash val="solid"/>
            </a:ln>
          </c:spPr>
        </c:majorGridlines>
        <c:title>
          <c:tx>
            <c:rich>
              <a:bodyPr/>
              <a:lstStyle/>
              <a:p>
                <a:pPr>
                  <a:defRPr sz="150" b="1" i="0" u="none" strike="noStrike" baseline="0">
                    <a:solidFill>
                      <a:srgbClr val="000000"/>
                    </a:solidFill>
                    <a:latin typeface="Arial"/>
                    <a:ea typeface="Arial"/>
                    <a:cs typeface="Arial"/>
                  </a:defRPr>
                </a:pPr>
                <a:r>
                  <a:rPr lang="fr-FR"/>
                  <a:t>Rentabilité attendue</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a:ea typeface="Arial"/>
                <a:cs typeface="Arial"/>
              </a:defRPr>
            </a:pPr>
            <a:endParaRPr lang="fr-FR"/>
          </a:p>
        </c:txPr>
        <c:crossAx val="-2135583296"/>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1" i="0" u="none" strike="noStrike" baseline="0">
                <a:solidFill>
                  <a:srgbClr val="000000"/>
                </a:solidFill>
                <a:latin typeface="Arial"/>
                <a:ea typeface="Arial"/>
                <a:cs typeface="Arial"/>
              </a:defRPr>
            </a:pPr>
            <a:r>
              <a:rPr lang="fr-FR"/>
              <a:t>Courbe des taux coupon zéro à 5 ans</a:t>
            </a:r>
          </a:p>
        </c:rich>
      </c:tx>
      <c:layout>
        <c:manualLayout>
          <c:xMode val="edge"/>
          <c:yMode val="edge"/>
          <c:x val="0.27835503363062403"/>
          <c:y val="0.90117424118665701"/>
        </c:manualLayout>
      </c:layout>
      <c:overlay val="0"/>
      <c:spPr>
        <a:noFill/>
        <a:ln w="25400">
          <a:noFill/>
        </a:ln>
      </c:spPr>
    </c:title>
    <c:autoTitleDeleted val="0"/>
    <c:plotArea>
      <c:layout>
        <c:manualLayout>
          <c:layoutTarget val="inner"/>
          <c:xMode val="edge"/>
          <c:yMode val="edge"/>
          <c:x val="0.13055589857413"/>
          <c:y val="0.10057746920633499"/>
          <c:w val="0.81782185521907702"/>
          <c:h val="0.68392679060307904"/>
        </c:manualLayout>
      </c:layout>
      <c:lineChart>
        <c:grouping val="standard"/>
        <c:varyColors val="0"/>
        <c:ser>
          <c:idx val="1"/>
          <c:order val="0"/>
          <c:spPr>
            <a:ln w="25400">
              <a:solidFill>
                <a:srgbClr val="FFCC00"/>
              </a:solidFill>
              <a:prstDash val="solid"/>
            </a:ln>
          </c:spPr>
          <c:marker>
            <c:symbol val="square"/>
            <c:size val="5"/>
            <c:spPr>
              <a:solidFill>
                <a:srgbClr val="FFCC00"/>
              </a:solidFill>
              <a:ln>
                <a:solidFill>
                  <a:srgbClr val="FFCC00"/>
                </a:solidFill>
                <a:prstDash val="solid"/>
              </a:ln>
            </c:spPr>
          </c:marker>
          <c:cat>
            <c:numRef>
              <c:f>'Chapitre 21'!$B$47:$B$51</c:f>
              <c:numCache>
                <c:formatCode>General</c:formatCode>
                <c:ptCount val="5"/>
                <c:pt idx="0">
                  <c:v>1</c:v>
                </c:pt>
                <c:pt idx="1">
                  <c:v>2</c:v>
                </c:pt>
                <c:pt idx="2">
                  <c:v>3</c:v>
                </c:pt>
                <c:pt idx="3">
                  <c:v>4</c:v>
                </c:pt>
                <c:pt idx="4">
                  <c:v>5</c:v>
                </c:pt>
              </c:numCache>
            </c:numRef>
          </c:cat>
          <c:val>
            <c:numRef>
              <c:f>'Chapitre 21'!$F$47:$F$51</c:f>
              <c:numCache>
                <c:formatCode>0.00%</c:formatCode>
                <c:ptCount val="5"/>
                <c:pt idx="0">
                  <c:v>8.0813384828465978E-2</c:v>
                </c:pt>
                <c:pt idx="1">
                  <c:v>9.6413581536787474E-2</c:v>
                </c:pt>
                <c:pt idx="2">
                  <c:v>0.10090077218810833</c:v>
                </c:pt>
                <c:pt idx="3">
                  <c:v>0.1062142318701591</c:v>
                </c:pt>
                <c:pt idx="4">
                  <c:v>0.11007898885350897</c:v>
                </c:pt>
              </c:numCache>
            </c:numRef>
          </c:val>
          <c:smooth val="0"/>
          <c:extLst>
            <c:ext xmlns:c16="http://schemas.microsoft.com/office/drawing/2014/chart" uri="{C3380CC4-5D6E-409C-BE32-E72D297353CC}">
              <c16:uniqueId val="{00000000-2646-403E-BFB0-D1703A9EFA42}"/>
            </c:ext>
          </c:extLst>
        </c:ser>
        <c:dLbls>
          <c:showLegendKey val="0"/>
          <c:showVal val="0"/>
          <c:showCatName val="0"/>
          <c:showSerName val="0"/>
          <c:showPercent val="0"/>
          <c:showBubbleSize val="0"/>
        </c:dLbls>
        <c:marker val="1"/>
        <c:smooth val="0"/>
        <c:axId val="2144985776"/>
        <c:axId val="-2091044160"/>
      </c:lineChart>
      <c:catAx>
        <c:axId val="2144985776"/>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fr-FR"/>
          </a:p>
        </c:txPr>
        <c:crossAx val="-2091044160"/>
        <c:crosses val="autoZero"/>
        <c:auto val="1"/>
        <c:lblAlgn val="ctr"/>
        <c:lblOffset val="100"/>
        <c:tickLblSkip val="1"/>
        <c:tickMarkSkip val="1"/>
        <c:noMultiLvlLbl val="0"/>
      </c:catAx>
      <c:valAx>
        <c:axId val="-2091044160"/>
        <c:scaling>
          <c:orientation val="minMax"/>
        </c:scaling>
        <c:delete val="0"/>
        <c:axPos val="l"/>
        <c:majorGridlines>
          <c:spPr>
            <a:ln w="3175">
              <a:solidFill>
                <a:srgbClr val="000000"/>
              </a:solidFill>
              <a:prstDash val="solid"/>
            </a:ln>
          </c:spPr>
        </c:majorGridlines>
        <c:numFmt formatCode="0.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fr-FR"/>
          </a:p>
        </c:txPr>
        <c:crossAx val="2144985776"/>
        <c:crosses val="autoZero"/>
        <c:crossBetween val="between"/>
      </c:valAx>
      <c:spPr>
        <a:solidFill>
          <a:srgbClr val="C0C0C0"/>
        </a:solidFill>
        <a:ln w="12700">
          <a:solidFill>
            <a:srgbClr val="00000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chart" Target="../charts/chart24.xml"/><Relationship Id="rId6" Type="http://schemas.openxmlformats.org/officeDocument/2006/relationships/chart" Target="../charts/chart29.xml"/><Relationship Id="rId5" Type="http://schemas.openxmlformats.org/officeDocument/2006/relationships/chart" Target="../charts/chart28.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38.xml"/><Relationship Id="rId1" Type="http://schemas.openxmlformats.org/officeDocument/2006/relationships/chart" Target="../charts/chart37.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25.xml.rels><?xml version="1.0" encoding="UTF-8" standalone="yes"?>
<Relationships xmlns="http://schemas.openxmlformats.org/package/2006/relationships"><Relationship Id="rId2" Type="http://schemas.openxmlformats.org/officeDocument/2006/relationships/chart" Target="../charts/chart48.xml"/><Relationship Id="rId1" Type="http://schemas.openxmlformats.org/officeDocument/2006/relationships/chart" Target="../charts/chart47.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chart" Target="../charts/chart49.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52.xml"/><Relationship Id="rId1" Type="http://schemas.openxmlformats.org/officeDocument/2006/relationships/chart" Target="../charts/chart51.xml"/></Relationships>
</file>

<file path=xl/drawings/_rels/drawing28.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56.xml"/><Relationship Id="rId1"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60.xml"/><Relationship Id="rId1" Type="http://schemas.openxmlformats.org/officeDocument/2006/relationships/chart" Target="../charts/chart59.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chart" Target="../charts/chart61.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64.xml"/><Relationship Id="rId1" Type="http://schemas.openxmlformats.org/officeDocument/2006/relationships/chart" Target="../charts/chart63.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5</xdr:col>
      <xdr:colOff>120650</xdr:colOff>
      <xdr:row>19</xdr:row>
      <xdr:rowOff>9525</xdr:rowOff>
    </xdr:from>
    <xdr:to>
      <xdr:col>9</xdr:col>
      <xdr:colOff>711035</xdr:colOff>
      <xdr:row>22</xdr:row>
      <xdr:rowOff>82585</xdr:rowOff>
    </xdr:to>
    <xdr:sp macro="" textlink="">
      <xdr:nvSpPr>
        <xdr:cNvPr id="3073" name="Text Box 1">
          <a:extLst>
            <a:ext uri="{FF2B5EF4-FFF2-40B4-BE49-F238E27FC236}">
              <a16:creationId xmlns:a16="http://schemas.microsoft.com/office/drawing/2014/main" id="{00000000-0008-0000-0400-0000010C0000}"/>
            </a:ext>
          </a:extLst>
        </xdr:cNvPr>
        <xdr:cNvSpPr txBox="1">
          <a:spLocks noChangeArrowheads="1"/>
        </xdr:cNvSpPr>
      </xdr:nvSpPr>
      <xdr:spPr bwMode="auto">
        <a:xfrm>
          <a:off x="3438525" y="3267075"/>
          <a:ext cx="3724275" cy="552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1000" b="0" i="0" u="none" strike="noStrike" baseline="0">
              <a:solidFill>
                <a:srgbClr val="000000"/>
              </a:solidFill>
              <a:latin typeface="Verdana"/>
            </a:rPr>
            <a:t>M détient 80% de S: intégration globale</a:t>
          </a:r>
        </a:p>
        <a:p>
          <a:pPr algn="l" rtl="0">
            <a:defRPr sz="1000"/>
          </a:pPr>
          <a:r>
            <a:rPr lang="fr-FR" sz="1000" b="0" i="0" u="none" strike="noStrike" baseline="0">
              <a:solidFill>
                <a:srgbClr val="000000"/>
              </a:solidFill>
              <a:latin typeface="Verdana"/>
            </a:rPr>
            <a:t>M détient 50% de S: intégration proportionnelle</a:t>
          </a:r>
        </a:p>
        <a:p>
          <a:pPr algn="l" rtl="0">
            <a:defRPr sz="1000"/>
          </a:pPr>
          <a:r>
            <a:rPr lang="fr-FR" sz="1000" b="0" i="0" u="none" strike="noStrike" baseline="0">
              <a:solidFill>
                <a:srgbClr val="000000"/>
              </a:solidFill>
              <a:latin typeface="Verdana"/>
            </a:rPr>
            <a:t>M détient 20% de S: intégration par mise en équivalence</a:t>
          </a:r>
        </a:p>
      </xdr:txBody>
    </xdr:sp>
    <xdr:clientData/>
  </xdr:twoCellAnchor>
  <xdr:twoCellAnchor>
    <xdr:from>
      <xdr:col>5</xdr:col>
      <xdr:colOff>120650</xdr:colOff>
      <xdr:row>19</xdr:row>
      <xdr:rowOff>9525</xdr:rowOff>
    </xdr:from>
    <xdr:to>
      <xdr:col>9</xdr:col>
      <xdr:colOff>711035</xdr:colOff>
      <xdr:row>22</xdr:row>
      <xdr:rowOff>82585</xdr:rowOff>
    </xdr:to>
    <xdr:sp macro="" textlink="">
      <xdr:nvSpPr>
        <xdr:cNvPr id="3" name="Text Box 1">
          <a:extLst>
            <a:ext uri="{FF2B5EF4-FFF2-40B4-BE49-F238E27FC236}">
              <a16:creationId xmlns:a16="http://schemas.microsoft.com/office/drawing/2014/main" id="{04E22849-5F32-452D-BA8A-CD27890DE9EB}"/>
            </a:ext>
          </a:extLst>
        </xdr:cNvPr>
        <xdr:cNvSpPr txBox="1">
          <a:spLocks noChangeArrowheads="1"/>
        </xdr:cNvSpPr>
      </xdr:nvSpPr>
      <xdr:spPr bwMode="auto">
        <a:xfrm>
          <a:off x="3971925" y="3273425"/>
          <a:ext cx="4095585" cy="56518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1000" b="0" i="0" u="none" strike="noStrike" baseline="0">
              <a:solidFill>
                <a:srgbClr val="000000"/>
              </a:solidFill>
              <a:latin typeface="Verdana"/>
            </a:rPr>
            <a:t>M détient 80% de S: intégration globale</a:t>
          </a:r>
        </a:p>
        <a:p>
          <a:pPr algn="l" rtl="0">
            <a:defRPr sz="1000"/>
          </a:pPr>
          <a:r>
            <a:rPr lang="fr-FR" sz="1000" b="0" i="0" u="none" strike="noStrike" baseline="0">
              <a:solidFill>
                <a:srgbClr val="000000"/>
              </a:solidFill>
              <a:latin typeface="Verdana"/>
            </a:rPr>
            <a:t>M détient 50% de S: intégration proportionnelle</a:t>
          </a:r>
        </a:p>
        <a:p>
          <a:pPr algn="l" rtl="0">
            <a:defRPr sz="1000"/>
          </a:pPr>
          <a:r>
            <a:rPr lang="fr-FR" sz="1000" b="0" i="0" u="none" strike="noStrike" baseline="0">
              <a:solidFill>
                <a:srgbClr val="000000"/>
              </a:solidFill>
              <a:latin typeface="Verdana"/>
            </a:rPr>
            <a:t>M détient 20% de S: intégration par mise en équivalence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5601" name="Text Box 1">
          <a:extLst>
            <a:ext uri="{FF2B5EF4-FFF2-40B4-BE49-F238E27FC236}">
              <a16:creationId xmlns:a16="http://schemas.microsoft.com/office/drawing/2014/main" id="{00000000-0008-0000-1300-0000016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5602" name="Text Box 2">
          <a:extLst>
            <a:ext uri="{FF2B5EF4-FFF2-40B4-BE49-F238E27FC236}">
              <a16:creationId xmlns:a16="http://schemas.microsoft.com/office/drawing/2014/main" id="{00000000-0008-0000-1300-0000026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5603" name="Text Box 3">
          <a:extLst>
            <a:ext uri="{FF2B5EF4-FFF2-40B4-BE49-F238E27FC236}">
              <a16:creationId xmlns:a16="http://schemas.microsoft.com/office/drawing/2014/main" id="{00000000-0008-0000-1300-0000036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26434" name="Graphique 4">
          <a:extLst>
            <a:ext uri="{FF2B5EF4-FFF2-40B4-BE49-F238E27FC236}">
              <a16:creationId xmlns:a16="http://schemas.microsoft.com/office/drawing/2014/main" id="{00000000-0008-0000-1300-0000426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26435" name="Graphique 5">
          <a:extLst>
            <a:ext uri="{FF2B5EF4-FFF2-40B4-BE49-F238E27FC236}">
              <a16:creationId xmlns:a16="http://schemas.microsoft.com/office/drawing/2014/main" id="{00000000-0008-0000-1300-0000436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6865" name="Text Box 1">
          <a:extLst>
            <a:ext uri="{FF2B5EF4-FFF2-40B4-BE49-F238E27FC236}">
              <a16:creationId xmlns:a16="http://schemas.microsoft.com/office/drawing/2014/main" id="{00000000-0008-0000-1400-0000019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6866" name="Text Box 2">
          <a:extLst>
            <a:ext uri="{FF2B5EF4-FFF2-40B4-BE49-F238E27FC236}">
              <a16:creationId xmlns:a16="http://schemas.microsoft.com/office/drawing/2014/main" id="{00000000-0008-0000-1400-0000029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6867" name="Text Box 3">
          <a:extLst>
            <a:ext uri="{FF2B5EF4-FFF2-40B4-BE49-F238E27FC236}">
              <a16:creationId xmlns:a16="http://schemas.microsoft.com/office/drawing/2014/main" id="{00000000-0008-0000-1400-0000039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37559" name="Graphique 4">
          <a:extLst>
            <a:ext uri="{FF2B5EF4-FFF2-40B4-BE49-F238E27FC236}">
              <a16:creationId xmlns:a16="http://schemas.microsoft.com/office/drawing/2014/main" id="{00000000-0008-0000-1400-0000B79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7560" name="Graphique 5">
          <a:extLst>
            <a:ext uri="{FF2B5EF4-FFF2-40B4-BE49-F238E27FC236}">
              <a16:creationId xmlns:a16="http://schemas.microsoft.com/office/drawing/2014/main" id="{00000000-0008-0000-1400-0000B89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47105" name="Text Box 1">
          <a:extLst>
            <a:ext uri="{FF2B5EF4-FFF2-40B4-BE49-F238E27FC236}">
              <a16:creationId xmlns:a16="http://schemas.microsoft.com/office/drawing/2014/main" id="{00000000-0008-0000-1500-000001B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7106" name="Text Box 2">
          <a:extLst>
            <a:ext uri="{FF2B5EF4-FFF2-40B4-BE49-F238E27FC236}">
              <a16:creationId xmlns:a16="http://schemas.microsoft.com/office/drawing/2014/main" id="{00000000-0008-0000-1500-000002B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7107" name="Text Box 3">
          <a:extLst>
            <a:ext uri="{FF2B5EF4-FFF2-40B4-BE49-F238E27FC236}">
              <a16:creationId xmlns:a16="http://schemas.microsoft.com/office/drawing/2014/main" id="{00000000-0008-0000-1500-000003B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47798" name="Graphique 4">
          <a:extLst>
            <a:ext uri="{FF2B5EF4-FFF2-40B4-BE49-F238E27FC236}">
              <a16:creationId xmlns:a16="http://schemas.microsoft.com/office/drawing/2014/main" id="{00000000-0008-0000-1500-0000B6B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47799" name="Graphique 5">
          <a:extLst>
            <a:ext uri="{FF2B5EF4-FFF2-40B4-BE49-F238E27FC236}">
              <a16:creationId xmlns:a16="http://schemas.microsoft.com/office/drawing/2014/main" id="{00000000-0008-0000-1500-0000B7B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6625" name="Text Box 1">
          <a:extLst>
            <a:ext uri="{FF2B5EF4-FFF2-40B4-BE49-F238E27FC236}">
              <a16:creationId xmlns:a16="http://schemas.microsoft.com/office/drawing/2014/main" id="{00000000-0008-0000-1600-0000016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6626" name="Text Box 2">
          <a:extLst>
            <a:ext uri="{FF2B5EF4-FFF2-40B4-BE49-F238E27FC236}">
              <a16:creationId xmlns:a16="http://schemas.microsoft.com/office/drawing/2014/main" id="{00000000-0008-0000-1600-0000026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6627" name="Text Box 3">
          <a:extLst>
            <a:ext uri="{FF2B5EF4-FFF2-40B4-BE49-F238E27FC236}">
              <a16:creationId xmlns:a16="http://schemas.microsoft.com/office/drawing/2014/main" id="{00000000-0008-0000-1600-0000036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27595" name="Graphique 4">
          <a:extLst>
            <a:ext uri="{FF2B5EF4-FFF2-40B4-BE49-F238E27FC236}">
              <a16:creationId xmlns:a16="http://schemas.microsoft.com/office/drawing/2014/main" id="{00000000-0008-0000-1600-0000CB6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27596" name="Graphique 5">
          <a:extLst>
            <a:ext uri="{FF2B5EF4-FFF2-40B4-BE49-F238E27FC236}">
              <a16:creationId xmlns:a16="http://schemas.microsoft.com/office/drawing/2014/main" id="{00000000-0008-0000-1600-0000CC6B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298450</xdr:colOff>
      <xdr:row>19</xdr:row>
      <xdr:rowOff>38100</xdr:rowOff>
    </xdr:from>
    <xdr:to>
      <xdr:col>1</xdr:col>
      <xdr:colOff>673100</xdr:colOff>
      <xdr:row>19</xdr:row>
      <xdr:rowOff>127000</xdr:rowOff>
    </xdr:to>
    <xdr:sp macro="" textlink="">
      <xdr:nvSpPr>
        <xdr:cNvPr id="27597" name="AutoShape 7">
          <a:extLst>
            <a:ext uri="{FF2B5EF4-FFF2-40B4-BE49-F238E27FC236}">
              <a16:creationId xmlns:a16="http://schemas.microsoft.com/office/drawing/2014/main" id="{00000000-0008-0000-1600-0000CD6B0000}"/>
            </a:ext>
          </a:extLst>
        </xdr:cNvPr>
        <xdr:cNvSpPr>
          <a:spLocks noChangeArrowheads="1"/>
        </xdr:cNvSpPr>
      </xdr:nvSpPr>
      <xdr:spPr bwMode="auto">
        <a:xfrm>
          <a:off x="2012950" y="3295650"/>
          <a:ext cx="374650" cy="88900"/>
        </a:xfrm>
        <a:prstGeom prst="leftRightArrow">
          <a:avLst>
            <a:gd name="adj1" fmla="val 50000"/>
            <a:gd name="adj2" fmla="val 8428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298450</xdr:colOff>
      <xdr:row>21</xdr:row>
      <xdr:rowOff>38100</xdr:rowOff>
    </xdr:from>
    <xdr:to>
      <xdr:col>1</xdr:col>
      <xdr:colOff>673100</xdr:colOff>
      <xdr:row>21</xdr:row>
      <xdr:rowOff>127000</xdr:rowOff>
    </xdr:to>
    <xdr:sp macro="" textlink="">
      <xdr:nvSpPr>
        <xdr:cNvPr id="27598" name="AutoShape 8">
          <a:extLst>
            <a:ext uri="{FF2B5EF4-FFF2-40B4-BE49-F238E27FC236}">
              <a16:creationId xmlns:a16="http://schemas.microsoft.com/office/drawing/2014/main" id="{00000000-0008-0000-1600-0000CE6B0000}"/>
            </a:ext>
          </a:extLst>
        </xdr:cNvPr>
        <xdr:cNvSpPr>
          <a:spLocks noChangeArrowheads="1"/>
        </xdr:cNvSpPr>
      </xdr:nvSpPr>
      <xdr:spPr bwMode="auto">
        <a:xfrm>
          <a:off x="2012950" y="3638550"/>
          <a:ext cx="374650" cy="88900"/>
        </a:xfrm>
        <a:prstGeom prst="leftRightArrow">
          <a:avLst>
            <a:gd name="adj1" fmla="val 50000"/>
            <a:gd name="adj2" fmla="val 8428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48129" name="Text Box 1">
          <a:extLst>
            <a:ext uri="{FF2B5EF4-FFF2-40B4-BE49-F238E27FC236}">
              <a16:creationId xmlns:a16="http://schemas.microsoft.com/office/drawing/2014/main" id="{00000000-0008-0000-1700-000001B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8130" name="Text Box 2">
          <a:extLst>
            <a:ext uri="{FF2B5EF4-FFF2-40B4-BE49-F238E27FC236}">
              <a16:creationId xmlns:a16="http://schemas.microsoft.com/office/drawing/2014/main" id="{00000000-0008-0000-1700-000002B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8131" name="Text Box 3">
          <a:extLst>
            <a:ext uri="{FF2B5EF4-FFF2-40B4-BE49-F238E27FC236}">
              <a16:creationId xmlns:a16="http://schemas.microsoft.com/office/drawing/2014/main" id="{00000000-0008-0000-1700-000003B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48902" name="Graphique 4">
          <a:extLst>
            <a:ext uri="{FF2B5EF4-FFF2-40B4-BE49-F238E27FC236}">
              <a16:creationId xmlns:a16="http://schemas.microsoft.com/office/drawing/2014/main" id="{00000000-0008-0000-1700-000006B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48903" name="Graphique 5">
          <a:extLst>
            <a:ext uri="{FF2B5EF4-FFF2-40B4-BE49-F238E27FC236}">
              <a16:creationId xmlns:a16="http://schemas.microsoft.com/office/drawing/2014/main" id="{00000000-0008-0000-1700-000007B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0721" name="Text Box 1">
          <a:extLst>
            <a:ext uri="{FF2B5EF4-FFF2-40B4-BE49-F238E27FC236}">
              <a16:creationId xmlns:a16="http://schemas.microsoft.com/office/drawing/2014/main" id="{00000000-0008-0000-1800-0000017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0722" name="Text Box 2">
          <a:extLst>
            <a:ext uri="{FF2B5EF4-FFF2-40B4-BE49-F238E27FC236}">
              <a16:creationId xmlns:a16="http://schemas.microsoft.com/office/drawing/2014/main" id="{00000000-0008-0000-1800-0000027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0723" name="Text Box 3">
          <a:extLst>
            <a:ext uri="{FF2B5EF4-FFF2-40B4-BE49-F238E27FC236}">
              <a16:creationId xmlns:a16="http://schemas.microsoft.com/office/drawing/2014/main" id="{00000000-0008-0000-1800-0000037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6047244" name="Graphique 4">
          <a:extLst>
            <a:ext uri="{FF2B5EF4-FFF2-40B4-BE49-F238E27FC236}">
              <a16:creationId xmlns:a16="http://schemas.microsoft.com/office/drawing/2014/main" id="{00000000-0008-0000-1800-00000C46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6047245" name="Graphique 5">
          <a:extLst>
            <a:ext uri="{FF2B5EF4-FFF2-40B4-BE49-F238E27FC236}">
              <a16:creationId xmlns:a16="http://schemas.microsoft.com/office/drawing/2014/main" id="{00000000-0008-0000-1800-00000D46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69850</xdr:colOff>
      <xdr:row>97</xdr:row>
      <xdr:rowOff>12700</xdr:rowOff>
    </xdr:from>
    <xdr:to>
      <xdr:col>5</xdr:col>
      <xdr:colOff>266700</xdr:colOff>
      <xdr:row>108</xdr:row>
      <xdr:rowOff>88900</xdr:rowOff>
    </xdr:to>
    <xdr:graphicFrame macro="">
      <xdr:nvGraphicFramePr>
        <xdr:cNvPr id="6047246" name="Graphique 6">
          <a:extLst>
            <a:ext uri="{FF2B5EF4-FFF2-40B4-BE49-F238E27FC236}">
              <a16:creationId xmlns:a16="http://schemas.microsoft.com/office/drawing/2014/main" id="{00000000-0008-0000-1800-00000E46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1085850</xdr:colOff>
      <xdr:row>175</xdr:row>
      <xdr:rowOff>69850</xdr:rowOff>
    </xdr:from>
    <xdr:to>
      <xdr:col>8</xdr:col>
      <xdr:colOff>889000</xdr:colOff>
      <xdr:row>187</xdr:row>
      <xdr:rowOff>82550</xdr:rowOff>
    </xdr:to>
    <xdr:graphicFrame macro="">
      <xdr:nvGraphicFramePr>
        <xdr:cNvPr id="6047247" name="Graphique 7">
          <a:extLst>
            <a:ext uri="{FF2B5EF4-FFF2-40B4-BE49-F238E27FC236}">
              <a16:creationId xmlns:a16="http://schemas.microsoft.com/office/drawing/2014/main" id="{00000000-0008-0000-1800-00000F46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114300</xdr:colOff>
      <xdr:row>233</xdr:row>
      <xdr:rowOff>133350</xdr:rowOff>
    </xdr:from>
    <xdr:to>
      <xdr:col>8</xdr:col>
      <xdr:colOff>774700</xdr:colOff>
      <xdr:row>246</xdr:row>
      <xdr:rowOff>69850</xdr:rowOff>
    </xdr:to>
    <xdr:graphicFrame macro="">
      <xdr:nvGraphicFramePr>
        <xdr:cNvPr id="6047248" name="Graphique 8">
          <a:extLst>
            <a:ext uri="{FF2B5EF4-FFF2-40B4-BE49-F238E27FC236}">
              <a16:creationId xmlns:a16="http://schemas.microsoft.com/office/drawing/2014/main" id="{00000000-0008-0000-1800-00001046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876300</xdr:colOff>
      <xdr:row>132</xdr:row>
      <xdr:rowOff>50800</xdr:rowOff>
    </xdr:from>
    <xdr:to>
      <xdr:col>5</xdr:col>
      <xdr:colOff>203200</xdr:colOff>
      <xdr:row>141</xdr:row>
      <xdr:rowOff>139700</xdr:rowOff>
    </xdr:to>
    <xdr:graphicFrame macro="">
      <xdr:nvGraphicFramePr>
        <xdr:cNvPr id="6047249" name="Graphique 13">
          <a:extLst>
            <a:ext uri="{FF2B5EF4-FFF2-40B4-BE49-F238E27FC236}">
              <a16:creationId xmlns:a16="http://schemas.microsoft.com/office/drawing/2014/main" id="{00000000-0008-0000-1800-000011465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120650</xdr:colOff>
      <xdr:row>146</xdr:row>
      <xdr:rowOff>158750</xdr:rowOff>
    </xdr:from>
    <xdr:to>
      <xdr:col>5</xdr:col>
      <xdr:colOff>285682</xdr:colOff>
      <xdr:row>151</xdr:row>
      <xdr:rowOff>47652</xdr:rowOff>
    </xdr:to>
    <xdr:sp macro="" textlink="">
      <xdr:nvSpPr>
        <xdr:cNvPr id="30735" name="Text Box 15">
          <a:extLst>
            <a:ext uri="{FF2B5EF4-FFF2-40B4-BE49-F238E27FC236}">
              <a16:creationId xmlns:a16="http://schemas.microsoft.com/office/drawing/2014/main" id="{00000000-0008-0000-1800-00000F780000}"/>
            </a:ext>
          </a:extLst>
        </xdr:cNvPr>
        <xdr:cNvSpPr txBox="1">
          <a:spLocks noChangeArrowheads="1"/>
        </xdr:cNvSpPr>
      </xdr:nvSpPr>
      <xdr:spPr bwMode="auto">
        <a:xfrm>
          <a:off x="3371850" y="23926800"/>
          <a:ext cx="2809875" cy="7048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800"/>
            </a:lnSpc>
            <a:defRPr sz="1000"/>
          </a:pPr>
          <a:r>
            <a:rPr lang="fr-FR" sz="800" b="1" i="0" u="sng" strike="noStrike" baseline="0">
              <a:solidFill>
                <a:srgbClr val="000000"/>
              </a:solidFill>
              <a:latin typeface="Verdana"/>
            </a:rPr>
            <a:t>Note:</a:t>
          </a:r>
          <a:r>
            <a:rPr lang="fr-FR" sz="800" b="1" i="0" u="none" strike="noStrike" baseline="0">
              <a:solidFill>
                <a:srgbClr val="000000"/>
              </a:solidFill>
              <a:latin typeface="Verdana"/>
            </a:rPr>
            <a:t> sachant que la construction a pris un an, seule la deuxième année a pu être consacrée à l'exploitation. Ce bilan correspond donc à 1 an d'exercice et est pris comme ref pour les suivants.</a:t>
          </a:r>
        </a:p>
      </xdr:txBody>
    </xdr:sp>
    <xdr:clientData/>
  </xdr:twoCellAnchor>
  <xdr:twoCellAnchor>
    <xdr:from>
      <xdr:col>2</xdr:col>
      <xdr:colOff>152400</xdr:colOff>
      <xdr:row>188</xdr:row>
      <xdr:rowOff>28575</xdr:rowOff>
    </xdr:from>
    <xdr:to>
      <xdr:col>5</xdr:col>
      <xdr:colOff>257158</xdr:colOff>
      <xdr:row>190</xdr:row>
      <xdr:rowOff>47625</xdr:rowOff>
    </xdr:to>
    <xdr:sp macro="" textlink="">
      <xdr:nvSpPr>
        <xdr:cNvPr id="30737" name="Text Box 17">
          <a:extLst>
            <a:ext uri="{FF2B5EF4-FFF2-40B4-BE49-F238E27FC236}">
              <a16:creationId xmlns:a16="http://schemas.microsoft.com/office/drawing/2014/main" id="{00000000-0008-0000-1800-000011780000}"/>
            </a:ext>
          </a:extLst>
        </xdr:cNvPr>
        <xdr:cNvSpPr txBox="1">
          <a:spLocks noChangeArrowheads="1"/>
        </xdr:cNvSpPr>
      </xdr:nvSpPr>
      <xdr:spPr bwMode="auto">
        <a:xfrm>
          <a:off x="3400425" y="30603825"/>
          <a:ext cx="2752725" cy="342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0" i="0" u="none" strike="noStrike" baseline="0">
              <a:solidFill>
                <a:srgbClr val="000000"/>
              </a:solidFill>
              <a:latin typeface="Verdana"/>
            </a:rPr>
            <a:t>Si les flux ne sont pas actualisés alors le délai de récupération est de 6,3 années.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1745" name="Text Box 1">
          <a:extLst>
            <a:ext uri="{FF2B5EF4-FFF2-40B4-BE49-F238E27FC236}">
              <a16:creationId xmlns:a16="http://schemas.microsoft.com/office/drawing/2014/main" id="{00000000-0008-0000-1900-0000017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1746" name="Text Box 2">
          <a:extLst>
            <a:ext uri="{FF2B5EF4-FFF2-40B4-BE49-F238E27FC236}">
              <a16:creationId xmlns:a16="http://schemas.microsoft.com/office/drawing/2014/main" id="{00000000-0008-0000-1900-0000027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1747" name="Text Box 3">
          <a:extLst>
            <a:ext uri="{FF2B5EF4-FFF2-40B4-BE49-F238E27FC236}">
              <a16:creationId xmlns:a16="http://schemas.microsoft.com/office/drawing/2014/main" id="{00000000-0008-0000-1900-0000037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32579" name="Graphique 4">
          <a:extLst>
            <a:ext uri="{FF2B5EF4-FFF2-40B4-BE49-F238E27FC236}">
              <a16:creationId xmlns:a16="http://schemas.microsoft.com/office/drawing/2014/main" id="{00000000-0008-0000-1900-0000437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2580" name="Graphique 5">
          <a:extLst>
            <a:ext uri="{FF2B5EF4-FFF2-40B4-BE49-F238E27FC236}">
              <a16:creationId xmlns:a16="http://schemas.microsoft.com/office/drawing/2014/main" id="{00000000-0008-0000-1900-0000447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50800</xdr:colOff>
      <xdr:row>31</xdr:row>
      <xdr:rowOff>158750</xdr:rowOff>
    </xdr:from>
    <xdr:to>
      <xdr:col>7</xdr:col>
      <xdr:colOff>787400</xdr:colOff>
      <xdr:row>34</xdr:row>
      <xdr:rowOff>38100</xdr:rowOff>
    </xdr:to>
    <xdr:sp macro="" textlink="">
      <xdr:nvSpPr>
        <xdr:cNvPr id="32581" name="Text Box 9">
          <a:extLst>
            <a:ext uri="{FF2B5EF4-FFF2-40B4-BE49-F238E27FC236}">
              <a16:creationId xmlns:a16="http://schemas.microsoft.com/office/drawing/2014/main" id="{00000000-0008-0000-1900-0000457F0000}"/>
            </a:ext>
          </a:extLst>
        </xdr:cNvPr>
        <xdr:cNvSpPr txBox="1">
          <a:spLocks noChangeArrowheads="1"/>
        </xdr:cNvSpPr>
      </xdr:nvSpPr>
      <xdr:spPr bwMode="auto">
        <a:xfrm>
          <a:off x="2425700" y="6159500"/>
          <a:ext cx="5810250" cy="3937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xmlns=""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2769" name="Text Box 1">
          <a:extLst>
            <a:ext uri="{FF2B5EF4-FFF2-40B4-BE49-F238E27FC236}">
              <a16:creationId xmlns:a16="http://schemas.microsoft.com/office/drawing/2014/main" id="{00000000-0008-0000-1A00-0000018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2770" name="Text Box 2">
          <a:extLst>
            <a:ext uri="{FF2B5EF4-FFF2-40B4-BE49-F238E27FC236}">
              <a16:creationId xmlns:a16="http://schemas.microsoft.com/office/drawing/2014/main" id="{00000000-0008-0000-1A00-0000028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2771" name="Text Box 3">
          <a:extLst>
            <a:ext uri="{FF2B5EF4-FFF2-40B4-BE49-F238E27FC236}">
              <a16:creationId xmlns:a16="http://schemas.microsoft.com/office/drawing/2014/main" id="{00000000-0008-0000-1A00-0000038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33600" name="Graphique 4">
          <a:extLst>
            <a:ext uri="{FF2B5EF4-FFF2-40B4-BE49-F238E27FC236}">
              <a16:creationId xmlns:a16="http://schemas.microsoft.com/office/drawing/2014/main" id="{00000000-0008-0000-1A00-0000408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3601" name="Graphique 5">
          <a:extLst>
            <a:ext uri="{FF2B5EF4-FFF2-40B4-BE49-F238E27FC236}">
              <a16:creationId xmlns:a16="http://schemas.microsoft.com/office/drawing/2014/main" id="{00000000-0008-0000-1A00-0000418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9937" name="Text Box 1">
          <a:extLst>
            <a:ext uri="{FF2B5EF4-FFF2-40B4-BE49-F238E27FC236}">
              <a16:creationId xmlns:a16="http://schemas.microsoft.com/office/drawing/2014/main" id="{00000000-0008-0000-1B00-0000019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9938" name="Text Box 2">
          <a:extLst>
            <a:ext uri="{FF2B5EF4-FFF2-40B4-BE49-F238E27FC236}">
              <a16:creationId xmlns:a16="http://schemas.microsoft.com/office/drawing/2014/main" id="{00000000-0008-0000-1B00-0000029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9939" name="Text Box 3">
          <a:extLst>
            <a:ext uri="{FF2B5EF4-FFF2-40B4-BE49-F238E27FC236}">
              <a16:creationId xmlns:a16="http://schemas.microsoft.com/office/drawing/2014/main" id="{00000000-0008-0000-1B00-0000039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40774" name="Graphique 4">
          <a:extLst>
            <a:ext uri="{FF2B5EF4-FFF2-40B4-BE49-F238E27FC236}">
              <a16:creationId xmlns:a16="http://schemas.microsoft.com/office/drawing/2014/main" id="{00000000-0008-0000-1B00-0000469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40775" name="Graphique 5">
          <a:extLst>
            <a:ext uri="{FF2B5EF4-FFF2-40B4-BE49-F238E27FC236}">
              <a16:creationId xmlns:a16="http://schemas.microsoft.com/office/drawing/2014/main" id="{00000000-0008-0000-1B00-0000479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127000</xdr:colOff>
      <xdr:row>45</xdr:row>
      <xdr:rowOff>12700</xdr:rowOff>
    </xdr:from>
    <xdr:to>
      <xdr:col>7</xdr:col>
      <xdr:colOff>717550</xdr:colOff>
      <xdr:row>46</xdr:row>
      <xdr:rowOff>50800</xdr:rowOff>
    </xdr:to>
    <xdr:sp macro="" textlink="">
      <xdr:nvSpPr>
        <xdr:cNvPr id="40776" name="AutoShape 11">
          <a:extLst>
            <a:ext uri="{FF2B5EF4-FFF2-40B4-BE49-F238E27FC236}">
              <a16:creationId xmlns:a16="http://schemas.microsoft.com/office/drawing/2014/main" id="{00000000-0008-0000-1B00-0000489F0000}"/>
            </a:ext>
          </a:extLst>
        </xdr:cNvPr>
        <xdr:cNvSpPr>
          <a:spLocks noChangeArrowheads="1"/>
        </xdr:cNvSpPr>
      </xdr:nvSpPr>
      <xdr:spPr bwMode="auto">
        <a:xfrm rot="-10779736">
          <a:off x="7112000" y="7702550"/>
          <a:ext cx="590550" cy="209550"/>
        </a:xfrm>
        <a:custGeom>
          <a:avLst/>
          <a:gdLst>
            <a:gd name="T0" fmla="*/ 2147483646 w 21600"/>
            <a:gd name="T1" fmla="*/ 0 h 21600"/>
            <a:gd name="T2" fmla="*/ 2147483646 w 21600"/>
            <a:gd name="T3" fmla="*/ 2147483646 h 21600"/>
            <a:gd name="T4" fmla="*/ 2147483646 w 21600"/>
            <a:gd name="T5" fmla="*/ 2147483646 h 21600"/>
            <a:gd name="T6" fmla="*/ 2147483646 w 21600"/>
            <a:gd name="T7" fmla="*/ 2147483646 h 21600"/>
            <a:gd name="T8" fmla="*/ 17694720 60000 65536"/>
            <a:gd name="T9" fmla="*/ 5898240 60000 65536"/>
            <a:gd name="T10" fmla="*/ 5898240 60000 65536"/>
            <a:gd name="T11" fmla="*/ 0 60000 65536"/>
            <a:gd name="T12" fmla="*/ 12427 w 21600"/>
            <a:gd name="T13" fmla="*/ 2912 h 21600"/>
            <a:gd name="T14" fmla="*/ 18227 w 21600"/>
            <a:gd name="T15" fmla="*/ 9246 h 21600"/>
          </a:gdLst>
          <a:ahLst/>
          <a:cxnLst>
            <a:cxn ang="T8">
              <a:pos x="T0" y="T1"/>
            </a:cxn>
            <a:cxn ang="T9">
              <a:pos x="T2" y="T3"/>
            </a:cxn>
            <a:cxn ang="T10">
              <a:pos x="T4" y="T5"/>
            </a:cxn>
            <a:cxn ang="T11">
              <a:pos x="T6" y="T7"/>
            </a:cxn>
          </a:cxnLst>
          <a:rect l="T12" t="T13" r="T14" b="T15"/>
          <a:pathLst>
            <a:path w="21600" h="21600">
              <a:moveTo>
                <a:pt x="21600" y="6079"/>
              </a:moveTo>
              <a:lnTo>
                <a:pt x="15126" y="0"/>
              </a:lnTo>
              <a:lnTo>
                <a:pt x="15126" y="2912"/>
              </a:lnTo>
              <a:lnTo>
                <a:pt x="12427" y="2912"/>
              </a:lnTo>
              <a:cubicBezTo>
                <a:pt x="5564" y="2912"/>
                <a:pt x="0" y="7052"/>
                <a:pt x="0" y="12158"/>
              </a:cubicBezTo>
              <a:lnTo>
                <a:pt x="0" y="21600"/>
              </a:lnTo>
              <a:lnTo>
                <a:pt x="6474" y="21600"/>
              </a:lnTo>
              <a:lnTo>
                <a:pt x="6474" y="12158"/>
              </a:lnTo>
              <a:cubicBezTo>
                <a:pt x="6474" y="10550"/>
                <a:pt x="9139" y="9246"/>
                <a:pt x="12427" y="9246"/>
              </a:cubicBezTo>
              <a:lnTo>
                <a:pt x="15126" y="9246"/>
              </a:lnTo>
              <a:lnTo>
                <a:pt x="15126" y="12158"/>
              </a:lnTo>
              <a:lnTo>
                <a:pt x="21600" y="6079"/>
              </a:lnTo>
              <a:close/>
            </a:path>
          </a:pathLst>
        </a:cu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261057</xdr:colOff>
      <xdr:row>96</xdr:row>
      <xdr:rowOff>141112</xdr:rowOff>
    </xdr:from>
    <xdr:to>
      <xdr:col>10</xdr:col>
      <xdr:colOff>830386</xdr:colOff>
      <xdr:row>122</xdr:row>
      <xdr:rowOff>122658</xdr:rowOff>
    </xdr:to>
    <xdr:graphicFrame macro="">
      <xdr:nvGraphicFramePr>
        <xdr:cNvPr id="3" name="Graphique 2">
          <a:extLst>
            <a:ext uri="{FF2B5EF4-FFF2-40B4-BE49-F238E27FC236}">
              <a16:creationId xmlns:a16="http://schemas.microsoft.com/office/drawing/2014/main" id="{CDEABE55-6FE5-427B-959C-287FD72B02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0.74923</cdr:x>
      <cdr:y>0.24351</cdr:y>
    </cdr:from>
    <cdr:to>
      <cdr:x>0.84093</cdr:x>
      <cdr:y>0.34091</cdr:y>
    </cdr:to>
    <cdr:sp macro="" textlink="">
      <cdr:nvSpPr>
        <cdr:cNvPr id="2" name="ZoneTexte 1">
          <a:extLst xmlns:a="http://schemas.openxmlformats.org/drawingml/2006/main">
            <a:ext uri="{FF2B5EF4-FFF2-40B4-BE49-F238E27FC236}">
              <a16:creationId xmlns:a16="http://schemas.microsoft.com/office/drawing/2014/main" id="{4532467A-E80D-04FD-A540-C87E53B584A1}"/>
            </a:ext>
          </a:extLst>
        </cdr:cNvPr>
        <cdr:cNvSpPr txBox="1"/>
      </cdr:nvSpPr>
      <cdr:spPr>
        <a:xfrm xmlns:a="http://schemas.openxmlformats.org/drawingml/2006/main">
          <a:off x="5954347" y="732691"/>
          <a:ext cx="728784" cy="29307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kern="1200"/>
            <a:t>ARM</a:t>
          </a:r>
        </a:p>
      </cdr:txBody>
    </cdr:sp>
  </cdr:relSizeAnchor>
  <cdr:relSizeAnchor xmlns:cdr="http://schemas.openxmlformats.org/drawingml/2006/chartDrawing">
    <cdr:from>
      <cdr:x>0.61033</cdr:x>
      <cdr:y>0.69156</cdr:y>
    </cdr:from>
    <cdr:to>
      <cdr:x>0.73645</cdr:x>
      <cdr:y>1</cdr:y>
    </cdr:to>
    <cdr:sp macro="" textlink="">
      <cdr:nvSpPr>
        <cdr:cNvPr id="3" name="ZoneTexte 2">
          <a:extLst xmlns:a="http://schemas.openxmlformats.org/drawingml/2006/main">
            <a:ext uri="{FF2B5EF4-FFF2-40B4-BE49-F238E27FC236}">
              <a16:creationId xmlns:a16="http://schemas.microsoft.com/office/drawing/2014/main" id="{B7990AC8-DA08-6BBB-2A0F-084959574094}"/>
            </a:ext>
          </a:extLst>
        </cdr:cNvPr>
        <cdr:cNvSpPr txBox="1"/>
      </cdr:nvSpPr>
      <cdr:spPr>
        <a:xfrm xmlns:a="http://schemas.openxmlformats.org/drawingml/2006/main">
          <a:off x="4850424" y="2080845"/>
          <a:ext cx="1002323" cy="928077"/>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kern="1200"/>
            <a:t>Nvidia</a:t>
          </a:r>
        </a:p>
      </cdr:txBody>
    </cdr:sp>
  </cdr:relSizeAnchor>
  <cdr:relSizeAnchor xmlns:cdr="http://schemas.openxmlformats.org/drawingml/2006/chartDrawing">
    <cdr:from>
      <cdr:x>0.85249</cdr:x>
      <cdr:y>0.46753</cdr:y>
    </cdr:from>
    <cdr:to>
      <cdr:x>0.96755</cdr:x>
      <cdr:y>0.77143</cdr:y>
    </cdr:to>
    <cdr:sp macro="" textlink="">
      <cdr:nvSpPr>
        <cdr:cNvPr id="4" name="ZoneTexte 3">
          <a:extLst xmlns:a="http://schemas.openxmlformats.org/drawingml/2006/main">
            <a:ext uri="{FF2B5EF4-FFF2-40B4-BE49-F238E27FC236}">
              <a16:creationId xmlns:a16="http://schemas.microsoft.com/office/drawing/2014/main" id="{F687348B-1740-3E85-3285-47510A1E582C}"/>
            </a:ext>
          </a:extLst>
        </cdr:cNvPr>
        <cdr:cNvSpPr txBox="1"/>
      </cdr:nvSpPr>
      <cdr:spPr>
        <a:xfrm xmlns:a="http://schemas.openxmlformats.org/drawingml/2006/main">
          <a:off x="6774962" y="1406767"/>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kern="1200"/>
            <a:t>AMD</a:t>
          </a:r>
        </a:p>
      </cdr:txBody>
    </cdr:sp>
  </cdr:relSizeAnchor>
  <cdr:relSizeAnchor xmlns:cdr="http://schemas.openxmlformats.org/drawingml/2006/chartDrawing">
    <cdr:from>
      <cdr:x>0.42471</cdr:x>
      <cdr:y>0.6961</cdr:y>
    </cdr:from>
    <cdr:to>
      <cdr:x>0.53977</cdr:x>
      <cdr:y>1</cdr:y>
    </cdr:to>
    <cdr:sp macro="" textlink="">
      <cdr:nvSpPr>
        <cdr:cNvPr id="5" name="ZoneTexte 4">
          <a:extLst xmlns:a="http://schemas.openxmlformats.org/drawingml/2006/main">
            <a:ext uri="{FF2B5EF4-FFF2-40B4-BE49-F238E27FC236}">
              <a16:creationId xmlns:a16="http://schemas.microsoft.com/office/drawing/2014/main" id="{6A8E3218-DE86-8C53-CCB1-A975BF071B4B}"/>
            </a:ext>
          </a:extLst>
        </cdr:cNvPr>
        <cdr:cNvSpPr txBox="1"/>
      </cdr:nvSpPr>
      <cdr:spPr>
        <a:xfrm xmlns:a="http://schemas.openxmlformats.org/drawingml/2006/main">
          <a:off x="3375270" y="216876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kern="1200"/>
            <a:t>Infineon</a:t>
          </a:r>
        </a:p>
      </cdr:txBody>
    </cdr:sp>
  </cdr:relSizeAnchor>
  <cdr:relSizeAnchor xmlns:cdr="http://schemas.openxmlformats.org/drawingml/2006/chartDrawing">
    <cdr:from>
      <cdr:x>0.04118</cdr:x>
      <cdr:y>0.70698</cdr:y>
    </cdr:from>
    <cdr:to>
      <cdr:x>0.18451</cdr:x>
      <cdr:y>1</cdr:y>
    </cdr:to>
    <cdr:sp macro="" textlink="">
      <cdr:nvSpPr>
        <cdr:cNvPr id="6" name="ZoneTexte 5">
          <a:extLst xmlns:a="http://schemas.openxmlformats.org/drawingml/2006/main">
            <a:ext uri="{FF2B5EF4-FFF2-40B4-BE49-F238E27FC236}">
              <a16:creationId xmlns:a16="http://schemas.microsoft.com/office/drawing/2014/main" id="{4650E486-4912-AA7E-090E-EBB091AE1BCC}"/>
            </a:ext>
          </a:extLst>
        </cdr:cNvPr>
        <cdr:cNvSpPr txBox="1"/>
      </cdr:nvSpPr>
      <cdr:spPr>
        <a:xfrm xmlns:a="http://schemas.openxmlformats.org/drawingml/2006/main">
          <a:off x="327269" y="2969844"/>
          <a:ext cx="1139082" cy="1230923"/>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1100" kern="1200"/>
            <a:t>Qualcomm</a:t>
          </a:r>
        </a:p>
      </cdr:txBody>
    </cdr:sp>
  </cdr:relSizeAnchor>
</c:userShapes>
</file>

<file path=xl/drawings/drawing2.xml><?xml version="1.0" encoding="utf-8"?>
<xdr:wsDr xmlns:xdr="http://schemas.openxmlformats.org/drawingml/2006/spreadsheetDrawing" xmlns:a="http://schemas.openxmlformats.org/drawingml/2006/main">
  <xdr:twoCellAnchor>
    <xdr:from>
      <xdr:col>6</xdr:col>
      <xdr:colOff>666750</xdr:colOff>
      <xdr:row>4</xdr:row>
      <xdr:rowOff>0</xdr:rowOff>
    </xdr:from>
    <xdr:to>
      <xdr:col>11</xdr:col>
      <xdr:colOff>612777</xdr:colOff>
      <xdr:row>8</xdr:row>
      <xdr:rowOff>130150</xdr:rowOff>
    </xdr:to>
    <xdr:sp macro="" textlink="">
      <xdr:nvSpPr>
        <xdr:cNvPr id="11268" name="Text Box 4">
          <a:extLst>
            <a:ext uri="{FF2B5EF4-FFF2-40B4-BE49-F238E27FC236}">
              <a16:creationId xmlns:a16="http://schemas.microsoft.com/office/drawing/2014/main" id="{00000000-0008-0000-0900-0000042C0000}"/>
            </a:ext>
          </a:extLst>
        </xdr:cNvPr>
        <xdr:cNvSpPr txBox="1">
          <a:spLocks noChangeArrowheads="1"/>
        </xdr:cNvSpPr>
      </xdr:nvSpPr>
      <xdr:spPr bwMode="auto">
        <a:xfrm>
          <a:off x="7019925" y="666750"/>
          <a:ext cx="4152900" cy="771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1000" b="0" i="0" u="none" strike="noStrike" baseline="0">
              <a:solidFill>
                <a:srgbClr val="000000"/>
              </a:solidFill>
              <a:latin typeface="Verdana"/>
            </a:rPr>
            <a:t>L'entreprise en forte croissance, et en période d'investissement ne peut maîtriser son besoin en fonds de roulement, ce qui génère un fort déficit de trésorerie. Celui-ci est comblé par de l'endettement; les frais financiers augmentent donc fortement.</a:t>
          </a:r>
        </a:p>
      </xdr:txBody>
    </xdr:sp>
    <xdr:clientData/>
  </xdr:twoCellAnchor>
  <xdr:twoCellAnchor>
    <xdr:from>
      <xdr:col>6</xdr:col>
      <xdr:colOff>666750</xdr:colOff>
      <xdr:row>4</xdr:row>
      <xdr:rowOff>0</xdr:rowOff>
    </xdr:from>
    <xdr:to>
      <xdr:col>11</xdr:col>
      <xdr:colOff>612777</xdr:colOff>
      <xdr:row>8</xdr:row>
      <xdr:rowOff>130150</xdr:rowOff>
    </xdr:to>
    <xdr:sp macro="" textlink="">
      <xdr:nvSpPr>
        <xdr:cNvPr id="3" name="Text Box 4">
          <a:extLst>
            <a:ext uri="{FF2B5EF4-FFF2-40B4-BE49-F238E27FC236}">
              <a16:creationId xmlns:a16="http://schemas.microsoft.com/office/drawing/2014/main" id="{F551F670-C7DA-4E14-9A5F-9FBFB2F7B44F}"/>
            </a:ext>
          </a:extLst>
        </xdr:cNvPr>
        <xdr:cNvSpPr txBox="1">
          <a:spLocks noChangeArrowheads="1"/>
        </xdr:cNvSpPr>
      </xdr:nvSpPr>
      <xdr:spPr bwMode="auto">
        <a:xfrm>
          <a:off x="7848600" y="666750"/>
          <a:ext cx="4473577" cy="774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1000" b="0" i="0" u="none" strike="noStrike" baseline="0">
              <a:solidFill>
                <a:srgbClr val="000000"/>
              </a:solidFill>
              <a:latin typeface="Verdana"/>
            </a:rPr>
            <a:t>L'entreprise en forte croissance, et en période d'investissement ne peut maîtriser son besoin en fonds de roulement, ce qui génère un fort déficit de trésorerie. Celui-ci est comblé par de l'endettement; les frais financiers augmentent donc fortement.</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7649" name="Text Box 1">
          <a:extLst>
            <a:ext uri="{FF2B5EF4-FFF2-40B4-BE49-F238E27FC236}">
              <a16:creationId xmlns:a16="http://schemas.microsoft.com/office/drawing/2014/main" id="{00000000-0008-0000-1C00-0000016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7650" name="Text Box 2">
          <a:extLst>
            <a:ext uri="{FF2B5EF4-FFF2-40B4-BE49-F238E27FC236}">
              <a16:creationId xmlns:a16="http://schemas.microsoft.com/office/drawing/2014/main" id="{00000000-0008-0000-1C00-0000026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7651" name="Text Box 3">
          <a:extLst>
            <a:ext uri="{FF2B5EF4-FFF2-40B4-BE49-F238E27FC236}">
              <a16:creationId xmlns:a16="http://schemas.microsoft.com/office/drawing/2014/main" id="{00000000-0008-0000-1C00-0000036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28348" name="Graphique 4">
          <a:extLst>
            <a:ext uri="{FF2B5EF4-FFF2-40B4-BE49-F238E27FC236}">
              <a16:creationId xmlns:a16="http://schemas.microsoft.com/office/drawing/2014/main" id="{00000000-0008-0000-1C00-0000BC6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28349" name="Graphique 5">
          <a:extLst>
            <a:ext uri="{FF2B5EF4-FFF2-40B4-BE49-F238E27FC236}">
              <a16:creationId xmlns:a16="http://schemas.microsoft.com/office/drawing/2014/main" id="{00000000-0008-0000-1C00-0000BD6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8673" name="Text Box 1">
          <a:extLst>
            <a:ext uri="{FF2B5EF4-FFF2-40B4-BE49-F238E27FC236}">
              <a16:creationId xmlns:a16="http://schemas.microsoft.com/office/drawing/2014/main" id="{00000000-0008-0000-1D00-0000017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1</xdr:col>
      <xdr:colOff>0</xdr:colOff>
      <xdr:row>0</xdr:row>
      <xdr:rowOff>0</xdr:rowOff>
    </xdr:from>
    <xdr:to>
      <xdr:col>1</xdr:col>
      <xdr:colOff>0</xdr:colOff>
      <xdr:row>0</xdr:row>
      <xdr:rowOff>0</xdr:rowOff>
    </xdr:to>
    <xdr:sp macro="" textlink="">
      <xdr:nvSpPr>
        <xdr:cNvPr id="28674" name="Text Box 2">
          <a:extLst>
            <a:ext uri="{FF2B5EF4-FFF2-40B4-BE49-F238E27FC236}">
              <a16:creationId xmlns:a16="http://schemas.microsoft.com/office/drawing/2014/main" id="{00000000-0008-0000-1D00-0000027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1</xdr:col>
      <xdr:colOff>0</xdr:colOff>
      <xdr:row>0</xdr:row>
      <xdr:rowOff>0</xdr:rowOff>
    </xdr:from>
    <xdr:to>
      <xdr:col>1</xdr:col>
      <xdr:colOff>0</xdr:colOff>
      <xdr:row>0</xdr:row>
      <xdr:rowOff>0</xdr:rowOff>
    </xdr:to>
    <xdr:sp macro="" textlink="">
      <xdr:nvSpPr>
        <xdr:cNvPr id="28675" name="Text Box 3">
          <a:extLst>
            <a:ext uri="{FF2B5EF4-FFF2-40B4-BE49-F238E27FC236}">
              <a16:creationId xmlns:a16="http://schemas.microsoft.com/office/drawing/2014/main" id="{00000000-0008-0000-1D00-0000037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1</xdr:col>
      <xdr:colOff>0</xdr:colOff>
      <xdr:row>0</xdr:row>
      <xdr:rowOff>0</xdr:rowOff>
    </xdr:from>
    <xdr:to>
      <xdr:col>1</xdr:col>
      <xdr:colOff>0</xdr:colOff>
      <xdr:row>0</xdr:row>
      <xdr:rowOff>0</xdr:rowOff>
    </xdr:to>
    <xdr:graphicFrame macro="">
      <xdr:nvGraphicFramePr>
        <xdr:cNvPr id="29374" name="Graphique 4">
          <a:extLst>
            <a:ext uri="{FF2B5EF4-FFF2-40B4-BE49-F238E27FC236}">
              <a16:creationId xmlns:a16="http://schemas.microsoft.com/office/drawing/2014/main" id="{00000000-0008-0000-1D00-0000BE7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0</xdr:row>
      <xdr:rowOff>0</xdr:rowOff>
    </xdr:from>
    <xdr:to>
      <xdr:col>1</xdr:col>
      <xdr:colOff>0</xdr:colOff>
      <xdr:row>0</xdr:row>
      <xdr:rowOff>0</xdr:rowOff>
    </xdr:to>
    <xdr:graphicFrame macro="">
      <xdr:nvGraphicFramePr>
        <xdr:cNvPr id="29375" name="Graphique 5">
          <a:extLst>
            <a:ext uri="{FF2B5EF4-FFF2-40B4-BE49-F238E27FC236}">
              <a16:creationId xmlns:a16="http://schemas.microsoft.com/office/drawing/2014/main" id="{00000000-0008-0000-1D00-0000BF7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9697" name="Text Box 1">
          <a:extLst>
            <a:ext uri="{FF2B5EF4-FFF2-40B4-BE49-F238E27FC236}">
              <a16:creationId xmlns:a16="http://schemas.microsoft.com/office/drawing/2014/main" id="{00000000-0008-0000-1E00-0000017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9698" name="Text Box 2">
          <a:extLst>
            <a:ext uri="{FF2B5EF4-FFF2-40B4-BE49-F238E27FC236}">
              <a16:creationId xmlns:a16="http://schemas.microsoft.com/office/drawing/2014/main" id="{00000000-0008-0000-1E00-0000027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9699" name="Text Box 3">
          <a:extLst>
            <a:ext uri="{FF2B5EF4-FFF2-40B4-BE49-F238E27FC236}">
              <a16:creationId xmlns:a16="http://schemas.microsoft.com/office/drawing/2014/main" id="{00000000-0008-0000-1E00-0000037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30393" name="Graphique 4">
          <a:extLst>
            <a:ext uri="{FF2B5EF4-FFF2-40B4-BE49-F238E27FC236}">
              <a16:creationId xmlns:a16="http://schemas.microsoft.com/office/drawing/2014/main" id="{00000000-0008-0000-1E00-0000B97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0394" name="Graphique 5">
          <a:extLst>
            <a:ext uri="{FF2B5EF4-FFF2-40B4-BE49-F238E27FC236}">
              <a16:creationId xmlns:a16="http://schemas.microsoft.com/office/drawing/2014/main" id="{00000000-0008-0000-1E00-0000BA7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8913" name="Text Box 1">
          <a:extLst>
            <a:ext uri="{FF2B5EF4-FFF2-40B4-BE49-F238E27FC236}">
              <a16:creationId xmlns:a16="http://schemas.microsoft.com/office/drawing/2014/main" id="{00000000-0008-0000-1F00-0000019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8914" name="Text Box 2">
          <a:extLst>
            <a:ext uri="{FF2B5EF4-FFF2-40B4-BE49-F238E27FC236}">
              <a16:creationId xmlns:a16="http://schemas.microsoft.com/office/drawing/2014/main" id="{00000000-0008-0000-1F00-0000029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8915" name="Text Box 3">
          <a:extLst>
            <a:ext uri="{FF2B5EF4-FFF2-40B4-BE49-F238E27FC236}">
              <a16:creationId xmlns:a16="http://schemas.microsoft.com/office/drawing/2014/main" id="{00000000-0008-0000-1F00-0000039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39606" name="Graphique 4">
          <a:extLst>
            <a:ext uri="{FF2B5EF4-FFF2-40B4-BE49-F238E27FC236}">
              <a16:creationId xmlns:a16="http://schemas.microsoft.com/office/drawing/2014/main" id="{00000000-0008-0000-1F00-0000B69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9607" name="Graphique 5">
          <a:extLst>
            <a:ext uri="{FF2B5EF4-FFF2-40B4-BE49-F238E27FC236}">
              <a16:creationId xmlns:a16="http://schemas.microsoft.com/office/drawing/2014/main" id="{00000000-0008-0000-1F00-0000B79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3793" name="Text Box 1">
          <a:extLst>
            <a:ext uri="{FF2B5EF4-FFF2-40B4-BE49-F238E27FC236}">
              <a16:creationId xmlns:a16="http://schemas.microsoft.com/office/drawing/2014/main" id="{00000000-0008-0000-2000-0000018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3794" name="Text Box 2">
          <a:extLst>
            <a:ext uri="{FF2B5EF4-FFF2-40B4-BE49-F238E27FC236}">
              <a16:creationId xmlns:a16="http://schemas.microsoft.com/office/drawing/2014/main" id="{00000000-0008-0000-2000-0000028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3795" name="Text Box 3">
          <a:extLst>
            <a:ext uri="{FF2B5EF4-FFF2-40B4-BE49-F238E27FC236}">
              <a16:creationId xmlns:a16="http://schemas.microsoft.com/office/drawing/2014/main" id="{00000000-0008-0000-2000-0000038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34488" name="Graphique 4">
          <a:extLst>
            <a:ext uri="{FF2B5EF4-FFF2-40B4-BE49-F238E27FC236}">
              <a16:creationId xmlns:a16="http://schemas.microsoft.com/office/drawing/2014/main" id="{00000000-0008-0000-2000-0000B88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4489" name="Graphique 5">
          <a:extLst>
            <a:ext uri="{FF2B5EF4-FFF2-40B4-BE49-F238E27FC236}">
              <a16:creationId xmlns:a16="http://schemas.microsoft.com/office/drawing/2014/main" id="{00000000-0008-0000-2000-0000B98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4817" name="Text Box 1">
          <a:extLst>
            <a:ext uri="{FF2B5EF4-FFF2-40B4-BE49-F238E27FC236}">
              <a16:creationId xmlns:a16="http://schemas.microsoft.com/office/drawing/2014/main" id="{00000000-0008-0000-2100-0000018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4818" name="Text Box 2">
          <a:extLst>
            <a:ext uri="{FF2B5EF4-FFF2-40B4-BE49-F238E27FC236}">
              <a16:creationId xmlns:a16="http://schemas.microsoft.com/office/drawing/2014/main" id="{00000000-0008-0000-2100-0000028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4819" name="Text Box 3">
          <a:extLst>
            <a:ext uri="{FF2B5EF4-FFF2-40B4-BE49-F238E27FC236}">
              <a16:creationId xmlns:a16="http://schemas.microsoft.com/office/drawing/2014/main" id="{00000000-0008-0000-2100-00000388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35511" name="Graphique 4">
          <a:extLst>
            <a:ext uri="{FF2B5EF4-FFF2-40B4-BE49-F238E27FC236}">
              <a16:creationId xmlns:a16="http://schemas.microsoft.com/office/drawing/2014/main" id="{00000000-0008-0000-2100-0000B78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5512" name="Graphique 5">
          <a:extLst>
            <a:ext uri="{FF2B5EF4-FFF2-40B4-BE49-F238E27FC236}">
              <a16:creationId xmlns:a16="http://schemas.microsoft.com/office/drawing/2014/main" id="{00000000-0008-0000-2100-0000B88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35841" name="Text Box 1">
          <a:extLst>
            <a:ext uri="{FF2B5EF4-FFF2-40B4-BE49-F238E27FC236}">
              <a16:creationId xmlns:a16="http://schemas.microsoft.com/office/drawing/2014/main" id="{00000000-0008-0000-2200-0000018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5842" name="Text Box 2">
          <a:extLst>
            <a:ext uri="{FF2B5EF4-FFF2-40B4-BE49-F238E27FC236}">
              <a16:creationId xmlns:a16="http://schemas.microsoft.com/office/drawing/2014/main" id="{00000000-0008-0000-2200-0000028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5843" name="Text Box 3">
          <a:extLst>
            <a:ext uri="{FF2B5EF4-FFF2-40B4-BE49-F238E27FC236}">
              <a16:creationId xmlns:a16="http://schemas.microsoft.com/office/drawing/2014/main" id="{00000000-0008-0000-2200-0000038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36540" name="Graphique 4">
          <a:extLst>
            <a:ext uri="{FF2B5EF4-FFF2-40B4-BE49-F238E27FC236}">
              <a16:creationId xmlns:a16="http://schemas.microsoft.com/office/drawing/2014/main" id="{00000000-0008-0000-2200-0000BC8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36541" name="Graphique 5">
          <a:extLst>
            <a:ext uri="{FF2B5EF4-FFF2-40B4-BE49-F238E27FC236}">
              <a16:creationId xmlns:a16="http://schemas.microsoft.com/office/drawing/2014/main" id="{00000000-0008-0000-2200-0000BD8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1">
          <a:extLst>
            <a:ext uri="{FF2B5EF4-FFF2-40B4-BE49-F238E27FC236}">
              <a16:creationId xmlns:a16="http://schemas.microsoft.com/office/drawing/2014/main" id="{00000000-0008-0000-2300-000002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Box 2">
          <a:extLst>
            <a:ext uri="{FF2B5EF4-FFF2-40B4-BE49-F238E27FC236}">
              <a16:creationId xmlns:a16="http://schemas.microsoft.com/office/drawing/2014/main" id="{00000000-0008-0000-2300-000003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 Box 3">
          <a:extLst>
            <a:ext uri="{FF2B5EF4-FFF2-40B4-BE49-F238E27FC236}">
              <a16:creationId xmlns:a16="http://schemas.microsoft.com/office/drawing/2014/main" id="{00000000-0008-0000-2300-000004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1904166" name="Graphique 4">
          <a:extLst>
            <a:ext uri="{FF2B5EF4-FFF2-40B4-BE49-F238E27FC236}">
              <a16:creationId xmlns:a16="http://schemas.microsoft.com/office/drawing/2014/main" id="{00000000-0008-0000-2300-0000260E1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1904167" name="Graphique 5">
          <a:extLst>
            <a:ext uri="{FF2B5EF4-FFF2-40B4-BE49-F238E27FC236}">
              <a16:creationId xmlns:a16="http://schemas.microsoft.com/office/drawing/2014/main" id="{00000000-0008-0000-2300-0000270E1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Text Box 1">
          <a:extLst>
            <a:ext uri="{FF2B5EF4-FFF2-40B4-BE49-F238E27FC236}">
              <a16:creationId xmlns:a16="http://schemas.microsoft.com/office/drawing/2014/main" id="{00000000-0008-0000-2400-000002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3" name="Text Box 2">
          <a:extLst>
            <a:ext uri="{FF2B5EF4-FFF2-40B4-BE49-F238E27FC236}">
              <a16:creationId xmlns:a16="http://schemas.microsoft.com/office/drawing/2014/main" id="{00000000-0008-0000-2400-000003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 name="Text Box 3">
          <a:extLst>
            <a:ext uri="{FF2B5EF4-FFF2-40B4-BE49-F238E27FC236}">
              <a16:creationId xmlns:a16="http://schemas.microsoft.com/office/drawing/2014/main" id="{00000000-0008-0000-2400-0000040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2363906" name="Graphique 4">
          <a:extLst>
            <a:ext uri="{FF2B5EF4-FFF2-40B4-BE49-F238E27FC236}">
              <a16:creationId xmlns:a16="http://schemas.microsoft.com/office/drawing/2014/main" id="{00000000-0008-0000-2400-000002122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2363907" name="Graphique 5">
          <a:extLst>
            <a:ext uri="{FF2B5EF4-FFF2-40B4-BE49-F238E27FC236}">
              <a16:creationId xmlns:a16="http://schemas.microsoft.com/office/drawing/2014/main" id="{00000000-0008-0000-2400-000003122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49153" name="Text Box 1">
          <a:extLst>
            <a:ext uri="{FF2B5EF4-FFF2-40B4-BE49-F238E27FC236}">
              <a16:creationId xmlns:a16="http://schemas.microsoft.com/office/drawing/2014/main" id="{00000000-0008-0000-2500-000001C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 </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9154" name="Text Box 2">
          <a:extLst>
            <a:ext uri="{FF2B5EF4-FFF2-40B4-BE49-F238E27FC236}">
              <a16:creationId xmlns:a16="http://schemas.microsoft.com/office/drawing/2014/main" id="{00000000-0008-0000-2500-000002C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9155" name="Text Box 3">
          <a:extLst>
            <a:ext uri="{FF2B5EF4-FFF2-40B4-BE49-F238E27FC236}">
              <a16:creationId xmlns:a16="http://schemas.microsoft.com/office/drawing/2014/main" id="{00000000-0008-0000-2500-000003C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49985" name="Graphique 4">
          <a:extLst>
            <a:ext uri="{FF2B5EF4-FFF2-40B4-BE49-F238E27FC236}">
              <a16:creationId xmlns:a16="http://schemas.microsoft.com/office/drawing/2014/main" id="{00000000-0008-0000-2500-000041C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49986" name="Graphique 5">
          <a:extLst>
            <a:ext uri="{FF2B5EF4-FFF2-40B4-BE49-F238E27FC236}">
              <a16:creationId xmlns:a16="http://schemas.microsoft.com/office/drawing/2014/main" id="{00000000-0008-0000-2500-000042C3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593725</xdr:colOff>
      <xdr:row>20</xdr:row>
      <xdr:rowOff>0</xdr:rowOff>
    </xdr:from>
    <xdr:to>
      <xdr:col>4</xdr:col>
      <xdr:colOff>212658</xdr:colOff>
      <xdr:row>31</xdr:row>
      <xdr:rowOff>130165</xdr:rowOff>
    </xdr:to>
    <xdr:sp macro="" textlink="">
      <xdr:nvSpPr>
        <xdr:cNvPr id="49159" name="Text Box 7">
          <a:extLst>
            <a:ext uri="{FF2B5EF4-FFF2-40B4-BE49-F238E27FC236}">
              <a16:creationId xmlns:a16="http://schemas.microsoft.com/office/drawing/2014/main" id="{00000000-0008-0000-2500-000007C00000}"/>
            </a:ext>
          </a:extLst>
        </xdr:cNvPr>
        <xdr:cNvSpPr txBox="1">
          <a:spLocks noChangeArrowheads="1"/>
        </xdr:cNvSpPr>
      </xdr:nvSpPr>
      <xdr:spPr bwMode="auto">
        <a:xfrm>
          <a:off x="561975" y="3295650"/>
          <a:ext cx="4019550" cy="1905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1000" b="0" i="0" u="none" strike="noStrike" baseline="0">
              <a:solidFill>
                <a:srgbClr val="000000"/>
              </a:solidFill>
              <a:latin typeface="Verdana"/>
            </a:rPr>
            <a:t>Actionnariat</a:t>
          </a:r>
        </a:p>
        <a:p>
          <a:pPr algn="l" rtl="0">
            <a:defRPr sz="1000"/>
          </a:pPr>
          <a:r>
            <a:rPr lang="fr-FR" sz="1000" b="0" i="0" u="none" strike="noStrike" baseline="0">
              <a:solidFill>
                <a:srgbClr val="000000"/>
              </a:solidFill>
              <a:latin typeface="Verdana"/>
            </a:rPr>
            <a:t>     . Stable: 2-5</a:t>
          </a:r>
        </a:p>
        <a:p>
          <a:pPr algn="l" rtl="0">
            <a:defRPr sz="1000"/>
          </a:pPr>
          <a:r>
            <a:rPr lang="fr-FR" sz="1000" b="0" i="0" u="none" strike="noStrike" baseline="0">
              <a:solidFill>
                <a:srgbClr val="000000"/>
              </a:solidFill>
              <a:latin typeface="Verdana"/>
            </a:rPr>
            <a:t>     . Instable: 1-3-4</a:t>
          </a:r>
        </a:p>
        <a:p>
          <a:pPr algn="l" rtl="0">
            <a:defRPr sz="1000"/>
          </a:pPr>
          <a:endParaRPr lang="fr-FR" sz="1000" b="0" i="0" u="none" strike="noStrike" baseline="0">
            <a:solidFill>
              <a:srgbClr val="000000"/>
            </a:solidFill>
            <a:latin typeface="Verdana"/>
          </a:endParaRPr>
        </a:p>
        <a:p>
          <a:pPr algn="l" rtl="0">
            <a:defRPr sz="1000"/>
          </a:pPr>
          <a:r>
            <a:rPr lang="fr-FR" sz="1000" b="0" i="0" u="none" strike="noStrike" baseline="0">
              <a:solidFill>
                <a:srgbClr val="000000"/>
              </a:solidFill>
              <a:latin typeface="Verdana"/>
            </a:rPr>
            <a:t>Dirigeants</a:t>
          </a:r>
        </a:p>
        <a:p>
          <a:pPr algn="l" rtl="0">
            <a:defRPr sz="1000"/>
          </a:pPr>
          <a:r>
            <a:rPr lang="fr-FR" sz="1000" b="0" i="0" u="none" strike="noStrike" baseline="0">
              <a:solidFill>
                <a:srgbClr val="000000"/>
              </a:solidFill>
              <a:latin typeface="Verdana"/>
            </a:rPr>
            <a:t>    . 1) Très contrôlé</a:t>
          </a:r>
        </a:p>
        <a:p>
          <a:pPr algn="l" rtl="0">
            <a:defRPr sz="1000"/>
          </a:pPr>
          <a:r>
            <a:rPr lang="fr-FR" sz="1000" b="0" i="0" u="none" strike="noStrike" baseline="0">
              <a:solidFill>
                <a:srgbClr val="000000"/>
              </a:solidFill>
              <a:latin typeface="Verdana"/>
            </a:rPr>
            <a:t>    . 2) Stable</a:t>
          </a:r>
        </a:p>
        <a:p>
          <a:pPr algn="l" rtl="0">
            <a:defRPr sz="1000"/>
          </a:pPr>
          <a:r>
            <a:rPr lang="fr-FR" sz="1000" b="0" i="0" u="none" strike="noStrike" baseline="0">
              <a:solidFill>
                <a:srgbClr val="000000"/>
              </a:solidFill>
              <a:latin typeface="Verdana"/>
            </a:rPr>
            <a:t>    . 3) Seul risque est celui d'une OPA</a:t>
          </a:r>
        </a:p>
        <a:p>
          <a:pPr algn="l" rtl="0">
            <a:defRPr sz="1000"/>
          </a:pPr>
          <a:r>
            <a:rPr lang="fr-FR" sz="1000" b="0" i="0" u="none" strike="noStrike" baseline="0">
              <a:solidFill>
                <a:srgbClr val="000000"/>
              </a:solidFill>
              <a:latin typeface="Verdana"/>
            </a:rPr>
            <a:t>    . 4) Risque d'une OPA si le financier vend sa participation à un concurrent de l'industriel</a:t>
          </a:r>
        </a:p>
        <a:p>
          <a:pPr algn="l" rtl="0">
            <a:defRPr sz="1000"/>
          </a:pPr>
          <a:r>
            <a:rPr lang="fr-FR" sz="1000" b="0" i="0" u="none" strike="noStrike" baseline="0">
              <a:solidFill>
                <a:srgbClr val="000000"/>
              </a:solidFill>
              <a:latin typeface="Verdana"/>
            </a:rPr>
            <a:t>    . 5) Stable (retrait de Bourse non exclu)</a:t>
          </a:r>
        </a:p>
        <a:p>
          <a:pPr algn="l" rtl="0">
            <a:defRPr sz="1000"/>
          </a:pPr>
          <a:r>
            <a:rPr lang="fr-FR" sz="1000" b="0" i="0" u="none" strike="noStrike" baseline="0">
              <a:solidFill>
                <a:srgbClr val="000000"/>
              </a:solidFill>
              <a:latin typeface="Verdana"/>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12700</xdr:colOff>
      <xdr:row>97</xdr:row>
      <xdr:rowOff>0</xdr:rowOff>
    </xdr:from>
    <xdr:to>
      <xdr:col>8</xdr:col>
      <xdr:colOff>12700</xdr:colOff>
      <xdr:row>112</xdr:row>
      <xdr:rowOff>158750</xdr:rowOff>
    </xdr:to>
    <xdr:graphicFrame macro="">
      <xdr:nvGraphicFramePr>
        <xdr:cNvPr id="2" name="Graphique 4">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40961" name="Text Box 1">
          <a:extLst>
            <a:ext uri="{FF2B5EF4-FFF2-40B4-BE49-F238E27FC236}">
              <a16:creationId xmlns:a16="http://schemas.microsoft.com/office/drawing/2014/main" id="{00000000-0008-0000-2700-000001A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0962" name="Text Box 2">
          <a:extLst>
            <a:ext uri="{FF2B5EF4-FFF2-40B4-BE49-F238E27FC236}">
              <a16:creationId xmlns:a16="http://schemas.microsoft.com/office/drawing/2014/main" id="{00000000-0008-0000-2700-000002A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0963" name="Text Box 3">
          <a:extLst>
            <a:ext uri="{FF2B5EF4-FFF2-40B4-BE49-F238E27FC236}">
              <a16:creationId xmlns:a16="http://schemas.microsoft.com/office/drawing/2014/main" id="{00000000-0008-0000-2700-000003A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41658" name="Graphique 4">
          <a:extLst>
            <a:ext uri="{FF2B5EF4-FFF2-40B4-BE49-F238E27FC236}">
              <a16:creationId xmlns:a16="http://schemas.microsoft.com/office/drawing/2014/main" id="{00000000-0008-0000-2700-0000BAA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41659" name="Graphique 5">
          <a:extLst>
            <a:ext uri="{FF2B5EF4-FFF2-40B4-BE49-F238E27FC236}">
              <a16:creationId xmlns:a16="http://schemas.microsoft.com/office/drawing/2014/main" id="{00000000-0008-0000-2700-0000BBA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50177" name="Text Box 1">
          <a:extLst>
            <a:ext uri="{FF2B5EF4-FFF2-40B4-BE49-F238E27FC236}">
              <a16:creationId xmlns:a16="http://schemas.microsoft.com/office/drawing/2014/main" id="{00000000-0008-0000-2800-000001C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50178" name="Text Box 2">
          <a:extLst>
            <a:ext uri="{FF2B5EF4-FFF2-40B4-BE49-F238E27FC236}">
              <a16:creationId xmlns:a16="http://schemas.microsoft.com/office/drawing/2014/main" id="{00000000-0008-0000-2800-000002C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50179" name="Text Box 3">
          <a:extLst>
            <a:ext uri="{FF2B5EF4-FFF2-40B4-BE49-F238E27FC236}">
              <a16:creationId xmlns:a16="http://schemas.microsoft.com/office/drawing/2014/main" id="{00000000-0008-0000-2800-000003C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50966" name="Graphique 4">
          <a:extLst>
            <a:ext uri="{FF2B5EF4-FFF2-40B4-BE49-F238E27FC236}">
              <a16:creationId xmlns:a16="http://schemas.microsoft.com/office/drawing/2014/main" id="{00000000-0008-0000-2800-000016C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50967" name="Graphique 5">
          <a:extLst>
            <a:ext uri="{FF2B5EF4-FFF2-40B4-BE49-F238E27FC236}">
              <a16:creationId xmlns:a16="http://schemas.microsoft.com/office/drawing/2014/main" id="{00000000-0008-0000-2800-000017C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114300</xdr:colOff>
      <xdr:row>62</xdr:row>
      <xdr:rowOff>88900</xdr:rowOff>
    </xdr:from>
    <xdr:to>
      <xdr:col>6</xdr:col>
      <xdr:colOff>95250</xdr:colOff>
      <xdr:row>77</xdr:row>
      <xdr:rowOff>139700</xdr:rowOff>
    </xdr:to>
    <xdr:graphicFrame macro="">
      <xdr:nvGraphicFramePr>
        <xdr:cNvPr id="58645" name="Graphique 1">
          <a:extLst>
            <a:ext uri="{FF2B5EF4-FFF2-40B4-BE49-F238E27FC236}">
              <a16:creationId xmlns:a16="http://schemas.microsoft.com/office/drawing/2014/main" id="{00000000-0008-0000-2900-000015E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98</xdr:row>
      <xdr:rowOff>88900</xdr:rowOff>
    </xdr:from>
    <xdr:to>
      <xdr:col>6</xdr:col>
      <xdr:colOff>95250</xdr:colOff>
      <xdr:row>113</xdr:row>
      <xdr:rowOff>139700</xdr:rowOff>
    </xdr:to>
    <xdr:graphicFrame macro="">
      <xdr:nvGraphicFramePr>
        <xdr:cNvPr id="58646" name="Graphique 2">
          <a:extLst>
            <a:ext uri="{FF2B5EF4-FFF2-40B4-BE49-F238E27FC236}">
              <a16:creationId xmlns:a16="http://schemas.microsoft.com/office/drawing/2014/main" id="{00000000-0008-0000-2900-000016E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41985" name="Text Box 1">
          <a:extLst>
            <a:ext uri="{FF2B5EF4-FFF2-40B4-BE49-F238E27FC236}">
              <a16:creationId xmlns:a16="http://schemas.microsoft.com/office/drawing/2014/main" id="{00000000-0008-0000-2A00-000001A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1986" name="Text Box 2">
          <a:extLst>
            <a:ext uri="{FF2B5EF4-FFF2-40B4-BE49-F238E27FC236}">
              <a16:creationId xmlns:a16="http://schemas.microsoft.com/office/drawing/2014/main" id="{00000000-0008-0000-2A00-000002A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41987" name="Text Box 3">
          <a:extLst>
            <a:ext uri="{FF2B5EF4-FFF2-40B4-BE49-F238E27FC236}">
              <a16:creationId xmlns:a16="http://schemas.microsoft.com/office/drawing/2014/main" id="{00000000-0008-0000-2A00-000003A4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42993" name="Graphique 4">
          <a:extLst>
            <a:ext uri="{FF2B5EF4-FFF2-40B4-BE49-F238E27FC236}">
              <a16:creationId xmlns:a16="http://schemas.microsoft.com/office/drawing/2014/main" id="{00000000-0008-0000-2A00-0000F1A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42994" name="Graphique 5">
          <a:extLst>
            <a:ext uri="{FF2B5EF4-FFF2-40B4-BE49-F238E27FC236}">
              <a16:creationId xmlns:a16="http://schemas.microsoft.com/office/drawing/2014/main" id="{00000000-0008-0000-2A00-0000F2A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180975</xdr:colOff>
      <xdr:row>1</xdr:row>
      <xdr:rowOff>22225</xdr:rowOff>
    </xdr:from>
    <xdr:to>
      <xdr:col>9</xdr:col>
      <xdr:colOff>31784</xdr:colOff>
      <xdr:row>7</xdr:row>
      <xdr:rowOff>187301</xdr:rowOff>
    </xdr:to>
    <xdr:sp macro="" textlink="">
      <xdr:nvSpPr>
        <xdr:cNvPr id="42013" name="AutoShape 29">
          <a:extLst>
            <a:ext uri="{FF2B5EF4-FFF2-40B4-BE49-F238E27FC236}">
              <a16:creationId xmlns:a16="http://schemas.microsoft.com/office/drawing/2014/main" id="{00000000-0008-0000-2A00-00001DA40000}"/>
            </a:ext>
          </a:extLst>
        </xdr:cNvPr>
        <xdr:cNvSpPr>
          <a:spLocks noChangeArrowheads="1"/>
        </xdr:cNvSpPr>
      </xdr:nvSpPr>
      <xdr:spPr bwMode="auto">
        <a:xfrm>
          <a:off x="5540375" y="193675"/>
          <a:ext cx="4841909" cy="1536676"/>
        </a:xfrm>
        <a:prstGeom prst="wedgeRectCallout">
          <a:avLst>
            <a:gd name="adj1" fmla="val -94394"/>
            <a:gd name="adj2" fmla="val 41111"/>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0" i="0" u="none" strike="noStrike" baseline="0">
              <a:solidFill>
                <a:srgbClr val="000000"/>
              </a:solidFill>
              <a:latin typeface="Verdana"/>
            </a:rPr>
            <a:t>Dans 3 mois j'aurais 1 BOK à vendre:</a:t>
          </a:r>
        </a:p>
        <a:p>
          <a:pPr algn="l" rtl="0">
            <a:defRPr sz="1000"/>
          </a:pPr>
          <a:r>
            <a:rPr lang="fr-FR" sz="800" b="0" i="0" u="none" strike="noStrike" baseline="0">
              <a:solidFill>
                <a:srgbClr val="000000"/>
              </a:solidFill>
              <a:latin typeface="Verdana"/>
            </a:rPr>
            <a:t>&gt; quelle somme dois-je emprunter aujoud'hui en BOK pour avoir 1 BOK à rembourser dans 3 mois? (Cf B11)</a:t>
          </a:r>
        </a:p>
        <a:p>
          <a:pPr algn="l" rtl="0">
            <a:defRPr sz="1000"/>
          </a:pPr>
          <a:r>
            <a:rPr lang="fr-FR" sz="800" b="0" i="0" u="none" strike="noStrike" baseline="0">
              <a:solidFill>
                <a:srgbClr val="000000"/>
              </a:solidFill>
              <a:latin typeface="Verdana"/>
            </a:rPr>
            <a:t>&gt; la banque m'achète cette somme contre des EUR, d'où une nouvelle somme en SYK (Cf B13)</a:t>
          </a:r>
        </a:p>
        <a:p>
          <a:pPr algn="l" rtl="0">
            <a:defRPr sz="1000"/>
          </a:pPr>
          <a:r>
            <a:rPr lang="fr-FR" sz="800" b="0" i="0" u="none" strike="noStrike" baseline="0">
              <a:solidFill>
                <a:srgbClr val="000000"/>
              </a:solidFill>
              <a:latin typeface="Verdana"/>
            </a:rPr>
            <a:t>&gt; enfin je place cette somme en SYK, d'où 3 mois plus tard une somme x taux rémunéré (Cf B15)</a:t>
          </a:r>
        </a:p>
        <a:p>
          <a:pPr algn="l" rtl="0">
            <a:defRPr sz="1000"/>
          </a:pPr>
          <a:r>
            <a:rPr lang="fr-FR" sz="800" b="0" i="0" u="none" strike="noStrike" baseline="0">
              <a:solidFill>
                <a:srgbClr val="000000"/>
              </a:solidFill>
              <a:latin typeface="Verdana"/>
            </a:rPr>
            <a:t>&gt; Au bout de 3 mois, pour 1 BOK que je pourrais rembourser, j'aurais donc 0,9803 SYK (Cf B17)</a:t>
          </a:r>
        </a:p>
        <a:p>
          <a:pPr algn="l" rtl="0">
            <a:defRPr sz="1000"/>
          </a:pPr>
          <a:endParaRPr lang="fr-FR" sz="800" b="0" i="0" u="none" strike="noStrike" baseline="0">
            <a:solidFill>
              <a:srgbClr val="000000"/>
            </a:solidFill>
            <a:latin typeface="Verdana"/>
          </a:endParaRPr>
        </a:p>
      </xdr:txBody>
    </xdr:sp>
    <xdr:clientData/>
  </xdr:twoCellAnchor>
  <xdr:twoCellAnchor>
    <xdr:from>
      <xdr:col>3</xdr:col>
      <xdr:colOff>609600</xdr:colOff>
      <xdr:row>7</xdr:row>
      <xdr:rowOff>288925</xdr:rowOff>
    </xdr:from>
    <xdr:to>
      <xdr:col>9</xdr:col>
      <xdr:colOff>9676</xdr:colOff>
      <xdr:row>12</xdr:row>
      <xdr:rowOff>129513</xdr:rowOff>
    </xdr:to>
    <xdr:sp macro="" textlink="">
      <xdr:nvSpPr>
        <xdr:cNvPr id="42014" name="AutoShape 30">
          <a:extLst>
            <a:ext uri="{FF2B5EF4-FFF2-40B4-BE49-F238E27FC236}">
              <a16:creationId xmlns:a16="http://schemas.microsoft.com/office/drawing/2014/main" id="{00000000-0008-0000-2A00-00001EA40000}"/>
            </a:ext>
          </a:extLst>
        </xdr:cNvPr>
        <xdr:cNvSpPr>
          <a:spLocks noChangeArrowheads="1"/>
        </xdr:cNvSpPr>
      </xdr:nvSpPr>
      <xdr:spPr bwMode="auto">
        <a:xfrm>
          <a:off x="4105275" y="1647825"/>
          <a:ext cx="4543425" cy="1276350"/>
        </a:xfrm>
        <a:prstGeom prst="wedgeRectCallout">
          <a:avLst>
            <a:gd name="adj1" fmla="val -64042"/>
            <a:gd name="adj2" fmla="val -4703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0" i="0" u="none" strike="noStrike" baseline="0">
              <a:solidFill>
                <a:srgbClr val="000000"/>
              </a:solidFill>
              <a:latin typeface="Verdana"/>
            </a:rPr>
            <a:t>Dans 3 mois j'aurais besoin d'1 BOK à acheter:</a:t>
          </a:r>
        </a:p>
        <a:p>
          <a:pPr algn="l" rtl="0">
            <a:defRPr sz="1000"/>
          </a:pPr>
          <a:r>
            <a:rPr lang="fr-FR" sz="800" b="0" i="0" u="none" strike="noStrike" baseline="0">
              <a:solidFill>
                <a:srgbClr val="000000"/>
              </a:solidFill>
              <a:latin typeface="Verdana"/>
            </a:rPr>
            <a:t>&gt; quelle somme dois-je placer aujoud'hui en BOK pour avoir 1 BOK dans 3 mois? (Cf C11)</a:t>
          </a:r>
        </a:p>
        <a:p>
          <a:pPr algn="l" rtl="0">
            <a:defRPr sz="1000"/>
          </a:pPr>
          <a:r>
            <a:rPr lang="fr-FR" sz="800" b="0" i="0" u="none" strike="noStrike" baseline="0">
              <a:solidFill>
                <a:srgbClr val="000000"/>
              </a:solidFill>
              <a:latin typeface="Verdana"/>
            </a:rPr>
            <a:t>&gt; la banque me vend donc aujourd'hui cette somme contre des SYK, d'où une nouvelle somme en SYK (Cf C13)</a:t>
          </a:r>
        </a:p>
        <a:p>
          <a:pPr algn="l" rtl="0">
            <a:defRPr sz="1000"/>
          </a:pPr>
          <a:r>
            <a:rPr lang="fr-FR" sz="800" b="0" i="0" u="none" strike="noStrike" baseline="0">
              <a:solidFill>
                <a:srgbClr val="000000"/>
              </a:solidFill>
              <a:latin typeface="Verdana"/>
            </a:rPr>
            <a:t>&gt; mais en fait je ne les ai pas; quelle somme que j'emprunte devrais-je donc rembourser dans 3 mois (Cf C15)</a:t>
          </a:r>
        </a:p>
        <a:p>
          <a:pPr algn="l" rtl="0">
            <a:defRPr sz="1000"/>
          </a:pPr>
          <a:r>
            <a:rPr lang="fr-FR" sz="800" b="0" i="0" u="none" strike="noStrike" baseline="0">
              <a:solidFill>
                <a:srgbClr val="000000"/>
              </a:solidFill>
              <a:latin typeface="Verdana"/>
            </a:rPr>
            <a:t>&gt; Au bout de 3 mois, pour 1 BOK que la banque me vendra, je paierai 0,9819 SYK (Cf C17)</a:t>
          </a:r>
        </a:p>
        <a:p>
          <a:pPr algn="l" rtl="0">
            <a:defRPr sz="1000"/>
          </a:pPr>
          <a:endParaRPr lang="fr-FR" sz="800" b="0" i="0" u="none" strike="noStrike" baseline="0">
            <a:solidFill>
              <a:srgbClr val="000000"/>
            </a:solidFill>
            <a:latin typeface="Verdan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28</xdr:row>
      <xdr:rowOff>85725</xdr:rowOff>
    </xdr:from>
    <xdr:to>
      <xdr:col>0</xdr:col>
      <xdr:colOff>0</xdr:colOff>
      <xdr:row>34</xdr:row>
      <xdr:rowOff>57150</xdr:rowOff>
    </xdr:to>
    <xdr:sp macro="" textlink="">
      <xdr:nvSpPr>
        <xdr:cNvPr id="17409" name="Text Box 1">
          <a:extLst>
            <a:ext uri="{FF2B5EF4-FFF2-40B4-BE49-F238E27FC236}">
              <a16:creationId xmlns:a16="http://schemas.microsoft.com/office/drawing/2014/main" id="{00000000-0008-0000-0D00-000001440000}"/>
            </a:ext>
          </a:extLst>
        </xdr:cNvPr>
        <xdr:cNvSpPr txBox="1">
          <a:spLocks noChangeArrowheads="1"/>
        </xdr:cNvSpPr>
      </xdr:nvSpPr>
      <xdr:spPr bwMode="auto">
        <a:xfrm>
          <a:off x="0" y="4867275"/>
          <a:ext cx="0" cy="9525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44</xdr:row>
      <xdr:rowOff>38100</xdr:rowOff>
    </xdr:from>
    <xdr:to>
      <xdr:col>0</xdr:col>
      <xdr:colOff>0</xdr:colOff>
      <xdr:row>49</xdr:row>
      <xdr:rowOff>0</xdr:rowOff>
    </xdr:to>
    <xdr:sp macro="" textlink="">
      <xdr:nvSpPr>
        <xdr:cNvPr id="17410" name="Text Box 2">
          <a:extLst>
            <a:ext uri="{FF2B5EF4-FFF2-40B4-BE49-F238E27FC236}">
              <a16:creationId xmlns:a16="http://schemas.microsoft.com/office/drawing/2014/main" id="{00000000-0008-0000-0D00-000002440000}"/>
            </a:ext>
          </a:extLst>
        </xdr:cNvPr>
        <xdr:cNvSpPr txBox="1">
          <a:spLocks noChangeArrowheads="1"/>
        </xdr:cNvSpPr>
      </xdr:nvSpPr>
      <xdr:spPr bwMode="auto">
        <a:xfrm>
          <a:off x="0" y="7419975"/>
          <a:ext cx="0" cy="771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279400</xdr:colOff>
      <xdr:row>49</xdr:row>
      <xdr:rowOff>31750</xdr:rowOff>
    </xdr:from>
    <xdr:to>
      <xdr:col>8</xdr:col>
      <xdr:colOff>641350</xdr:colOff>
      <xdr:row>58</xdr:row>
      <xdr:rowOff>139700</xdr:rowOff>
    </xdr:to>
    <xdr:graphicFrame macro="">
      <xdr:nvGraphicFramePr>
        <xdr:cNvPr id="18389" name="Graphique 5">
          <a:extLst>
            <a:ext uri="{FF2B5EF4-FFF2-40B4-BE49-F238E27FC236}">
              <a16:creationId xmlns:a16="http://schemas.microsoft.com/office/drawing/2014/main" id="{00000000-0008-0000-0D00-0000D54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95250</xdr:colOff>
      <xdr:row>83</xdr:row>
      <xdr:rowOff>158750</xdr:rowOff>
    </xdr:from>
    <xdr:to>
      <xdr:col>10</xdr:col>
      <xdr:colOff>469900</xdr:colOff>
      <xdr:row>93</xdr:row>
      <xdr:rowOff>31750</xdr:rowOff>
    </xdr:to>
    <xdr:graphicFrame macro="">
      <xdr:nvGraphicFramePr>
        <xdr:cNvPr id="18390" name="Graphique 14">
          <a:extLst>
            <a:ext uri="{FF2B5EF4-FFF2-40B4-BE49-F238E27FC236}">
              <a16:creationId xmlns:a16="http://schemas.microsoft.com/office/drawing/2014/main" id="{00000000-0008-0000-0D00-0000D64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95250</xdr:colOff>
      <xdr:row>93</xdr:row>
      <xdr:rowOff>133350</xdr:rowOff>
    </xdr:from>
    <xdr:to>
      <xdr:col>10</xdr:col>
      <xdr:colOff>476250</xdr:colOff>
      <xdr:row>102</xdr:row>
      <xdr:rowOff>0</xdr:rowOff>
    </xdr:to>
    <xdr:graphicFrame macro="">
      <xdr:nvGraphicFramePr>
        <xdr:cNvPr id="18391" name="Graphique 15">
          <a:extLst>
            <a:ext uri="{FF2B5EF4-FFF2-40B4-BE49-F238E27FC236}">
              <a16:creationId xmlns:a16="http://schemas.microsoft.com/office/drawing/2014/main" id="{00000000-0008-0000-0D00-0000D74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73025</xdr:rowOff>
    </xdr:from>
    <xdr:to>
      <xdr:col>0</xdr:col>
      <xdr:colOff>0</xdr:colOff>
      <xdr:row>4</xdr:row>
      <xdr:rowOff>57277</xdr:rowOff>
    </xdr:to>
    <xdr:sp macro="" textlink="">
      <xdr:nvSpPr>
        <xdr:cNvPr id="18433" name="Text Box 1">
          <a:extLst>
            <a:ext uri="{FF2B5EF4-FFF2-40B4-BE49-F238E27FC236}">
              <a16:creationId xmlns:a16="http://schemas.microsoft.com/office/drawing/2014/main" id="{00000000-0008-0000-0E00-000001480000}"/>
            </a:ext>
          </a:extLst>
        </xdr:cNvPr>
        <xdr:cNvSpPr txBox="1">
          <a:spLocks noChangeArrowheads="1"/>
        </xdr:cNvSpPr>
      </xdr:nvSpPr>
      <xdr:spPr bwMode="auto">
        <a:xfrm>
          <a:off x="0" y="95250"/>
          <a:ext cx="0" cy="628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13</xdr:row>
      <xdr:rowOff>38100</xdr:rowOff>
    </xdr:from>
    <xdr:to>
      <xdr:col>0</xdr:col>
      <xdr:colOff>0</xdr:colOff>
      <xdr:row>17</xdr:row>
      <xdr:rowOff>0</xdr:rowOff>
    </xdr:to>
    <xdr:sp macro="" textlink="">
      <xdr:nvSpPr>
        <xdr:cNvPr id="18434" name="Text Box 2">
          <a:extLst>
            <a:ext uri="{FF2B5EF4-FFF2-40B4-BE49-F238E27FC236}">
              <a16:creationId xmlns:a16="http://schemas.microsoft.com/office/drawing/2014/main" id="{00000000-0008-0000-0E00-000002480000}"/>
            </a:ext>
          </a:extLst>
        </xdr:cNvPr>
        <xdr:cNvSpPr txBox="1">
          <a:spLocks noChangeArrowheads="1"/>
        </xdr:cNvSpPr>
      </xdr:nvSpPr>
      <xdr:spPr bwMode="auto">
        <a:xfrm>
          <a:off x="0" y="2162175"/>
          <a:ext cx="0" cy="6096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30</xdr:row>
      <xdr:rowOff>85725</xdr:rowOff>
    </xdr:from>
    <xdr:to>
      <xdr:col>0</xdr:col>
      <xdr:colOff>0</xdr:colOff>
      <xdr:row>34</xdr:row>
      <xdr:rowOff>57150</xdr:rowOff>
    </xdr:to>
    <xdr:sp macro="" textlink="">
      <xdr:nvSpPr>
        <xdr:cNvPr id="20481" name="Text Box 1">
          <a:extLst>
            <a:ext uri="{FF2B5EF4-FFF2-40B4-BE49-F238E27FC236}">
              <a16:creationId xmlns:a16="http://schemas.microsoft.com/office/drawing/2014/main" id="{00000000-0008-0000-0F00-000001500000}"/>
            </a:ext>
          </a:extLst>
        </xdr:cNvPr>
        <xdr:cNvSpPr txBox="1">
          <a:spLocks noChangeArrowheads="1"/>
        </xdr:cNvSpPr>
      </xdr:nvSpPr>
      <xdr:spPr bwMode="auto">
        <a:xfrm>
          <a:off x="0" y="5314950"/>
          <a:ext cx="0" cy="6096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43</xdr:row>
      <xdr:rowOff>38100</xdr:rowOff>
    </xdr:from>
    <xdr:to>
      <xdr:col>0</xdr:col>
      <xdr:colOff>0</xdr:colOff>
      <xdr:row>47</xdr:row>
      <xdr:rowOff>0</xdr:rowOff>
    </xdr:to>
    <xdr:sp macro="" textlink="">
      <xdr:nvSpPr>
        <xdr:cNvPr id="20482" name="Text Box 2">
          <a:extLst>
            <a:ext uri="{FF2B5EF4-FFF2-40B4-BE49-F238E27FC236}">
              <a16:creationId xmlns:a16="http://schemas.microsoft.com/office/drawing/2014/main" id="{00000000-0008-0000-0F00-000002500000}"/>
            </a:ext>
          </a:extLst>
        </xdr:cNvPr>
        <xdr:cNvSpPr txBox="1">
          <a:spLocks noChangeArrowheads="1"/>
        </xdr:cNvSpPr>
      </xdr:nvSpPr>
      <xdr:spPr bwMode="auto">
        <a:xfrm>
          <a:off x="0" y="7362825"/>
          <a:ext cx="0" cy="628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2</xdr:col>
      <xdr:colOff>44450</xdr:colOff>
      <xdr:row>28</xdr:row>
      <xdr:rowOff>31750</xdr:rowOff>
    </xdr:from>
    <xdr:to>
      <xdr:col>8</xdr:col>
      <xdr:colOff>292100</xdr:colOff>
      <xdr:row>43</xdr:row>
      <xdr:rowOff>31750</xdr:rowOff>
    </xdr:to>
    <xdr:graphicFrame macro="">
      <xdr:nvGraphicFramePr>
        <xdr:cNvPr id="21182" name="Graphique 4">
          <a:extLst>
            <a:ext uri="{FF2B5EF4-FFF2-40B4-BE49-F238E27FC236}">
              <a16:creationId xmlns:a16="http://schemas.microsoft.com/office/drawing/2014/main" id="{00000000-0008-0000-0F00-0000BE5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209550</xdr:colOff>
      <xdr:row>56</xdr:row>
      <xdr:rowOff>101600</xdr:rowOff>
    </xdr:from>
    <xdr:to>
      <xdr:col>8</xdr:col>
      <xdr:colOff>444500</xdr:colOff>
      <xdr:row>72</xdr:row>
      <xdr:rowOff>139700</xdr:rowOff>
    </xdr:to>
    <xdr:graphicFrame macro="">
      <xdr:nvGraphicFramePr>
        <xdr:cNvPr id="21183" name="Graphique 5">
          <a:extLst>
            <a:ext uri="{FF2B5EF4-FFF2-40B4-BE49-F238E27FC236}">
              <a16:creationId xmlns:a16="http://schemas.microsoft.com/office/drawing/2014/main" id="{00000000-0008-0000-0F00-0000BF5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4</xdr:col>
      <xdr:colOff>869950</xdr:colOff>
      <xdr:row>64</xdr:row>
      <xdr:rowOff>28575</xdr:rowOff>
    </xdr:from>
    <xdr:ext cx="190309" cy="178960"/>
    <xdr:sp macro="" textlink="">
      <xdr:nvSpPr>
        <xdr:cNvPr id="20494" name="Text Box 14">
          <a:extLst>
            <a:ext uri="{FF2B5EF4-FFF2-40B4-BE49-F238E27FC236}">
              <a16:creationId xmlns:a16="http://schemas.microsoft.com/office/drawing/2014/main" id="{00000000-0008-0000-0F00-00000E500000}"/>
            </a:ext>
          </a:extLst>
        </xdr:cNvPr>
        <xdr:cNvSpPr txBox="1">
          <a:spLocks noChangeArrowheads="1"/>
        </xdr:cNvSpPr>
      </xdr:nvSpPr>
      <xdr:spPr bwMode="auto">
        <a:xfrm>
          <a:off x="5791200" y="11001375"/>
          <a:ext cx="190309" cy="178960"/>
        </a:xfrm>
        <a:prstGeom prst="rect">
          <a:avLst/>
        </a:prstGeom>
        <a:noFill/>
        <a:ln>
          <a:noFill/>
        </a:ln>
      </xdr:spPr>
      <xdr:txBody>
        <a:bodyPr wrap="none" lIns="27432" tIns="22860" rIns="0" bIns="0" anchor="t" upright="1">
          <a:spAutoFit/>
        </a:bodyPr>
        <a:lstStyle/>
        <a:p>
          <a:pPr algn="l" rtl="0">
            <a:defRPr sz="1000"/>
          </a:pPr>
          <a:r>
            <a:rPr lang="fr-FR" sz="1000" b="0" i="0" u="none" strike="noStrike" baseline="0">
              <a:solidFill>
                <a:srgbClr val="000000"/>
              </a:solidFill>
              <a:latin typeface="Verdana"/>
            </a:rPr>
            <a:t>E*</a:t>
          </a: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0</xdr:col>
      <xdr:colOff>0</xdr:colOff>
      <xdr:row>37</xdr:row>
      <xdr:rowOff>85725</xdr:rowOff>
    </xdr:from>
    <xdr:to>
      <xdr:col>0</xdr:col>
      <xdr:colOff>0</xdr:colOff>
      <xdr:row>40</xdr:row>
      <xdr:rowOff>238</xdr:rowOff>
    </xdr:to>
    <xdr:sp macro="" textlink="">
      <xdr:nvSpPr>
        <xdr:cNvPr id="21505" name="Text Box 1">
          <a:extLst>
            <a:ext uri="{FF2B5EF4-FFF2-40B4-BE49-F238E27FC236}">
              <a16:creationId xmlns:a16="http://schemas.microsoft.com/office/drawing/2014/main" id="{00000000-0008-0000-1000-000001540000}"/>
            </a:ext>
          </a:extLst>
        </xdr:cNvPr>
        <xdr:cNvSpPr txBox="1">
          <a:spLocks noChangeArrowheads="1"/>
        </xdr:cNvSpPr>
      </xdr:nvSpPr>
      <xdr:spPr bwMode="auto">
        <a:xfrm>
          <a:off x="0" y="5838825"/>
          <a:ext cx="0" cy="3905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40</xdr:row>
      <xdr:rowOff>0</xdr:rowOff>
    </xdr:from>
    <xdr:to>
      <xdr:col>0</xdr:col>
      <xdr:colOff>0</xdr:colOff>
      <xdr:row>40</xdr:row>
      <xdr:rowOff>0</xdr:rowOff>
    </xdr:to>
    <xdr:sp macro="" textlink="">
      <xdr:nvSpPr>
        <xdr:cNvPr id="21506" name="Text Box 2">
          <a:extLst>
            <a:ext uri="{FF2B5EF4-FFF2-40B4-BE49-F238E27FC236}">
              <a16:creationId xmlns:a16="http://schemas.microsoft.com/office/drawing/2014/main" id="{00000000-0008-0000-1000-000002540000}"/>
            </a:ext>
          </a:extLst>
        </xdr:cNvPr>
        <xdr:cNvSpPr txBox="1">
          <a:spLocks noChangeArrowheads="1"/>
        </xdr:cNvSpPr>
      </xdr:nvSpPr>
      <xdr:spPr bwMode="auto">
        <a:xfrm>
          <a:off x="0" y="622935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1</xdr:row>
      <xdr:rowOff>38100</xdr:rowOff>
    </xdr:from>
    <xdr:to>
      <xdr:col>0</xdr:col>
      <xdr:colOff>0</xdr:colOff>
      <xdr:row>4</xdr:row>
      <xdr:rowOff>85889</xdr:rowOff>
    </xdr:to>
    <xdr:sp macro="" textlink="">
      <xdr:nvSpPr>
        <xdr:cNvPr id="21507" name="Text Box 3">
          <a:extLst>
            <a:ext uri="{FF2B5EF4-FFF2-40B4-BE49-F238E27FC236}">
              <a16:creationId xmlns:a16="http://schemas.microsoft.com/office/drawing/2014/main" id="{00000000-0008-0000-1000-000003540000}"/>
            </a:ext>
          </a:extLst>
        </xdr:cNvPr>
        <xdr:cNvSpPr txBox="1">
          <a:spLocks noChangeArrowheads="1"/>
        </xdr:cNvSpPr>
      </xdr:nvSpPr>
      <xdr:spPr bwMode="auto">
        <a:xfrm>
          <a:off x="0" y="219075"/>
          <a:ext cx="0" cy="5429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34</xdr:row>
      <xdr:rowOff>101600</xdr:rowOff>
    </xdr:from>
    <xdr:to>
      <xdr:col>0</xdr:col>
      <xdr:colOff>0</xdr:colOff>
      <xdr:row>40</xdr:row>
      <xdr:rowOff>0</xdr:rowOff>
    </xdr:to>
    <xdr:graphicFrame macro="">
      <xdr:nvGraphicFramePr>
        <xdr:cNvPr id="22341" name="Graphique 4">
          <a:extLst>
            <a:ext uri="{FF2B5EF4-FFF2-40B4-BE49-F238E27FC236}">
              <a16:creationId xmlns:a16="http://schemas.microsoft.com/office/drawing/2014/main" id="{00000000-0008-0000-1000-0000455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40</xdr:row>
      <xdr:rowOff>0</xdr:rowOff>
    </xdr:from>
    <xdr:to>
      <xdr:col>0</xdr:col>
      <xdr:colOff>0</xdr:colOff>
      <xdr:row>40</xdr:row>
      <xdr:rowOff>0</xdr:rowOff>
    </xdr:to>
    <xdr:graphicFrame macro="">
      <xdr:nvGraphicFramePr>
        <xdr:cNvPr id="22342" name="Graphique 5">
          <a:extLst>
            <a:ext uri="{FF2B5EF4-FFF2-40B4-BE49-F238E27FC236}">
              <a16:creationId xmlns:a16="http://schemas.microsoft.com/office/drawing/2014/main" id="{00000000-0008-0000-1000-0000465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12700</xdr:colOff>
      <xdr:row>58</xdr:row>
      <xdr:rowOff>69850</xdr:rowOff>
    </xdr:from>
    <xdr:to>
      <xdr:col>5</xdr:col>
      <xdr:colOff>584200</xdr:colOff>
      <xdr:row>72</xdr:row>
      <xdr:rowOff>101600</xdr:rowOff>
    </xdr:to>
    <xdr:graphicFrame macro="">
      <xdr:nvGraphicFramePr>
        <xdr:cNvPr id="22343" name="Graphique 11">
          <a:extLst>
            <a:ext uri="{FF2B5EF4-FFF2-40B4-BE49-F238E27FC236}">
              <a16:creationId xmlns:a16="http://schemas.microsoft.com/office/drawing/2014/main" id="{00000000-0008-0000-1000-0000475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56321" name="Text Box 1">
          <a:extLst>
            <a:ext uri="{FF2B5EF4-FFF2-40B4-BE49-F238E27FC236}">
              <a16:creationId xmlns:a16="http://schemas.microsoft.com/office/drawing/2014/main" id="{00000000-0008-0000-1100-000001D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56322" name="Text Box 2">
          <a:extLst>
            <a:ext uri="{FF2B5EF4-FFF2-40B4-BE49-F238E27FC236}">
              <a16:creationId xmlns:a16="http://schemas.microsoft.com/office/drawing/2014/main" id="{00000000-0008-0000-1100-000002D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56323" name="Text Box 3">
          <a:extLst>
            <a:ext uri="{FF2B5EF4-FFF2-40B4-BE49-F238E27FC236}">
              <a16:creationId xmlns:a16="http://schemas.microsoft.com/office/drawing/2014/main" id="{00000000-0008-0000-1100-000003DC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57153" name="Graphique 4">
          <a:extLst>
            <a:ext uri="{FF2B5EF4-FFF2-40B4-BE49-F238E27FC236}">
              <a16:creationId xmlns:a16="http://schemas.microsoft.com/office/drawing/2014/main" id="{00000000-0008-0000-1100-000041D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57154" name="Graphique 5">
          <a:extLst>
            <a:ext uri="{FF2B5EF4-FFF2-40B4-BE49-F238E27FC236}">
              <a16:creationId xmlns:a16="http://schemas.microsoft.com/office/drawing/2014/main" id="{00000000-0008-0000-1100-000042DF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196850</xdr:colOff>
      <xdr:row>77</xdr:row>
      <xdr:rowOff>0</xdr:rowOff>
    </xdr:from>
    <xdr:to>
      <xdr:col>4</xdr:col>
      <xdr:colOff>260350</xdr:colOff>
      <xdr:row>77</xdr:row>
      <xdr:rowOff>0</xdr:rowOff>
    </xdr:to>
    <xdr:sp macro="" textlink="">
      <xdr:nvSpPr>
        <xdr:cNvPr id="56326" name="Text Box 6">
          <a:extLst>
            <a:ext uri="{FF2B5EF4-FFF2-40B4-BE49-F238E27FC236}">
              <a16:creationId xmlns:a16="http://schemas.microsoft.com/office/drawing/2014/main" id="{00000000-0008-0000-1100-000006DC0000}"/>
            </a:ext>
          </a:extLst>
        </xdr:cNvPr>
        <xdr:cNvSpPr txBox="1">
          <a:spLocks noChangeArrowheads="1"/>
        </xdr:cNvSpPr>
      </xdr:nvSpPr>
      <xdr:spPr bwMode="auto">
        <a:xfrm>
          <a:off x="2990850" y="12887325"/>
          <a:ext cx="173355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Légère différence.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4577" name="Text Box 1">
          <a:extLst>
            <a:ext uri="{FF2B5EF4-FFF2-40B4-BE49-F238E27FC236}">
              <a16:creationId xmlns:a16="http://schemas.microsoft.com/office/drawing/2014/main" id="{00000000-0008-0000-1200-0000016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fr-FR" sz="800" b="1" i="0" u="none" strike="noStrike" baseline="0">
              <a:solidFill>
                <a:srgbClr val="0000D4"/>
              </a:solidFill>
              <a:latin typeface="Verdana"/>
              <a:ea typeface="Verdana"/>
              <a:cs typeface="Verdana"/>
            </a:rPr>
            <a:t>Ambiguité sur la date du versement du 2eme paiement. Si au bout de 2 ans, alors résultat légèrement différent</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4578" name="Text Box 2">
          <a:extLst>
            <a:ext uri="{FF2B5EF4-FFF2-40B4-BE49-F238E27FC236}">
              <a16:creationId xmlns:a16="http://schemas.microsoft.com/office/drawing/2014/main" id="{00000000-0008-0000-1200-0000026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Le résultat du corrigé mentionne 2 sommes qui ne semblent pas correspondre à la question (somme + coef)</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4579" name="Text Box 3">
          <a:extLst>
            <a:ext uri="{FF2B5EF4-FFF2-40B4-BE49-F238E27FC236}">
              <a16:creationId xmlns:a16="http://schemas.microsoft.com/office/drawing/2014/main" id="{00000000-0008-0000-1200-000003600000}"/>
            </a:ext>
          </a:extLst>
        </xdr:cNvPr>
        <xdr:cNvSpPr txBox="1">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Page 407: Cov(rb,rs)=…pbs*ecartype(rb)*ecartyp(rs)</a:t>
          </a:r>
        </a:p>
      </xdr:txBody>
    </xdr:sp>
    <xdr:clientData/>
  </xdr:twoCellAnchor>
  <xdr:twoCellAnchor>
    <xdr:from>
      <xdr:col>0</xdr:col>
      <xdr:colOff>0</xdr:colOff>
      <xdr:row>0</xdr:row>
      <xdr:rowOff>0</xdr:rowOff>
    </xdr:from>
    <xdr:to>
      <xdr:col>0</xdr:col>
      <xdr:colOff>0</xdr:colOff>
      <xdr:row>0</xdr:row>
      <xdr:rowOff>0</xdr:rowOff>
    </xdr:to>
    <xdr:graphicFrame macro="">
      <xdr:nvGraphicFramePr>
        <xdr:cNvPr id="8532058" name="Graphique 4">
          <a:extLst>
            <a:ext uri="{FF2B5EF4-FFF2-40B4-BE49-F238E27FC236}">
              <a16:creationId xmlns:a16="http://schemas.microsoft.com/office/drawing/2014/main" id="{00000000-0008-0000-1200-00005A308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0</xdr:col>
      <xdr:colOff>0</xdr:colOff>
      <xdr:row>0</xdr:row>
      <xdr:rowOff>0</xdr:rowOff>
    </xdr:to>
    <xdr:graphicFrame macro="">
      <xdr:nvGraphicFramePr>
        <xdr:cNvPr id="8532059" name="Graphique 5">
          <a:extLst>
            <a:ext uri="{FF2B5EF4-FFF2-40B4-BE49-F238E27FC236}">
              <a16:creationId xmlns:a16="http://schemas.microsoft.com/office/drawing/2014/main" id="{00000000-0008-0000-1200-00005B3082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504825</xdr:colOff>
      <xdr:row>0</xdr:row>
      <xdr:rowOff>0</xdr:rowOff>
    </xdr:from>
    <xdr:to>
      <xdr:col>5</xdr:col>
      <xdr:colOff>339858</xdr:colOff>
      <xdr:row>0</xdr:row>
      <xdr:rowOff>0</xdr:rowOff>
    </xdr:to>
    <xdr:sp macro="" textlink="">
      <xdr:nvSpPr>
        <xdr:cNvPr id="24582" name="Text Box 6">
          <a:extLst>
            <a:ext uri="{FF2B5EF4-FFF2-40B4-BE49-F238E27FC236}">
              <a16:creationId xmlns:a16="http://schemas.microsoft.com/office/drawing/2014/main" id="{00000000-0008-0000-1200-000006600000}"/>
            </a:ext>
          </a:extLst>
        </xdr:cNvPr>
        <xdr:cNvSpPr txBox="1">
          <a:spLocks noChangeArrowheads="1"/>
        </xdr:cNvSpPr>
      </xdr:nvSpPr>
      <xdr:spPr bwMode="auto">
        <a:xfrm>
          <a:off x="3171825" y="0"/>
          <a:ext cx="2362200"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sng" strike="noStrike" baseline="0">
              <a:solidFill>
                <a:srgbClr val="000000"/>
              </a:solidFill>
              <a:latin typeface="Verdana"/>
            </a:rPr>
            <a:t>Note:</a:t>
          </a:r>
          <a:r>
            <a:rPr lang="fr-FR" sz="800" b="1" i="0" u="none" strike="noStrike" baseline="0">
              <a:solidFill>
                <a:srgbClr val="000000"/>
              </a:solidFill>
              <a:latin typeface="Verdana"/>
            </a:rPr>
            <a:t> attention, il s'agit de le déduire des impôts et non du revenu avant impôt… (ce qui a encore moins de chance d'être voté !)</a:t>
          </a:r>
        </a:p>
      </xdr:txBody>
    </xdr:sp>
    <xdr:clientData/>
  </xdr:twoCellAnchor>
  <xdr:twoCellAnchor>
    <xdr:from>
      <xdr:col>2</xdr:col>
      <xdr:colOff>466725</xdr:colOff>
      <xdr:row>0</xdr:row>
      <xdr:rowOff>0</xdr:rowOff>
    </xdr:from>
    <xdr:to>
      <xdr:col>4</xdr:col>
      <xdr:colOff>710990</xdr:colOff>
      <xdr:row>0</xdr:row>
      <xdr:rowOff>0</xdr:rowOff>
    </xdr:to>
    <xdr:sp macro="" textlink="">
      <xdr:nvSpPr>
        <xdr:cNvPr id="24583" name="Text Box 7">
          <a:extLst>
            <a:ext uri="{FF2B5EF4-FFF2-40B4-BE49-F238E27FC236}">
              <a16:creationId xmlns:a16="http://schemas.microsoft.com/office/drawing/2014/main" id="{00000000-0008-0000-1200-000007600000}"/>
            </a:ext>
          </a:extLst>
        </xdr:cNvPr>
        <xdr:cNvSpPr txBox="1">
          <a:spLocks noChangeArrowheads="1"/>
        </xdr:cNvSpPr>
      </xdr:nvSpPr>
      <xdr:spPr bwMode="auto">
        <a:xfrm>
          <a:off x="3133725" y="0"/>
          <a:ext cx="189547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FR" sz="800" b="1" i="0" u="none" strike="noStrike" baseline="0">
              <a:solidFill>
                <a:srgbClr val="0000D4"/>
              </a:solidFill>
              <a:latin typeface="Verdana"/>
              <a:ea typeface="Verdana"/>
              <a:cs typeface="Verdana"/>
            </a:rPr>
            <a:t>Léger écart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CC39"/>
  <sheetViews>
    <sheetView showGridLines="0" workbookViewId="0"/>
  </sheetViews>
  <sheetFormatPr baseColWidth="10" defaultColWidth="11" defaultRowHeight="14" x14ac:dyDescent="0.15"/>
  <cols>
    <col min="1" max="1" width="37.1640625" style="6" customWidth="1"/>
    <col min="2" max="81" width="8.1640625" style="3" customWidth="1"/>
    <col min="82" max="16384" width="11" style="3"/>
  </cols>
  <sheetData>
    <row r="1" spans="1:81" ht="15" x14ac:dyDescent="0.15">
      <c r="A1" s="1" t="s">
        <v>208</v>
      </c>
    </row>
    <row r="2" spans="1:81" ht="15" x14ac:dyDescent="0.15">
      <c r="A2" s="359" t="s">
        <v>925</v>
      </c>
      <c r="B2" s="343" t="s">
        <v>1340</v>
      </c>
      <c r="C2" s="343" t="s">
        <v>1337</v>
      </c>
      <c r="D2" s="343" t="s">
        <v>1338</v>
      </c>
      <c r="E2" s="343" t="s">
        <v>1371</v>
      </c>
      <c r="F2" s="343" t="s">
        <v>1372</v>
      </c>
      <c r="G2" s="343" t="s">
        <v>1373</v>
      </c>
    </row>
    <row r="3" spans="1:81" ht="15" x14ac:dyDescent="0.15">
      <c r="A3" s="6" t="s">
        <v>926</v>
      </c>
      <c r="B3" s="3">
        <v>165</v>
      </c>
      <c r="C3" s="3">
        <v>200</v>
      </c>
      <c r="D3" s="3">
        <v>240</v>
      </c>
      <c r="E3" s="3">
        <v>280</v>
      </c>
      <c r="F3" s="3">
        <v>320</v>
      </c>
      <c r="G3" s="3">
        <v>360</v>
      </c>
    </row>
    <row r="4" spans="1:81" ht="15" x14ac:dyDescent="0.15">
      <c r="A4" s="6" t="s">
        <v>927</v>
      </c>
      <c r="B4" s="3">
        <v>165</v>
      </c>
      <c r="C4" s="3">
        <v>175</v>
      </c>
      <c r="D4" s="3">
        <v>180</v>
      </c>
      <c r="E4" s="3">
        <v>185</v>
      </c>
      <c r="F4" s="3">
        <v>180</v>
      </c>
      <c r="G4" s="3">
        <v>190</v>
      </c>
    </row>
    <row r="5" spans="1:81" ht="15" x14ac:dyDescent="0.15">
      <c r="A5" s="4" t="s">
        <v>928</v>
      </c>
      <c r="B5" s="3">
        <f t="shared" ref="B5:G5" si="0">B3-B4</f>
        <v>0</v>
      </c>
      <c r="C5" s="3">
        <f t="shared" si="0"/>
        <v>25</v>
      </c>
      <c r="D5" s="3">
        <f t="shared" si="0"/>
        <v>60</v>
      </c>
      <c r="E5" s="3">
        <f t="shared" si="0"/>
        <v>95</v>
      </c>
      <c r="F5" s="3">
        <f t="shared" si="0"/>
        <v>140</v>
      </c>
      <c r="G5" s="3">
        <f t="shared" si="0"/>
        <v>170</v>
      </c>
    </row>
    <row r="6" spans="1:81" ht="15" x14ac:dyDescent="0.15">
      <c r="A6" s="6" t="s">
        <v>929</v>
      </c>
      <c r="B6" s="3">
        <v>-200</v>
      </c>
    </row>
    <row r="7" spans="1:81" ht="15" x14ac:dyDescent="0.15">
      <c r="A7" s="4" t="s">
        <v>930</v>
      </c>
      <c r="B7" s="3">
        <f>B5+B6</f>
        <v>-200</v>
      </c>
      <c r="C7" s="3">
        <f>C5-C6</f>
        <v>25</v>
      </c>
      <c r="D7" s="3">
        <f>D5-D6</f>
        <v>60</v>
      </c>
      <c r="E7" s="3">
        <f>E5-E6</f>
        <v>95</v>
      </c>
      <c r="F7" s="3">
        <f>F5-F6</f>
        <v>140</v>
      </c>
      <c r="G7" s="3">
        <f>G5-G6</f>
        <v>170</v>
      </c>
    </row>
    <row r="8" spans="1:81" ht="15" x14ac:dyDescent="0.15">
      <c r="A8" s="6" t="s">
        <v>931</v>
      </c>
      <c r="B8" s="3">
        <f>B6/2</f>
        <v>-100</v>
      </c>
      <c r="C8" s="3">
        <f>-$B8*0.05</f>
        <v>5</v>
      </c>
      <c r="D8" s="3">
        <f>-$B8*0.05</f>
        <v>5</v>
      </c>
      <c r="E8" s="3">
        <f>-$B8*0.05</f>
        <v>5</v>
      </c>
      <c r="F8" s="3">
        <f>-$B8*0.05</f>
        <v>5</v>
      </c>
      <c r="G8" s="3">
        <f>-$B8*0.05-B8</f>
        <v>105</v>
      </c>
      <c r="H8" s="7">
        <f>SUM(B8:G8)</f>
        <v>25</v>
      </c>
    </row>
    <row r="9" spans="1:81" ht="15" x14ac:dyDescent="0.15">
      <c r="A9" s="6" t="s">
        <v>932</v>
      </c>
      <c r="B9" s="3">
        <f>B6/2</f>
        <v>-100</v>
      </c>
      <c r="C9" s="3">
        <f>C7-C8</f>
        <v>20</v>
      </c>
      <c r="D9" s="3">
        <f>D7-D8</f>
        <v>55</v>
      </c>
      <c r="E9" s="3">
        <f>E7-E8</f>
        <v>90</v>
      </c>
      <c r="F9" s="3">
        <f>F7-F8</f>
        <v>135</v>
      </c>
      <c r="G9" s="3">
        <f>G7-G8</f>
        <v>65</v>
      </c>
      <c r="H9" s="7">
        <f>SUM(B9:G9)</f>
        <v>265</v>
      </c>
    </row>
    <row r="11" spans="1:81" ht="15" x14ac:dyDescent="0.15">
      <c r="A11" s="8" t="s">
        <v>209</v>
      </c>
    </row>
    <row r="12" spans="1:81" ht="15" x14ac:dyDescent="0.15">
      <c r="A12" s="359" t="s">
        <v>939</v>
      </c>
      <c r="B12" s="342"/>
      <c r="C12" s="342"/>
      <c r="D12" s="342"/>
      <c r="E12" s="342"/>
      <c r="F12" s="343">
        <f>YEAR(F13)-1999</f>
        <v>1</v>
      </c>
      <c r="G12" s="343">
        <f t="shared" ref="G12:AO12" si="1">YEAR(G13)-1999</f>
        <v>1</v>
      </c>
      <c r="H12" s="343">
        <f t="shared" si="1"/>
        <v>1</v>
      </c>
      <c r="I12" s="343">
        <f t="shared" si="1"/>
        <v>1</v>
      </c>
      <c r="J12" s="343">
        <f t="shared" si="1"/>
        <v>1</v>
      </c>
      <c r="K12" s="343">
        <f t="shared" si="1"/>
        <v>1</v>
      </c>
      <c r="L12" s="343">
        <f t="shared" si="1"/>
        <v>1</v>
      </c>
      <c r="M12" s="343">
        <f t="shared" si="1"/>
        <v>1</v>
      </c>
      <c r="N12" s="343">
        <f t="shared" si="1"/>
        <v>1</v>
      </c>
      <c r="O12" s="343">
        <f t="shared" si="1"/>
        <v>1</v>
      </c>
      <c r="P12" s="343">
        <f t="shared" si="1"/>
        <v>1</v>
      </c>
      <c r="Q12" s="343">
        <f t="shared" si="1"/>
        <v>1</v>
      </c>
      <c r="R12" s="343">
        <f t="shared" si="1"/>
        <v>2</v>
      </c>
      <c r="S12" s="343">
        <f t="shared" si="1"/>
        <v>2</v>
      </c>
      <c r="T12" s="343">
        <f t="shared" si="1"/>
        <v>2</v>
      </c>
      <c r="U12" s="343">
        <f t="shared" si="1"/>
        <v>2</v>
      </c>
      <c r="V12" s="343">
        <f t="shared" si="1"/>
        <v>2</v>
      </c>
      <c r="W12" s="343">
        <f t="shared" si="1"/>
        <v>2</v>
      </c>
      <c r="X12" s="343">
        <f t="shared" si="1"/>
        <v>2</v>
      </c>
      <c r="Y12" s="343">
        <f t="shared" si="1"/>
        <v>2</v>
      </c>
      <c r="Z12" s="343">
        <f t="shared" si="1"/>
        <v>2</v>
      </c>
      <c r="AA12" s="343">
        <f t="shared" si="1"/>
        <v>2</v>
      </c>
      <c r="AB12" s="343">
        <f t="shared" si="1"/>
        <v>2</v>
      </c>
      <c r="AC12" s="343">
        <f t="shared" si="1"/>
        <v>2</v>
      </c>
      <c r="AD12" s="343">
        <f t="shared" si="1"/>
        <v>3</v>
      </c>
      <c r="AE12" s="343">
        <f t="shared" si="1"/>
        <v>3</v>
      </c>
      <c r="AF12" s="343">
        <f t="shared" si="1"/>
        <v>3</v>
      </c>
      <c r="AG12" s="343">
        <f t="shared" si="1"/>
        <v>3</v>
      </c>
      <c r="AH12" s="343">
        <f t="shared" si="1"/>
        <v>3</v>
      </c>
      <c r="AI12" s="343">
        <f t="shared" si="1"/>
        <v>3</v>
      </c>
      <c r="AJ12" s="343">
        <f t="shared" si="1"/>
        <v>3</v>
      </c>
      <c r="AK12" s="343">
        <f t="shared" si="1"/>
        <v>3</v>
      </c>
      <c r="AL12" s="343">
        <f t="shared" si="1"/>
        <v>3</v>
      </c>
      <c r="AM12" s="343">
        <f t="shared" si="1"/>
        <v>3</v>
      </c>
      <c r="AN12" s="343">
        <f t="shared" si="1"/>
        <v>3</v>
      </c>
      <c r="AO12" s="343">
        <f t="shared" si="1"/>
        <v>3</v>
      </c>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row>
    <row r="13" spans="1:81" s="6" customFormat="1" ht="30" x14ac:dyDescent="0.15">
      <c r="A13" s="359" t="s">
        <v>925</v>
      </c>
      <c r="B13" s="366" t="s">
        <v>1374</v>
      </c>
      <c r="C13" s="366" t="s">
        <v>1375</v>
      </c>
      <c r="D13" s="366" t="s">
        <v>1376</v>
      </c>
      <c r="E13" s="366" t="s">
        <v>1377</v>
      </c>
      <c r="F13" s="375">
        <f t="shared" ref="F13:AK13" si="2">DATE(2000,COLUMN(B11)-1,1)</f>
        <v>36526</v>
      </c>
      <c r="G13" s="375">
        <f t="shared" si="2"/>
        <v>36557</v>
      </c>
      <c r="H13" s="375">
        <f t="shared" si="2"/>
        <v>36586</v>
      </c>
      <c r="I13" s="375">
        <f t="shared" si="2"/>
        <v>36617</v>
      </c>
      <c r="J13" s="375">
        <f t="shared" si="2"/>
        <v>36647</v>
      </c>
      <c r="K13" s="375">
        <f t="shared" si="2"/>
        <v>36678</v>
      </c>
      <c r="L13" s="375">
        <f t="shared" si="2"/>
        <v>36708</v>
      </c>
      <c r="M13" s="375">
        <f t="shared" si="2"/>
        <v>36739</v>
      </c>
      <c r="N13" s="375">
        <f t="shared" si="2"/>
        <v>36770</v>
      </c>
      <c r="O13" s="375">
        <f t="shared" si="2"/>
        <v>36800</v>
      </c>
      <c r="P13" s="375">
        <f t="shared" si="2"/>
        <v>36831</v>
      </c>
      <c r="Q13" s="375">
        <f t="shared" si="2"/>
        <v>36861</v>
      </c>
      <c r="R13" s="375">
        <f t="shared" si="2"/>
        <v>36892</v>
      </c>
      <c r="S13" s="375">
        <f t="shared" si="2"/>
        <v>36923</v>
      </c>
      <c r="T13" s="375">
        <f t="shared" si="2"/>
        <v>36951</v>
      </c>
      <c r="U13" s="375">
        <f t="shared" si="2"/>
        <v>36982</v>
      </c>
      <c r="V13" s="375">
        <f t="shared" si="2"/>
        <v>37012</v>
      </c>
      <c r="W13" s="375">
        <f t="shared" si="2"/>
        <v>37043</v>
      </c>
      <c r="X13" s="375">
        <f t="shared" si="2"/>
        <v>37073</v>
      </c>
      <c r="Y13" s="375">
        <f t="shared" si="2"/>
        <v>37104</v>
      </c>
      <c r="Z13" s="375">
        <f t="shared" si="2"/>
        <v>37135</v>
      </c>
      <c r="AA13" s="375">
        <f t="shared" si="2"/>
        <v>37165</v>
      </c>
      <c r="AB13" s="375">
        <f t="shared" si="2"/>
        <v>37196</v>
      </c>
      <c r="AC13" s="375">
        <f t="shared" si="2"/>
        <v>37226</v>
      </c>
      <c r="AD13" s="375">
        <f t="shared" si="2"/>
        <v>37257</v>
      </c>
      <c r="AE13" s="375">
        <f t="shared" si="2"/>
        <v>37288</v>
      </c>
      <c r="AF13" s="375">
        <f t="shared" si="2"/>
        <v>37316</v>
      </c>
      <c r="AG13" s="375">
        <f t="shared" si="2"/>
        <v>37347</v>
      </c>
      <c r="AH13" s="375">
        <f t="shared" si="2"/>
        <v>37377</v>
      </c>
      <c r="AI13" s="375">
        <f t="shared" si="2"/>
        <v>37408</v>
      </c>
      <c r="AJ13" s="375">
        <f t="shared" si="2"/>
        <v>37438</v>
      </c>
      <c r="AK13" s="375">
        <f t="shared" si="2"/>
        <v>37469</v>
      </c>
      <c r="AL13" s="375">
        <f>DATE(2000,COLUMN(AH11)-1,1)</f>
        <v>37500</v>
      </c>
      <c r="AM13" s="375">
        <f>DATE(2000,COLUMN(AI11)-1,1)</f>
        <v>37530</v>
      </c>
      <c r="AN13" s="375">
        <f>DATE(2000,COLUMN(AJ11)-1,1)</f>
        <v>37561</v>
      </c>
      <c r="AO13" s="375">
        <f>DATE(2000,COLUMN(AK11)-1,1)</f>
        <v>37591</v>
      </c>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row>
    <row r="14" spans="1:81" ht="15" x14ac:dyDescent="0.15">
      <c r="A14" s="6" t="s">
        <v>1125</v>
      </c>
      <c r="B14" s="10">
        <f t="shared" ref="B14:B25" si="3">SUM(F14:CB14)</f>
        <v>384</v>
      </c>
      <c r="C14" s="11">
        <f>SUM(F14:Q14)</f>
        <v>96</v>
      </c>
      <c r="D14" s="11">
        <f>SUM(R14:AC14)</f>
        <v>144</v>
      </c>
      <c r="E14" s="12">
        <f>SUM(AD14:AO14)</f>
        <v>144</v>
      </c>
      <c r="F14" s="13"/>
      <c r="G14" s="13"/>
      <c r="H14" s="13"/>
      <c r="I14" s="13"/>
      <c r="J14" s="13">
        <v>12</v>
      </c>
      <c r="K14" s="13">
        <v>12</v>
      </c>
      <c r="L14" s="13">
        <v>12</v>
      </c>
      <c r="M14" s="13">
        <v>12</v>
      </c>
      <c r="N14" s="13">
        <v>12</v>
      </c>
      <c r="O14" s="13">
        <v>12</v>
      </c>
      <c r="P14" s="13">
        <v>12</v>
      </c>
      <c r="Q14" s="13">
        <v>12</v>
      </c>
      <c r="R14" s="13">
        <v>12</v>
      </c>
      <c r="S14" s="13">
        <v>12</v>
      </c>
      <c r="T14" s="13">
        <v>12</v>
      </c>
      <c r="U14" s="13">
        <v>12</v>
      </c>
      <c r="V14" s="13">
        <v>12</v>
      </c>
      <c r="W14" s="13">
        <v>12</v>
      </c>
      <c r="X14" s="13">
        <v>12</v>
      </c>
      <c r="Y14" s="13">
        <v>12</v>
      </c>
      <c r="Z14" s="13">
        <v>12</v>
      </c>
      <c r="AA14" s="13">
        <v>12</v>
      </c>
      <c r="AB14" s="13">
        <v>12</v>
      </c>
      <c r="AC14" s="13">
        <v>12</v>
      </c>
      <c r="AD14" s="13">
        <v>12</v>
      </c>
      <c r="AE14" s="13">
        <v>12</v>
      </c>
      <c r="AF14" s="13">
        <v>12</v>
      </c>
      <c r="AG14" s="13">
        <v>12</v>
      </c>
      <c r="AH14" s="13">
        <v>12</v>
      </c>
      <c r="AI14" s="13">
        <v>12</v>
      </c>
      <c r="AJ14" s="13">
        <v>12</v>
      </c>
      <c r="AK14" s="13">
        <v>12</v>
      </c>
      <c r="AL14" s="13">
        <v>12</v>
      </c>
      <c r="AM14" s="13">
        <v>12</v>
      </c>
      <c r="AN14" s="13">
        <v>12</v>
      </c>
      <c r="AO14" s="13">
        <v>12</v>
      </c>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row>
    <row r="15" spans="1:81" ht="15" x14ac:dyDescent="0.15">
      <c r="A15" s="6" t="s">
        <v>927</v>
      </c>
      <c r="B15" s="14">
        <f t="shared" si="3"/>
        <v>350</v>
      </c>
      <c r="C15" s="15">
        <f t="shared" ref="C15:C25" si="4">SUM(F15:Q15)</f>
        <v>110</v>
      </c>
      <c r="D15" s="15">
        <f t="shared" ref="D15:D25" si="5">SUM(R15:AC15)</f>
        <v>120</v>
      </c>
      <c r="E15" s="16">
        <f t="shared" ref="E15:E25" si="6">SUM(AD15:AO15)</f>
        <v>120</v>
      </c>
      <c r="F15" s="13">
        <f>SUM(F16:F18)</f>
        <v>4</v>
      </c>
      <c r="G15" s="13">
        <f t="shared" ref="G15:AO15" si="7">SUM(G16:G18)</f>
        <v>6</v>
      </c>
      <c r="H15" s="13">
        <f t="shared" si="7"/>
        <v>6</v>
      </c>
      <c r="I15" s="13">
        <f t="shared" si="7"/>
        <v>14</v>
      </c>
      <c r="J15" s="13">
        <f t="shared" si="7"/>
        <v>10</v>
      </c>
      <c r="K15" s="13">
        <f t="shared" si="7"/>
        <v>10</v>
      </c>
      <c r="L15" s="13">
        <f t="shared" si="7"/>
        <v>10</v>
      </c>
      <c r="M15" s="13">
        <f t="shared" si="7"/>
        <v>10</v>
      </c>
      <c r="N15" s="13">
        <f t="shared" si="7"/>
        <v>10</v>
      </c>
      <c r="O15" s="13">
        <f t="shared" si="7"/>
        <v>10</v>
      </c>
      <c r="P15" s="13">
        <f t="shared" si="7"/>
        <v>10</v>
      </c>
      <c r="Q15" s="13">
        <f t="shared" si="7"/>
        <v>10</v>
      </c>
      <c r="R15" s="13">
        <f t="shared" si="7"/>
        <v>10</v>
      </c>
      <c r="S15" s="13">
        <f t="shared" si="7"/>
        <v>10</v>
      </c>
      <c r="T15" s="13">
        <f t="shared" si="7"/>
        <v>10</v>
      </c>
      <c r="U15" s="13">
        <f t="shared" si="7"/>
        <v>10</v>
      </c>
      <c r="V15" s="13">
        <f t="shared" si="7"/>
        <v>10</v>
      </c>
      <c r="W15" s="13">
        <f t="shared" si="7"/>
        <v>10</v>
      </c>
      <c r="X15" s="13">
        <f t="shared" si="7"/>
        <v>10</v>
      </c>
      <c r="Y15" s="13">
        <f t="shared" si="7"/>
        <v>10</v>
      </c>
      <c r="Z15" s="13">
        <f t="shared" si="7"/>
        <v>10</v>
      </c>
      <c r="AA15" s="13">
        <f t="shared" si="7"/>
        <v>10</v>
      </c>
      <c r="AB15" s="13">
        <f t="shared" si="7"/>
        <v>10</v>
      </c>
      <c r="AC15" s="13">
        <f t="shared" si="7"/>
        <v>10</v>
      </c>
      <c r="AD15" s="13">
        <f t="shared" si="7"/>
        <v>10</v>
      </c>
      <c r="AE15" s="13">
        <f t="shared" si="7"/>
        <v>10</v>
      </c>
      <c r="AF15" s="13">
        <f t="shared" si="7"/>
        <v>10</v>
      </c>
      <c r="AG15" s="13">
        <f t="shared" si="7"/>
        <v>10</v>
      </c>
      <c r="AH15" s="13">
        <f t="shared" si="7"/>
        <v>10</v>
      </c>
      <c r="AI15" s="13">
        <f t="shared" si="7"/>
        <v>10</v>
      </c>
      <c r="AJ15" s="13">
        <f t="shared" si="7"/>
        <v>10</v>
      </c>
      <c r="AK15" s="13">
        <f t="shared" si="7"/>
        <v>10</v>
      </c>
      <c r="AL15" s="13">
        <f t="shared" si="7"/>
        <v>10</v>
      </c>
      <c r="AM15" s="13">
        <f t="shared" si="7"/>
        <v>10</v>
      </c>
      <c r="AN15" s="13">
        <f t="shared" si="7"/>
        <v>10</v>
      </c>
      <c r="AO15" s="13">
        <f t="shared" si="7"/>
        <v>10</v>
      </c>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row>
    <row r="16" spans="1:81" s="22" customFormat="1" ht="12" x14ac:dyDescent="0.15">
      <c r="A16" s="17" t="s">
        <v>1148</v>
      </c>
      <c r="B16" s="18">
        <f t="shared" si="3"/>
        <v>136</v>
      </c>
      <c r="C16" s="19">
        <f t="shared" si="4"/>
        <v>40</v>
      </c>
      <c r="D16" s="19">
        <f t="shared" si="5"/>
        <v>48</v>
      </c>
      <c r="E16" s="20">
        <f t="shared" si="6"/>
        <v>48</v>
      </c>
      <c r="F16" s="21"/>
      <c r="G16" s="21"/>
      <c r="H16" s="21"/>
      <c r="I16" s="21">
        <v>8</v>
      </c>
      <c r="J16" s="21">
        <v>4</v>
      </c>
      <c r="K16" s="21">
        <v>4</v>
      </c>
      <c r="L16" s="21">
        <v>4</v>
      </c>
      <c r="M16" s="21">
        <v>4</v>
      </c>
      <c r="N16" s="21">
        <v>4</v>
      </c>
      <c r="O16" s="21">
        <v>4</v>
      </c>
      <c r="P16" s="21">
        <v>4</v>
      </c>
      <c r="Q16" s="21">
        <v>4</v>
      </c>
      <c r="R16" s="21">
        <v>4</v>
      </c>
      <c r="S16" s="21">
        <v>4</v>
      </c>
      <c r="T16" s="21">
        <v>4</v>
      </c>
      <c r="U16" s="21">
        <v>4</v>
      </c>
      <c r="V16" s="21">
        <v>4</v>
      </c>
      <c r="W16" s="21">
        <v>4</v>
      </c>
      <c r="X16" s="21">
        <v>4</v>
      </c>
      <c r="Y16" s="21">
        <v>4</v>
      </c>
      <c r="Z16" s="21">
        <v>4</v>
      </c>
      <c r="AA16" s="21">
        <v>4</v>
      </c>
      <c r="AB16" s="21">
        <v>4</v>
      </c>
      <c r="AC16" s="21">
        <v>4</v>
      </c>
      <c r="AD16" s="21">
        <v>4</v>
      </c>
      <c r="AE16" s="21">
        <v>4</v>
      </c>
      <c r="AF16" s="21">
        <v>4</v>
      </c>
      <c r="AG16" s="21">
        <v>4</v>
      </c>
      <c r="AH16" s="21">
        <v>4</v>
      </c>
      <c r="AI16" s="21">
        <v>4</v>
      </c>
      <c r="AJ16" s="21">
        <v>4</v>
      </c>
      <c r="AK16" s="21">
        <v>4</v>
      </c>
      <c r="AL16" s="21">
        <v>4</v>
      </c>
      <c r="AM16" s="21">
        <v>4</v>
      </c>
      <c r="AN16" s="21">
        <v>4</v>
      </c>
      <c r="AO16" s="21">
        <v>4</v>
      </c>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row>
    <row r="17" spans="1:81" s="22" customFormat="1" ht="12" x14ac:dyDescent="0.15">
      <c r="A17" s="17" t="s">
        <v>935</v>
      </c>
      <c r="B17" s="18">
        <f t="shared" si="3"/>
        <v>70</v>
      </c>
      <c r="C17" s="19">
        <f t="shared" si="4"/>
        <v>22</v>
      </c>
      <c r="D17" s="19">
        <f t="shared" si="5"/>
        <v>24</v>
      </c>
      <c r="E17" s="20">
        <f t="shared" si="6"/>
        <v>24</v>
      </c>
      <c r="F17" s="21">
        <v>0</v>
      </c>
      <c r="G17" s="21">
        <v>2</v>
      </c>
      <c r="H17" s="21">
        <v>2</v>
      </c>
      <c r="I17" s="21">
        <v>2</v>
      </c>
      <c r="J17" s="21">
        <v>2</v>
      </c>
      <c r="K17" s="21">
        <v>2</v>
      </c>
      <c r="L17" s="21">
        <v>2</v>
      </c>
      <c r="M17" s="21">
        <v>2</v>
      </c>
      <c r="N17" s="21">
        <v>2</v>
      </c>
      <c r="O17" s="21">
        <v>2</v>
      </c>
      <c r="P17" s="21">
        <v>2</v>
      </c>
      <c r="Q17" s="21">
        <v>2</v>
      </c>
      <c r="R17" s="21">
        <v>2</v>
      </c>
      <c r="S17" s="21">
        <v>2</v>
      </c>
      <c r="T17" s="21">
        <v>2</v>
      </c>
      <c r="U17" s="21">
        <v>2</v>
      </c>
      <c r="V17" s="21">
        <v>2</v>
      </c>
      <c r="W17" s="21">
        <v>2</v>
      </c>
      <c r="X17" s="21">
        <v>2</v>
      </c>
      <c r="Y17" s="21">
        <v>2</v>
      </c>
      <c r="Z17" s="21">
        <v>2</v>
      </c>
      <c r="AA17" s="21">
        <v>2</v>
      </c>
      <c r="AB17" s="21">
        <v>2</v>
      </c>
      <c r="AC17" s="21">
        <v>2</v>
      </c>
      <c r="AD17" s="21">
        <v>2</v>
      </c>
      <c r="AE17" s="21">
        <v>2</v>
      </c>
      <c r="AF17" s="21">
        <v>2</v>
      </c>
      <c r="AG17" s="21">
        <v>2</v>
      </c>
      <c r="AH17" s="21">
        <v>2</v>
      </c>
      <c r="AI17" s="21">
        <v>2</v>
      </c>
      <c r="AJ17" s="21">
        <v>2</v>
      </c>
      <c r="AK17" s="21">
        <v>2</v>
      </c>
      <c r="AL17" s="21">
        <v>2</v>
      </c>
      <c r="AM17" s="21">
        <v>2</v>
      </c>
      <c r="AN17" s="21">
        <v>2</v>
      </c>
      <c r="AO17" s="21">
        <v>2</v>
      </c>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row>
    <row r="18" spans="1:81" s="22" customFormat="1" ht="12" x14ac:dyDescent="0.15">
      <c r="A18" s="17" t="s">
        <v>934</v>
      </c>
      <c r="B18" s="18">
        <f t="shared" si="3"/>
        <v>144</v>
      </c>
      <c r="C18" s="19">
        <f t="shared" si="4"/>
        <v>48</v>
      </c>
      <c r="D18" s="19">
        <f t="shared" si="5"/>
        <v>48</v>
      </c>
      <c r="E18" s="20">
        <f t="shared" si="6"/>
        <v>48</v>
      </c>
      <c r="F18" s="21">
        <v>4</v>
      </c>
      <c r="G18" s="21">
        <v>4</v>
      </c>
      <c r="H18" s="21">
        <v>4</v>
      </c>
      <c r="I18" s="21">
        <v>4</v>
      </c>
      <c r="J18" s="21">
        <v>4</v>
      </c>
      <c r="K18" s="21">
        <v>4</v>
      </c>
      <c r="L18" s="21">
        <v>4</v>
      </c>
      <c r="M18" s="21">
        <v>4</v>
      </c>
      <c r="N18" s="21">
        <v>4</v>
      </c>
      <c r="O18" s="21">
        <v>4</v>
      </c>
      <c r="P18" s="21">
        <v>4</v>
      </c>
      <c r="Q18" s="21">
        <v>4</v>
      </c>
      <c r="R18" s="21">
        <v>4</v>
      </c>
      <c r="S18" s="21">
        <v>4</v>
      </c>
      <c r="T18" s="21">
        <v>4</v>
      </c>
      <c r="U18" s="21">
        <v>4</v>
      </c>
      <c r="V18" s="21">
        <v>4</v>
      </c>
      <c r="W18" s="21">
        <v>4</v>
      </c>
      <c r="X18" s="21">
        <v>4</v>
      </c>
      <c r="Y18" s="21">
        <v>4</v>
      </c>
      <c r="Z18" s="21">
        <v>4</v>
      </c>
      <c r="AA18" s="21">
        <v>4</v>
      </c>
      <c r="AB18" s="21">
        <v>4</v>
      </c>
      <c r="AC18" s="21">
        <v>4</v>
      </c>
      <c r="AD18" s="21">
        <v>4</v>
      </c>
      <c r="AE18" s="21">
        <v>4</v>
      </c>
      <c r="AF18" s="21">
        <v>4</v>
      </c>
      <c r="AG18" s="21">
        <v>4</v>
      </c>
      <c r="AH18" s="21">
        <v>4</v>
      </c>
      <c r="AI18" s="21">
        <v>4</v>
      </c>
      <c r="AJ18" s="21">
        <v>4</v>
      </c>
      <c r="AK18" s="21">
        <v>4</v>
      </c>
      <c r="AL18" s="21">
        <v>4</v>
      </c>
      <c r="AM18" s="21">
        <v>4</v>
      </c>
      <c r="AN18" s="21">
        <v>4</v>
      </c>
      <c r="AO18" s="21">
        <v>4</v>
      </c>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row>
    <row r="19" spans="1:81" ht="15" x14ac:dyDescent="0.15">
      <c r="A19" s="4" t="s">
        <v>928</v>
      </c>
      <c r="B19" s="14">
        <f t="shared" si="3"/>
        <v>34</v>
      </c>
      <c r="C19" s="15">
        <f t="shared" si="4"/>
        <v>-14</v>
      </c>
      <c r="D19" s="15">
        <f t="shared" si="5"/>
        <v>24</v>
      </c>
      <c r="E19" s="16">
        <f t="shared" si="6"/>
        <v>24</v>
      </c>
      <c r="F19" s="13">
        <f>F14-F15</f>
        <v>-4</v>
      </c>
      <c r="G19" s="13">
        <f t="shared" ref="G19:AO19" si="8">G14-G15</f>
        <v>-6</v>
      </c>
      <c r="H19" s="13">
        <f t="shared" si="8"/>
        <v>-6</v>
      </c>
      <c r="I19" s="13">
        <f t="shared" si="8"/>
        <v>-14</v>
      </c>
      <c r="J19" s="13">
        <f t="shared" si="8"/>
        <v>2</v>
      </c>
      <c r="K19" s="13">
        <f t="shared" si="8"/>
        <v>2</v>
      </c>
      <c r="L19" s="13">
        <f t="shared" si="8"/>
        <v>2</v>
      </c>
      <c r="M19" s="13">
        <f t="shared" si="8"/>
        <v>2</v>
      </c>
      <c r="N19" s="13">
        <f t="shared" si="8"/>
        <v>2</v>
      </c>
      <c r="O19" s="13">
        <f t="shared" si="8"/>
        <v>2</v>
      </c>
      <c r="P19" s="13">
        <f t="shared" si="8"/>
        <v>2</v>
      </c>
      <c r="Q19" s="13">
        <f t="shared" si="8"/>
        <v>2</v>
      </c>
      <c r="R19" s="13">
        <f t="shared" si="8"/>
        <v>2</v>
      </c>
      <c r="S19" s="13">
        <f t="shared" si="8"/>
        <v>2</v>
      </c>
      <c r="T19" s="13">
        <f t="shared" si="8"/>
        <v>2</v>
      </c>
      <c r="U19" s="13">
        <f t="shared" si="8"/>
        <v>2</v>
      </c>
      <c r="V19" s="13">
        <f t="shared" si="8"/>
        <v>2</v>
      </c>
      <c r="W19" s="13">
        <f t="shared" si="8"/>
        <v>2</v>
      </c>
      <c r="X19" s="13">
        <f t="shared" si="8"/>
        <v>2</v>
      </c>
      <c r="Y19" s="13">
        <f t="shared" si="8"/>
        <v>2</v>
      </c>
      <c r="Z19" s="13">
        <f t="shared" si="8"/>
        <v>2</v>
      </c>
      <c r="AA19" s="13">
        <f t="shared" si="8"/>
        <v>2</v>
      </c>
      <c r="AB19" s="13">
        <f t="shared" si="8"/>
        <v>2</v>
      </c>
      <c r="AC19" s="13">
        <f t="shared" si="8"/>
        <v>2</v>
      </c>
      <c r="AD19" s="13">
        <f t="shared" si="8"/>
        <v>2</v>
      </c>
      <c r="AE19" s="13">
        <f t="shared" si="8"/>
        <v>2</v>
      </c>
      <c r="AF19" s="13">
        <f t="shared" si="8"/>
        <v>2</v>
      </c>
      <c r="AG19" s="13">
        <f t="shared" si="8"/>
        <v>2</v>
      </c>
      <c r="AH19" s="13">
        <f t="shared" si="8"/>
        <v>2</v>
      </c>
      <c r="AI19" s="13">
        <f t="shared" si="8"/>
        <v>2</v>
      </c>
      <c r="AJ19" s="13">
        <f t="shared" si="8"/>
        <v>2</v>
      </c>
      <c r="AK19" s="13">
        <f t="shared" si="8"/>
        <v>2</v>
      </c>
      <c r="AL19" s="13">
        <f t="shared" si="8"/>
        <v>2</v>
      </c>
      <c r="AM19" s="13">
        <f t="shared" si="8"/>
        <v>2</v>
      </c>
      <c r="AN19" s="13">
        <f t="shared" si="8"/>
        <v>2</v>
      </c>
      <c r="AO19" s="13">
        <f t="shared" si="8"/>
        <v>2</v>
      </c>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row>
    <row r="20" spans="1:81" ht="15" x14ac:dyDescent="0.15">
      <c r="A20" s="6" t="s">
        <v>929</v>
      </c>
      <c r="B20" s="14">
        <f t="shared" si="3"/>
        <v>-30</v>
      </c>
      <c r="C20" s="15">
        <f t="shared" si="4"/>
        <v>-30</v>
      </c>
      <c r="D20" s="15">
        <f t="shared" si="5"/>
        <v>0</v>
      </c>
      <c r="E20" s="16">
        <f t="shared" si="6"/>
        <v>0</v>
      </c>
      <c r="F20" s="13">
        <v>-30</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row>
    <row r="21" spans="1:81" ht="15" x14ac:dyDescent="0.15">
      <c r="A21" s="4" t="s">
        <v>930</v>
      </c>
      <c r="B21" s="14">
        <f t="shared" si="3"/>
        <v>4</v>
      </c>
      <c r="C21" s="15">
        <f t="shared" si="4"/>
        <v>-44</v>
      </c>
      <c r="D21" s="15">
        <f t="shared" si="5"/>
        <v>24</v>
      </c>
      <c r="E21" s="16">
        <f t="shared" si="6"/>
        <v>24</v>
      </c>
      <c r="F21" s="13">
        <f>SUM(F19:F20)</f>
        <v>-34</v>
      </c>
      <c r="G21" s="13">
        <f t="shared" ref="G21:AO21" si="9">SUM(G19:G20)</f>
        <v>-6</v>
      </c>
      <c r="H21" s="13">
        <f t="shared" si="9"/>
        <v>-6</v>
      </c>
      <c r="I21" s="13">
        <f t="shared" si="9"/>
        <v>-14</v>
      </c>
      <c r="J21" s="13">
        <f t="shared" si="9"/>
        <v>2</v>
      </c>
      <c r="K21" s="13">
        <f t="shared" si="9"/>
        <v>2</v>
      </c>
      <c r="L21" s="13">
        <f t="shared" si="9"/>
        <v>2</v>
      </c>
      <c r="M21" s="13">
        <f t="shared" si="9"/>
        <v>2</v>
      </c>
      <c r="N21" s="13">
        <f t="shared" si="9"/>
        <v>2</v>
      </c>
      <c r="O21" s="13">
        <f t="shared" si="9"/>
        <v>2</v>
      </c>
      <c r="P21" s="13">
        <f t="shared" si="9"/>
        <v>2</v>
      </c>
      <c r="Q21" s="13">
        <f t="shared" si="9"/>
        <v>2</v>
      </c>
      <c r="R21" s="13">
        <f t="shared" si="9"/>
        <v>2</v>
      </c>
      <c r="S21" s="13">
        <f t="shared" si="9"/>
        <v>2</v>
      </c>
      <c r="T21" s="13">
        <f t="shared" si="9"/>
        <v>2</v>
      </c>
      <c r="U21" s="13">
        <f t="shared" si="9"/>
        <v>2</v>
      </c>
      <c r="V21" s="13">
        <f t="shared" si="9"/>
        <v>2</v>
      </c>
      <c r="W21" s="13">
        <f t="shared" si="9"/>
        <v>2</v>
      </c>
      <c r="X21" s="13">
        <f t="shared" si="9"/>
        <v>2</v>
      </c>
      <c r="Y21" s="13">
        <f t="shared" si="9"/>
        <v>2</v>
      </c>
      <c r="Z21" s="13">
        <f t="shared" si="9"/>
        <v>2</v>
      </c>
      <c r="AA21" s="13">
        <f t="shared" si="9"/>
        <v>2</v>
      </c>
      <c r="AB21" s="13">
        <f t="shared" si="9"/>
        <v>2</v>
      </c>
      <c r="AC21" s="13">
        <f t="shared" si="9"/>
        <v>2</v>
      </c>
      <c r="AD21" s="13">
        <f t="shared" si="9"/>
        <v>2</v>
      </c>
      <c r="AE21" s="13">
        <f t="shared" si="9"/>
        <v>2</v>
      </c>
      <c r="AF21" s="13">
        <f t="shared" si="9"/>
        <v>2</v>
      </c>
      <c r="AG21" s="13">
        <f t="shared" si="9"/>
        <v>2</v>
      </c>
      <c r="AH21" s="13">
        <f t="shared" si="9"/>
        <v>2</v>
      </c>
      <c r="AI21" s="13">
        <f t="shared" si="9"/>
        <v>2</v>
      </c>
      <c r="AJ21" s="13">
        <f t="shared" si="9"/>
        <v>2</v>
      </c>
      <c r="AK21" s="13">
        <f t="shared" si="9"/>
        <v>2</v>
      </c>
      <c r="AL21" s="13">
        <f t="shared" si="9"/>
        <v>2</v>
      </c>
      <c r="AM21" s="13">
        <f t="shared" si="9"/>
        <v>2</v>
      </c>
      <c r="AN21" s="13">
        <f t="shared" si="9"/>
        <v>2</v>
      </c>
      <c r="AO21" s="13">
        <f t="shared" si="9"/>
        <v>2</v>
      </c>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row>
    <row r="22" spans="1:81" ht="15" x14ac:dyDescent="0.15">
      <c r="A22" s="6" t="s">
        <v>931</v>
      </c>
      <c r="B22" s="23">
        <f t="shared" si="3"/>
        <v>-3.5</v>
      </c>
      <c r="C22" s="15">
        <f t="shared" si="4"/>
        <v>-14.1</v>
      </c>
      <c r="D22" s="15">
        <f t="shared" si="5"/>
        <v>5.5</v>
      </c>
      <c r="E22" s="16">
        <f t="shared" si="6"/>
        <v>5.0999999999999996</v>
      </c>
      <c r="F22" s="13">
        <f>SUM(F23:F24)</f>
        <v>-18</v>
      </c>
      <c r="G22" s="13">
        <f t="shared" ref="G22:AO22" si="10">SUM(G23:G24)</f>
        <v>0</v>
      </c>
      <c r="H22" s="13">
        <f t="shared" si="10"/>
        <v>0</v>
      </c>
      <c r="I22" s="13">
        <f t="shared" si="10"/>
        <v>0</v>
      </c>
      <c r="J22" s="13">
        <f t="shared" si="10"/>
        <v>0</v>
      </c>
      <c r="K22" s="13">
        <f t="shared" si="10"/>
        <v>1</v>
      </c>
      <c r="L22" s="13">
        <f t="shared" si="10"/>
        <v>2</v>
      </c>
      <c r="M22" s="13">
        <f t="shared" si="10"/>
        <v>0</v>
      </c>
      <c r="N22" s="13">
        <f t="shared" si="10"/>
        <v>0</v>
      </c>
      <c r="O22" s="13">
        <f t="shared" si="10"/>
        <v>0</v>
      </c>
      <c r="P22" s="13">
        <f t="shared" si="10"/>
        <v>0</v>
      </c>
      <c r="Q22" s="13">
        <f t="shared" si="10"/>
        <v>0.9</v>
      </c>
      <c r="R22" s="13">
        <f t="shared" si="10"/>
        <v>2</v>
      </c>
      <c r="S22" s="13">
        <f t="shared" si="10"/>
        <v>0</v>
      </c>
      <c r="T22" s="13">
        <f t="shared" si="10"/>
        <v>0</v>
      </c>
      <c r="U22" s="13">
        <f t="shared" si="10"/>
        <v>0</v>
      </c>
      <c r="V22" s="13">
        <f t="shared" si="10"/>
        <v>0</v>
      </c>
      <c r="W22" s="13">
        <f t="shared" si="10"/>
        <v>0.8</v>
      </c>
      <c r="X22" s="13">
        <f t="shared" si="10"/>
        <v>2</v>
      </c>
      <c r="Y22" s="13">
        <f t="shared" si="10"/>
        <v>0</v>
      </c>
      <c r="Z22" s="13">
        <f t="shared" si="10"/>
        <v>0</v>
      </c>
      <c r="AA22" s="13">
        <f t="shared" si="10"/>
        <v>0</v>
      </c>
      <c r="AB22" s="13">
        <f t="shared" si="10"/>
        <v>0</v>
      </c>
      <c r="AC22" s="13">
        <f t="shared" si="10"/>
        <v>0.7</v>
      </c>
      <c r="AD22" s="13">
        <f t="shared" si="10"/>
        <v>2</v>
      </c>
      <c r="AE22" s="13">
        <f t="shared" si="10"/>
        <v>0</v>
      </c>
      <c r="AF22" s="13">
        <f t="shared" si="10"/>
        <v>0</v>
      </c>
      <c r="AG22" s="13">
        <f t="shared" si="10"/>
        <v>0</v>
      </c>
      <c r="AH22" s="13">
        <f t="shared" si="10"/>
        <v>0</v>
      </c>
      <c r="AI22" s="13">
        <f t="shared" si="10"/>
        <v>0.6</v>
      </c>
      <c r="AJ22" s="13">
        <f t="shared" si="10"/>
        <v>2</v>
      </c>
      <c r="AK22" s="13">
        <f t="shared" si="10"/>
        <v>0</v>
      </c>
      <c r="AL22" s="13">
        <f t="shared" si="10"/>
        <v>0</v>
      </c>
      <c r="AM22" s="13">
        <f t="shared" si="10"/>
        <v>0</v>
      </c>
      <c r="AN22" s="13">
        <f t="shared" si="10"/>
        <v>0</v>
      </c>
      <c r="AO22" s="13">
        <f t="shared" si="10"/>
        <v>0.5</v>
      </c>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row>
    <row r="23" spans="1:81" s="22" customFormat="1" ht="12" x14ac:dyDescent="0.15">
      <c r="A23" s="17" t="s">
        <v>937</v>
      </c>
      <c r="B23" s="24">
        <f t="shared" si="3"/>
        <v>-8</v>
      </c>
      <c r="C23" s="19">
        <f t="shared" si="4"/>
        <v>-16</v>
      </c>
      <c r="D23" s="19">
        <f t="shared" si="5"/>
        <v>4</v>
      </c>
      <c r="E23" s="20">
        <f t="shared" si="6"/>
        <v>4</v>
      </c>
      <c r="F23" s="25">
        <f>-20+2</f>
        <v>-18</v>
      </c>
      <c r="G23" s="25"/>
      <c r="H23" s="25"/>
      <c r="I23" s="25"/>
      <c r="J23" s="25"/>
      <c r="K23" s="25"/>
      <c r="L23" s="25">
        <v>2</v>
      </c>
      <c r="M23" s="25"/>
      <c r="N23" s="25"/>
      <c r="O23" s="25"/>
      <c r="P23" s="25"/>
      <c r="Q23" s="25"/>
      <c r="R23" s="25">
        <v>2</v>
      </c>
      <c r="S23" s="25"/>
      <c r="T23" s="25"/>
      <c r="U23" s="25"/>
      <c r="V23" s="25"/>
      <c r="W23" s="25"/>
      <c r="X23" s="25">
        <v>2</v>
      </c>
      <c r="Y23" s="25"/>
      <c r="Z23" s="25"/>
      <c r="AA23" s="25"/>
      <c r="AB23" s="25"/>
      <c r="AC23" s="25"/>
      <c r="AD23" s="25">
        <v>2</v>
      </c>
      <c r="AE23" s="25"/>
      <c r="AF23" s="25"/>
      <c r="AG23" s="25"/>
      <c r="AH23" s="25"/>
      <c r="AI23" s="25"/>
      <c r="AJ23" s="25">
        <v>2</v>
      </c>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BQ23" s="25"/>
      <c r="BR23" s="25"/>
      <c r="BS23" s="25"/>
      <c r="BT23" s="25"/>
      <c r="BU23" s="25"/>
      <c r="BV23" s="25"/>
      <c r="BW23" s="25"/>
      <c r="BX23" s="25"/>
      <c r="BY23" s="25"/>
      <c r="BZ23" s="25"/>
      <c r="CA23" s="25"/>
      <c r="CB23" s="25"/>
      <c r="CC23" s="25"/>
    </row>
    <row r="24" spans="1:81" s="22" customFormat="1" ht="12" x14ac:dyDescent="0.15">
      <c r="A24" s="17" t="s">
        <v>938</v>
      </c>
      <c r="B24" s="24">
        <f t="shared" si="3"/>
        <v>4.5</v>
      </c>
      <c r="C24" s="19">
        <f t="shared" si="4"/>
        <v>1.9</v>
      </c>
      <c r="D24" s="19">
        <f t="shared" si="5"/>
        <v>1.5</v>
      </c>
      <c r="E24" s="20">
        <f t="shared" si="6"/>
        <v>1.1000000000000001</v>
      </c>
      <c r="F24" s="25"/>
      <c r="G24" s="25"/>
      <c r="H24" s="25"/>
      <c r="I24" s="25"/>
      <c r="J24" s="25"/>
      <c r="K24" s="25">
        <v>1</v>
      </c>
      <c r="L24" s="25"/>
      <c r="M24" s="25"/>
      <c r="N24" s="25"/>
      <c r="O24" s="25"/>
      <c r="P24" s="25"/>
      <c r="Q24" s="25">
        <v>0.9</v>
      </c>
      <c r="R24" s="25"/>
      <c r="S24" s="25"/>
      <c r="T24" s="25"/>
      <c r="U24" s="25"/>
      <c r="V24" s="25"/>
      <c r="W24" s="25">
        <v>0.8</v>
      </c>
      <c r="X24" s="25"/>
      <c r="Y24" s="25"/>
      <c r="Z24" s="25"/>
      <c r="AA24" s="25"/>
      <c r="AB24" s="25"/>
      <c r="AC24" s="25">
        <v>0.7</v>
      </c>
      <c r="AD24" s="25"/>
      <c r="AE24" s="25"/>
      <c r="AF24" s="25"/>
      <c r="AG24" s="25"/>
      <c r="AH24" s="25"/>
      <c r="AI24" s="25">
        <v>0.6</v>
      </c>
      <c r="AJ24" s="25"/>
      <c r="AK24" s="25"/>
      <c r="AL24" s="25"/>
      <c r="AM24" s="25"/>
      <c r="AN24" s="25"/>
      <c r="AO24" s="25">
        <v>0.5</v>
      </c>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BQ24" s="25"/>
      <c r="BR24" s="25"/>
      <c r="BS24" s="25"/>
      <c r="BT24" s="25"/>
      <c r="BU24" s="25"/>
      <c r="BV24" s="25"/>
      <c r="BW24" s="25"/>
      <c r="BX24" s="25"/>
      <c r="BY24" s="25"/>
      <c r="BZ24" s="25"/>
      <c r="CA24" s="25"/>
      <c r="CB24" s="25"/>
      <c r="CC24" s="25"/>
    </row>
    <row r="25" spans="1:81" ht="15" x14ac:dyDescent="0.15">
      <c r="A25" s="6" t="s">
        <v>932</v>
      </c>
      <c r="B25" s="26">
        <f t="shared" si="3"/>
        <v>7.5000000000000018</v>
      </c>
      <c r="C25" s="27">
        <f t="shared" si="4"/>
        <v>-29.9</v>
      </c>
      <c r="D25" s="27">
        <f t="shared" si="5"/>
        <v>18.5</v>
      </c>
      <c r="E25" s="28">
        <f t="shared" si="6"/>
        <v>18.899999999999999</v>
      </c>
      <c r="F25" s="29">
        <f>F21-F22</f>
        <v>-16</v>
      </c>
      <c r="G25" s="29">
        <f t="shared" ref="G25:AO25" si="11">G21-G22</f>
        <v>-6</v>
      </c>
      <c r="H25" s="29">
        <f t="shared" si="11"/>
        <v>-6</v>
      </c>
      <c r="I25" s="29">
        <f t="shared" si="11"/>
        <v>-14</v>
      </c>
      <c r="J25" s="29">
        <f t="shared" si="11"/>
        <v>2</v>
      </c>
      <c r="K25" s="29">
        <f t="shared" si="11"/>
        <v>1</v>
      </c>
      <c r="L25" s="29">
        <f t="shared" si="11"/>
        <v>0</v>
      </c>
      <c r="M25" s="29">
        <f t="shared" si="11"/>
        <v>2</v>
      </c>
      <c r="N25" s="29">
        <f t="shared" si="11"/>
        <v>2</v>
      </c>
      <c r="O25" s="29">
        <f t="shared" si="11"/>
        <v>2</v>
      </c>
      <c r="P25" s="29">
        <f t="shared" si="11"/>
        <v>2</v>
      </c>
      <c r="Q25" s="29">
        <f t="shared" si="11"/>
        <v>1.1000000000000001</v>
      </c>
      <c r="R25" s="29">
        <f t="shared" si="11"/>
        <v>0</v>
      </c>
      <c r="S25" s="29">
        <f t="shared" si="11"/>
        <v>2</v>
      </c>
      <c r="T25" s="29">
        <f t="shared" si="11"/>
        <v>2</v>
      </c>
      <c r="U25" s="29">
        <f t="shared" si="11"/>
        <v>2</v>
      </c>
      <c r="V25" s="29">
        <f t="shared" si="11"/>
        <v>2</v>
      </c>
      <c r="W25" s="29">
        <f t="shared" si="11"/>
        <v>1.2</v>
      </c>
      <c r="X25" s="29">
        <f t="shared" si="11"/>
        <v>0</v>
      </c>
      <c r="Y25" s="29">
        <f t="shared" si="11"/>
        <v>2</v>
      </c>
      <c r="Z25" s="29">
        <f t="shared" si="11"/>
        <v>2</v>
      </c>
      <c r="AA25" s="29">
        <f t="shared" si="11"/>
        <v>2</v>
      </c>
      <c r="AB25" s="29">
        <f t="shared" si="11"/>
        <v>2</v>
      </c>
      <c r="AC25" s="29">
        <f t="shared" si="11"/>
        <v>1.3</v>
      </c>
      <c r="AD25" s="29">
        <f t="shared" si="11"/>
        <v>0</v>
      </c>
      <c r="AE25" s="29">
        <f t="shared" si="11"/>
        <v>2</v>
      </c>
      <c r="AF25" s="29">
        <f t="shared" si="11"/>
        <v>2</v>
      </c>
      <c r="AG25" s="29">
        <f t="shared" si="11"/>
        <v>2</v>
      </c>
      <c r="AH25" s="29">
        <f t="shared" si="11"/>
        <v>2</v>
      </c>
      <c r="AI25" s="29">
        <f t="shared" si="11"/>
        <v>1.4</v>
      </c>
      <c r="AJ25" s="29">
        <f t="shared" si="11"/>
        <v>0</v>
      </c>
      <c r="AK25" s="29">
        <f t="shared" si="11"/>
        <v>2</v>
      </c>
      <c r="AL25" s="29">
        <f t="shared" si="11"/>
        <v>2</v>
      </c>
      <c r="AM25" s="29">
        <f t="shared" si="11"/>
        <v>2</v>
      </c>
      <c r="AN25" s="29">
        <f t="shared" si="11"/>
        <v>2</v>
      </c>
      <c r="AO25" s="29">
        <f t="shared" si="11"/>
        <v>1.5</v>
      </c>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29"/>
      <c r="BV25" s="29"/>
      <c r="BW25" s="29"/>
      <c r="BX25" s="29"/>
      <c r="BY25" s="29"/>
      <c r="BZ25" s="29"/>
      <c r="CA25" s="29"/>
      <c r="CB25" s="29"/>
      <c r="CC25" s="29"/>
    </row>
    <row r="27" spans="1:81" ht="15" x14ac:dyDescent="0.15">
      <c r="A27" s="359" t="s">
        <v>939</v>
      </c>
      <c r="B27" s="366" t="s">
        <v>936</v>
      </c>
      <c r="C27" s="343">
        <v>1</v>
      </c>
      <c r="D27" s="343">
        <v>2</v>
      </c>
      <c r="E27" s="343">
        <v>3</v>
      </c>
      <c r="F27" s="5"/>
      <c r="G27" s="5"/>
      <c r="H27" s="5"/>
      <c r="I27" s="5"/>
    </row>
    <row r="28" spans="1:81" ht="15" x14ac:dyDescent="0.15">
      <c r="A28" s="6" t="s">
        <v>1125</v>
      </c>
      <c r="B28" s="11">
        <f t="shared" ref="B28:B39" si="12">SUM(C28:I28)</f>
        <v>384</v>
      </c>
      <c r="C28" s="29">
        <f t="shared" ref="C28:E39" si="13">SUMIF($F$12:$CB$12,C$27,$F14:$CB14)</f>
        <v>96</v>
      </c>
      <c r="D28" s="29">
        <f t="shared" si="13"/>
        <v>144</v>
      </c>
      <c r="E28" s="29">
        <f t="shared" si="13"/>
        <v>144</v>
      </c>
      <c r="F28" s="29"/>
      <c r="G28" s="29"/>
      <c r="H28" s="29"/>
      <c r="I28" s="29"/>
    </row>
    <row r="29" spans="1:81" ht="15" x14ac:dyDescent="0.15">
      <c r="A29" s="6" t="s">
        <v>927</v>
      </c>
      <c r="B29" s="30">
        <f t="shared" si="12"/>
        <v>350</v>
      </c>
      <c r="C29" s="29">
        <f t="shared" si="13"/>
        <v>110</v>
      </c>
      <c r="D29" s="29">
        <f t="shared" si="13"/>
        <v>120</v>
      </c>
      <c r="E29" s="29">
        <f t="shared" si="13"/>
        <v>120</v>
      </c>
      <c r="F29" s="29"/>
      <c r="G29" s="29"/>
      <c r="H29" s="29"/>
      <c r="I29" s="29"/>
    </row>
    <row r="30" spans="1:81" s="22" customFormat="1" ht="12" x14ac:dyDescent="0.15">
      <c r="A30" s="17" t="s">
        <v>1148</v>
      </c>
      <c r="B30" s="24"/>
      <c r="C30" s="25">
        <f t="shared" si="13"/>
        <v>40</v>
      </c>
      <c r="D30" s="25">
        <f t="shared" si="13"/>
        <v>48</v>
      </c>
      <c r="E30" s="25">
        <f t="shared" si="13"/>
        <v>48</v>
      </c>
      <c r="F30" s="25"/>
      <c r="G30" s="25"/>
      <c r="H30" s="25"/>
      <c r="I30" s="25"/>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row>
    <row r="31" spans="1:81" s="22" customFormat="1" ht="12" x14ac:dyDescent="0.15">
      <c r="A31" s="17" t="s">
        <v>935</v>
      </c>
      <c r="B31" s="24"/>
      <c r="C31" s="25">
        <f t="shared" si="13"/>
        <v>22</v>
      </c>
      <c r="D31" s="25">
        <f t="shared" si="13"/>
        <v>24</v>
      </c>
      <c r="E31" s="25">
        <f t="shared" si="13"/>
        <v>24</v>
      </c>
      <c r="F31" s="25"/>
      <c r="G31" s="25"/>
      <c r="H31" s="25"/>
      <c r="I31" s="25"/>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row>
    <row r="32" spans="1:81" s="22" customFormat="1" ht="12" x14ac:dyDescent="0.15">
      <c r="A32" s="17" t="s">
        <v>934</v>
      </c>
      <c r="B32" s="24"/>
      <c r="C32" s="25">
        <f t="shared" si="13"/>
        <v>48</v>
      </c>
      <c r="D32" s="25">
        <f t="shared" si="13"/>
        <v>48</v>
      </c>
      <c r="E32" s="25">
        <f t="shared" si="13"/>
        <v>48</v>
      </c>
      <c r="F32" s="25"/>
      <c r="G32" s="25"/>
      <c r="H32" s="25"/>
      <c r="I32" s="25"/>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row>
    <row r="33" spans="1:78" ht="15" x14ac:dyDescent="0.15">
      <c r="A33" s="4" t="s">
        <v>928</v>
      </c>
      <c r="B33" s="30">
        <f t="shared" si="12"/>
        <v>34</v>
      </c>
      <c r="C33" s="29">
        <f t="shared" si="13"/>
        <v>-14</v>
      </c>
      <c r="D33" s="29">
        <f t="shared" si="13"/>
        <v>24</v>
      </c>
      <c r="E33" s="29">
        <f t="shared" si="13"/>
        <v>24</v>
      </c>
      <c r="F33" s="29"/>
      <c r="G33" s="29"/>
      <c r="H33" s="29"/>
      <c r="I33" s="29"/>
    </row>
    <row r="34" spans="1:78" ht="15" x14ac:dyDescent="0.15">
      <c r="A34" s="6" t="s">
        <v>929</v>
      </c>
      <c r="B34" s="30">
        <f t="shared" si="12"/>
        <v>-30</v>
      </c>
      <c r="C34" s="29">
        <f t="shared" si="13"/>
        <v>-30</v>
      </c>
      <c r="D34" s="29">
        <f t="shared" si="13"/>
        <v>0</v>
      </c>
      <c r="E34" s="29">
        <f t="shared" si="13"/>
        <v>0</v>
      </c>
      <c r="F34" s="29"/>
      <c r="G34" s="29"/>
      <c r="H34" s="29"/>
      <c r="I34" s="29"/>
    </row>
    <row r="35" spans="1:78" ht="15" x14ac:dyDescent="0.15">
      <c r="A35" s="4" t="s">
        <v>930</v>
      </c>
      <c r="B35" s="30">
        <f t="shared" si="12"/>
        <v>4</v>
      </c>
      <c r="C35" s="29">
        <f t="shared" si="13"/>
        <v>-44</v>
      </c>
      <c r="D35" s="29">
        <f t="shared" si="13"/>
        <v>24</v>
      </c>
      <c r="E35" s="29">
        <f t="shared" si="13"/>
        <v>24</v>
      </c>
      <c r="F35" s="29"/>
      <c r="G35" s="29"/>
      <c r="H35" s="29"/>
      <c r="I35" s="29"/>
    </row>
    <row r="36" spans="1:78" ht="15" x14ac:dyDescent="0.15">
      <c r="A36" s="6" t="s">
        <v>931</v>
      </c>
      <c r="B36" s="30">
        <f t="shared" si="12"/>
        <v>-3.5</v>
      </c>
      <c r="C36" s="29">
        <f t="shared" si="13"/>
        <v>-14.1</v>
      </c>
      <c r="D36" s="29">
        <f t="shared" si="13"/>
        <v>5.5</v>
      </c>
      <c r="E36" s="29">
        <f t="shared" si="13"/>
        <v>5.0999999999999996</v>
      </c>
      <c r="F36" s="29"/>
      <c r="G36" s="29"/>
      <c r="H36" s="29"/>
      <c r="I36" s="29"/>
    </row>
    <row r="37" spans="1:78" s="22" customFormat="1" ht="12" x14ac:dyDescent="0.15">
      <c r="A37" s="17" t="s">
        <v>937</v>
      </c>
      <c r="B37" s="24"/>
      <c r="C37" s="25">
        <f t="shared" si="13"/>
        <v>-16</v>
      </c>
      <c r="D37" s="25">
        <f t="shared" si="13"/>
        <v>4</v>
      </c>
      <c r="E37" s="25">
        <f t="shared" si="13"/>
        <v>4</v>
      </c>
      <c r="F37" s="25"/>
      <c r="G37" s="25"/>
      <c r="H37" s="25"/>
      <c r="I37" s="25"/>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row>
    <row r="38" spans="1:78" s="22" customFormat="1" ht="12" x14ac:dyDescent="0.15">
      <c r="A38" s="17" t="s">
        <v>938</v>
      </c>
      <c r="B38" s="24"/>
      <c r="C38" s="25">
        <f t="shared" si="13"/>
        <v>1.9</v>
      </c>
      <c r="D38" s="25">
        <f t="shared" si="13"/>
        <v>1.5</v>
      </c>
      <c r="E38" s="25">
        <f t="shared" si="13"/>
        <v>1.1000000000000001</v>
      </c>
      <c r="F38" s="25"/>
      <c r="G38" s="25"/>
      <c r="H38" s="25"/>
      <c r="I38" s="25"/>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row>
    <row r="39" spans="1:78" ht="15" x14ac:dyDescent="0.15">
      <c r="A39" s="6" t="s">
        <v>932</v>
      </c>
      <c r="B39" s="32">
        <f t="shared" si="12"/>
        <v>7.5</v>
      </c>
      <c r="C39" s="29">
        <f t="shared" si="13"/>
        <v>-29.9</v>
      </c>
      <c r="D39" s="29">
        <f t="shared" si="13"/>
        <v>18.5</v>
      </c>
      <c r="E39" s="29">
        <f t="shared" si="13"/>
        <v>18.899999999999999</v>
      </c>
      <c r="F39" s="29"/>
      <c r="G39" s="29"/>
      <c r="H39" s="29"/>
      <c r="I39" s="29"/>
    </row>
  </sheetData>
  <phoneticPr fontId="4" type="noConversion"/>
  <pageMargins left="0.78740157480314965" right="0.78740157480314965" top="0.98425196850393704" bottom="0.98425196850393704" header="0.51181102362204722" footer="0.51181102362204722"/>
  <pageSetup paperSize="9" fitToHeight="4"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1">
    <pageSetUpPr fitToPage="1"/>
  </sheetPr>
  <dimension ref="A1:F22"/>
  <sheetViews>
    <sheetView showGridLines="0" workbookViewId="0"/>
  </sheetViews>
  <sheetFormatPr baseColWidth="10" defaultColWidth="11" defaultRowHeight="14" x14ac:dyDescent="0.15"/>
  <cols>
    <col min="1" max="1" width="32.1640625" style="3" customWidth="1"/>
    <col min="2" max="16384" width="11" style="3"/>
  </cols>
  <sheetData>
    <row r="1" spans="1:6" ht="15" x14ac:dyDescent="0.15">
      <c r="A1" s="1" t="s">
        <v>1227</v>
      </c>
    </row>
    <row r="2" spans="1:6" x14ac:dyDescent="0.15">
      <c r="A2" s="342"/>
      <c r="B2" s="343">
        <v>1</v>
      </c>
      <c r="C2" s="343">
        <v>2</v>
      </c>
      <c r="D2" s="343">
        <v>3</v>
      </c>
      <c r="E2" s="343">
        <v>4</v>
      </c>
      <c r="F2" s="343">
        <v>5</v>
      </c>
    </row>
    <row r="3" spans="1:6" x14ac:dyDescent="0.15">
      <c r="A3" s="3" t="s">
        <v>175</v>
      </c>
      <c r="B3" s="166">
        <v>100</v>
      </c>
      <c r="C3" s="166">
        <v>110</v>
      </c>
      <c r="D3" s="166">
        <v>120</v>
      </c>
      <c r="E3" s="166">
        <v>130</v>
      </c>
      <c r="F3" s="166">
        <v>140</v>
      </c>
    </row>
    <row r="4" spans="1:6" x14ac:dyDescent="0.15">
      <c r="A4" s="3" t="s">
        <v>176</v>
      </c>
      <c r="B4" s="166">
        <v>200</v>
      </c>
      <c r="C4" s="166">
        <v>225</v>
      </c>
      <c r="D4" s="166">
        <v>250</v>
      </c>
      <c r="E4" s="166">
        <v>280</v>
      </c>
      <c r="F4" s="166">
        <v>315</v>
      </c>
    </row>
    <row r="5" spans="1:6" x14ac:dyDescent="0.15">
      <c r="A5" s="3" t="s">
        <v>1196</v>
      </c>
      <c r="B5" s="166" t="s">
        <v>177</v>
      </c>
      <c r="C5" s="166">
        <v>40</v>
      </c>
      <c r="D5" s="166">
        <v>44</v>
      </c>
      <c r="E5" s="166">
        <v>48</v>
      </c>
      <c r="F5" s="166">
        <v>52</v>
      </c>
    </row>
    <row r="6" spans="1:6" x14ac:dyDescent="0.15">
      <c r="A6" s="3" t="s">
        <v>979</v>
      </c>
      <c r="B6" s="166" t="s">
        <v>177</v>
      </c>
      <c r="C6" s="166">
        <v>10</v>
      </c>
      <c r="D6" s="166">
        <v>11</v>
      </c>
      <c r="E6" s="166">
        <v>12</v>
      </c>
      <c r="F6" s="166">
        <v>13</v>
      </c>
    </row>
    <row r="7" spans="1:6" x14ac:dyDescent="0.15">
      <c r="A7" s="3" t="s">
        <v>1175</v>
      </c>
      <c r="B7" s="166" t="s">
        <v>177</v>
      </c>
      <c r="C7" s="166">
        <v>15</v>
      </c>
      <c r="D7" s="166">
        <v>17</v>
      </c>
      <c r="E7" s="166">
        <v>19</v>
      </c>
      <c r="F7" s="166">
        <v>22</v>
      </c>
    </row>
    <row r="8" spans="1:6" x14ac:dyDescent="0.15">
      <c r="A8" s="3" t="s">
        <v>1011</v>
      </c>
      <c r="B8" s="166" t="s">
        <v>177</v>
      </c>
      <c r="C8" s="166">
        <v>7.5</v>
      </c>
      <c r="D8" s="166">
        <v>8</v>
      </c>
      <c r="E8" s="166">
        <v>8</v>
      </c>
      <c r="F8" s="166">
        <v>8.5</v>
      </c>
    </row>
    <row r="9" spans="1:6" x14ac:dyDescent="0.15">
      <c r="A9" s="3" t="s">
        <v>1013</v>
      </c>
      <c r="B9" s="166">
        <v>5</v>
      </c>
      <c r="C9" s="166">
        <v>5</v>
      </c>
      <c r="D9" s="166">
        <v>5</v>
      </c>
      <c r="E9" s="166">
        <v>6</v>
      </c>
      <c r="F9" s="166">
        <v>6</v>
      </c>
    </row>
    <row r="11" spans="1:6" x14ac:dyDescent="0.15">
      <c r="A11" s="7" t="s">
        <v>178</v>
      </c>
      <c r="C11" s="5">
        <f>C2</f>
        <v>2</v>
      </c>
      <c r="D11" s="5">
        <f>D2</f>
        <v>3</v>
      </c>
      <c r="E11" s="5">
        <f>E2</f>
        <v>4</v>
      </c>
      <c r="F11" s="5">
        <f>F2</f>
        <v>5</v>
      </c>
    </row>
    <row r="12" spans="1:6" x14ac:dyDescent="0.15">
      <c r="A12" s="3" t="s">
        <v>1158</v>
      </c>
      <c r="C12" s="251">
        <f>C5-C7-C8</f>
        <v>17.5</v>
      </c>
      <c r="D12" s="166">
        <f>D5-D7-D8</f>
        <v>19</v>
      </c>
      <c r="E12" s="166">
        <f>E5-E7-E8</f>
        <v>21</v>
      </c>
      <c r="F12" s="251">
        <f>F5-F7-F8</f>
        <v>21.5</v>
      </c>
    </row>
    <row r="13" spans="1:6" x14ac:dyDescent="0.15">
      <c r="A13" s="88" t="s">
        <v>348</v>
      </c>
      <c r="B13" s="88"/>
      <c r="C13" s="169">
        <f>C4-B4</f>
        <v>25</v>
      </c>
      <c r="D13" s="169">
        <f>D4-C4</f>
        <v>25</v>
      </c>
      <c r="E13" s="169">
        <f>E4-D4</f>
        <v>30</v>
      </c>
      <c r="F13" s="169">
        <f>F4-E4</f>
        <v>35</v>
      </c>
    </row>
    <row r="14" spans="1:6" ht="15" x14ac:dyDescent="0.15">
      <c r="A14" s="6" t="s">
        <v>179</v>
      </c>
      <c r="B14" s="251"/>
      <c r="C14" s="251">
        <f>C12-C13</f>
        <v>-7.5</v>
      </c>
      <c r="D14" s="251">
        <f>D12-D13</f>
        <v>-6</v>
      </c>
      <c r="E14" s="251">
        <f>E12-E13</f>
        <v>-9</v>
      </c>
      <c r="F14" s="251">
        <f>F12-F13</f>
        <v>-13.5</v>
      </c>
    </row>
    <row r="15" spans="1:6" x14ac:dyDescent="0.15">
      <c r="A15" s="3" t="s">
        <v>180</v>
      </c>
      <c r="B15" s="251"/>
      <c r="C15" s="166">
        <f>C3-B3+C6</f>
        <v>20</v>
      </c>
      <c r="D15" s="166">
        <f>D3-C3+D6</f>
        <v>21</v>
      </c>
      <c r="E15" s="166">
        <f>E3-D3+E6</f>
        <v>22</v>
      </c>
      <c r="F15" s="166">
        <f>F3-E3+F6</f>
        <v>23</v>
      </c>
    </row>
    <row r="16" spans="1:6" x14ac:dyDescent="0.15">
      <c r="A16" s="3" t="s">
        <v>181</v>
      </c>
      <c r="B16" s="251"/>
      <c r="C16" s="166"/>
      <c r="D16" s="166"/>
      <c r="E16" s="166"/>
      <c r="F16" s="166"/>
    </row>
    <row r="17" spans="1:6" x14ac:dyDescent="0.15">
      <c r="A17" s="3" t="s">
        <v>57</v>
      </c>
      <c r="B17" s="251"/>
      <c r="C17" s="166">
        <f>B9</f>
        <v>5</v>
      </c>
      <c r="D17" s="166">
        <f>C9</f>
        <v>5</v>
      </c>
      <c r="E17" s="166">
        <f>D9</f>
        <v>5</v>
      </c>
      <c r="F17" s="166">
        <f>E9</f>
        <v>6</v>
      </c>
    </row>
    <row r="18" spans="1:6" x14ac:dyDescent="0.15">
      <c r="B18" s="251"/>
      <c r="C18" s="251"/>
      <c r="D18" s="251"/>
      <c r="E18" s="251"/>
      <c r="F18" s="251"/>
    </row>
    <row r="19" spans="1:6" ht="15" x14ac:dyDescent="0.15">
      <c r="A19" s="6" t="s">
        <v>182</v>
      </c>
      <c r="B19" s="251"/>
      <c r="C19" s="251">
        <f>C14-C15+C16-C17</f>
        <v>-32.5</v>
      </c>
      <c r="D19" s="251">
        <f>D14-D15+D16-D17</f>
        <v>-32</v>
      </c>
      <c r="E19" s="251">
        <f>E14-E15+E16-E17</f>
        <v>-36</v>
      </c>
      <c r="F19" s="251">
        <f>F14-F15+F16-F17</f>
        <v>-42.5</v>
      </c>
    </row>
    <row r="20" spans="1:6" x14ac:dyDescent="0.15">
      <c r="A20" s="6"/>
      <c r="B20" s="251"/>
      <c r="C20" s="251"/>
      <c r="D20" s="251"/>
      <c r="E20" s="251"/>
      <c r="F20" s="251"/>
    </row>
    <row r="21" spans="1:6" ht="15" x14ac:dyDescent="0.15">
      <c r="A21" s="8" t="s">
        <v>1693</v>
      </c>
    </row>
    <row r="22" spans="1:6" x14ac:dyDescent="0.15">
      <c r="A22" s="3" t="s">
        <v>1435</v>
      </c>
    </row>
  </sheetData>
  <phoneticPr fontId="4" type="noConversion"/>
  <pageMargins left="0.78740157480314965" right="0.78740157480314965" top="0.98425196850393704" bottom="0.98425196850393704" header="0.51181102362204722" footer="0.51181102362204722"/>
  <pageSetup paperSize="9" scale="74" fitToHeight="2"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2">
    <pageSetUpPr fitToPage="1"/>
  </sheetPr>
  <dimension ref="A1:F125"/>
  <sheetViews>
    <sheetView showGridLines="0" tabSelected="1" topLeftCell="A3" workbookViewId="0">
      <selection activeCell="C9" sqref="C9"/>
    </sheetView>
  </sheetViews>
  <sheetFormatPr baseColWidth="10" defaultColWidth="11" defaultRowHeight="14" x14ac:dyDescent="0.15"/>
  <cols>
    <col min="1" max="1" width="54.1640625" style="3" customWidth="1"/>
    <col min="2" max="2" width="24.1640625" style="3" bestFit="1" customWidth="1"/>
    <col min="3" max="3" width="11" style="3"/>
    <col min="4" max="4" width="22.6640625" style="3" bestFit="1" customWidth="1"/>
    <col min="5" max="16384" width="11" style="3"/>
  </cols>
  <sheetData>
    <row r="1" spans="1:5" x14ac:dyDescent="0.15">
      <c r="A1" s="7" t="s">
        <v>1382</v>
      </c>
    </row>
    <row r="3" spans="1:5" x14ac:dyDescent="0.15">
      <c r="A3" s="317" t="s">
        <v>1712</v>
      </c>
      <c r="B3" s="343"/>
      <c r="C3" s="431" t="s">
        <v>949</v>
      </c>
      <c r="D3" s="431"/>
      <c r="E3" s="431" t="s">
        <v>948</v>
      </c>
    </row>
    <row r="4" spans="1:5" ht="15" x14ac:dyDescent="0.15">
      <c r="A4" s="348"/>
      <c r="B4" s="343"/>
      <c r="C4" s="431" t="s">
        <v>1707</v>
      </c>
      <c r="D4" s="431"/>
      <c r="E4" s="431" t="s">
        <v>950</v>
      </c>
    </row>
    <row r="5" spans="1:5" x14ac:dyDescent="0.15">
      <c r="A5" s="265" t="s">
        <v>1171</v>
      </c>
      <c r="B5" s="266"/>
      <c r="C5" s="450">
        <v>44.1</v>
      </c>
      <c r="D5" s="450"/>
      <c r="E5" s="450">
        <v>89.1</v>
      </c>
    </row>
    <row r="6" spans="1:5" x14ac:dyDescent="0.15">
      <c r="A6" s="3" t="s">
        <v>1098</v>
      </c>
      <c r="B6" s="267"/>
      <c r="C6" s="451">
        <v>-11.3</v>
      </c>
      <c r="D6" s="451"/>
      <c r="E6" s="451">
        <v>-48.9</v>
      </c>
    </row>
    <row r="7" spans="1:5" x14ac:dyDescent="0.15">
      <c r="A7" s="265" t="s">
        <v>340</v>
      </c>
      <c r="B7" s="266"/>
      <c r="C7" s="467">
        <f>+C5+C6</f>
        <v>32.799999999999997</v>
      </c>
      <c r="D7" s="450"/>
      <c r="E7" s="467">
        <f>+E5+E6</f>
        <v>40.199999999999996</v>
      </c>
    </row>
    <row r="8" spans="1:5" x14ac:dyDescent="0.15">
      <c r="A8" s="3" t="s">
        <v>1670</v>
      </c>
      <c r="B8" s="267"/>
      <c r="C8" s="451">
        <v>-14.2</v>
      </c>
      <c r="D8" s="451"/>
      <c r="E8" s="451">
        <v>-23.1</v>
      </c>
    </row>
    <row r="9" spans="1:5" x14ac:dyDescent="0.15">
      <c r="A9" s="3" t="s">
        <v>1317</v>
      </c>
      <c r="B9" s="267"/>
      <c r="C9" s="451">
        <v>-8.3000000000000007</v>
      </c>
      <c r="D9" s="451"/>
      <c r="E9" s="451">
        <v>-5</v>
      </c>
    </row>
    <row r="10" spans="1:5" x14ac:dyDescent="0.15">
      <c r="A10" s="3" t="s">
        <v>1325</v>
      </c>
      <c r="B10" s="267"/>
      <c r="C10" s="451">
        <v>-1.4</v>
      </c>
      <c r="D10" s="451"/>
      <c r="E10" s="451">
        <v>0</v>
      </c>
    </row>
    <row r="11" spans="1:5" x14ac:dyDescent="0.15">
      <c r="A11" s="3" t="s">
        <v>1318</v>
      </c>
      <c r="B11" s="267"/>
      <c r="C11" s="451">
        <v>-0.5</v>
      </c>
      <c r="D11" s="451"/>
      <c r="E11" s="451">
        <v>0.5</v>
      </c>
    </row>
    <row r="12" spans="1:5" x14ac:dyDescent="0.15">
      <c r="A12" s="3" t="s">
        <v>1694</v>
      </c>
      <c r="B12" s="267"/>
      <c r="C12" s="451">
        <v>0</v>
      </c>
      <c r="D12" s="451"/>
      <c r="E12" s="451">
        <v>0.7</v>
      </c>
    </row>
    <row r="13" spans="1:5" x14ac:dyDescent="0.15">
      <c r="A13" s="265" t="s">
        <v>1319</v>
      </c>
      <c r="B13" s="266"/>
      <c r="C13" s="467">
        <f>SUM(C7:C12)</f>
        <v>8.3999999999999968</v>
      </c>
      <c r="D13" s="450"/>
      <c r="E13" s="467">
        <f>SUM(E7:E12)</f>
        <v>13.299999999999994</v>
      </c>
    </row>
    <row r="14" spans="1:5" x14ac:dyDescent="0.15">
      <c r="A14" s="3" t="s">
        <v>1175</v>
      </c>
      <c r="B14" s="267"/>
      <c r="C14" s="451">
        <v>-0.4</v>
      </c>
      <c r="D14" s="451"/>
      <c r="E14" s="451">
        <v>-3.5</v>
      </c>
    </row>
    <row r="15" spans="1:5" x14ac:dyDescent="0.15">
      <c r="A15" s="3" t="s">
        <v>1195</v>
      </c>
      <c r="B15" s="267"/>
      <c r="C15" s="451">
        <v>0.2</v>
      </c>
      <c r="D15" s="451"/>
      <c r="E15" s="451">
        <v>1.1000000000000001</v>
      </c>
    </row>
    <row r="16" spans="1:5" x14ac:dyDescent="0.15">
      <c r="A16" s="3" t="s">
        <v>1695</v>
      </c>
      <c r="B16" s="267"/>
      <c r="C16" s="451">
        <v>0.4</v>
      </c>
      <c r="D16" s="451"/>
      <c r="E16" s="451">
        <v>0</v>
      </c>
    </row>
    <row r="17" spans="1:5" x14ac:dyDescent="0.15">
      <c r="A17" s="265" t="s">
        <v>1043</v>
      </c>
      <c r="B17" s="266"/>
      <c r="C17" s="467">
        <f>C13+C14+C15+C16</f>
        <v>8.5999999999999961</v>
      </c>
      <c r="D17" s="450"/>
      <c r="E17" s="467">
        <f>E13+E14+E15+E16</f>
        <v>10.899999999999993</v>
      </c>
    </row>
    <row r="18" spans="1:5" x14ac:dyDescent="0.15">
      <c r="A18" s="3" t="s">
        <v>1506</v>
      </c>
      <c r="B18" s="267"/>
      <c r="C18" s="451">
        <v>0</v>
      </c>
      <c r="D18" s="451"/>
      <c r="E18" s="451">
        <v>-1.9</v>
      </c>
    </row>
    <row r="19" spans="1:5" x14ac:dyDescent="0.15">
      <c r="A19" s="3" t="s">
        <v>200</v>
      </c>
      <c r="B19" s="267"/>
      <c r="C19" s="451">
        <v>-2.4</v>
      </c>
      <c r="D19" s="451"/>
      <c r="E19" s="451">
        <v>-2.1</v>
      </c>
    </row>
    <row r="20" spans="1:5" x14ac:dyDescent="0.15">
      <c r="A20" s="88" t="s">
        <v>1224</v>
      </c>
      <c r="B20" s="268"/>
      <c r="C20" s="452">
        <v>0</v>
      </c>
      <c r="D20" s="452"/>
      <c r="E20" s="452">
        <v>-1</v>
      </c>
    </row>
    <row r="21" spans="1:5" x14ac:dyDescent="0.15">
      <c r="A21" s="7" t="s">
        <v>1276</v>
      </c>
      <c r="B21" s="270"/>
      <c r="C21" s="453">
        <f>C17+C18+C19+C20</f>
        <v>6.1999999999999957</v>
      </c>
      <c r="D21" s="453"/>
      <c r="E21" s="453">
        <f>E17+E18+E19+E20</f>
        <v>5.8999999999999932</v>
      </c>
    </row>
    <row r="22" spans="1:5" x14ac:dyDescent="0.15">
      <c r="A22" s="7"/>
      <c r="B22" s="269"/>
      <c r="C22" s="454"/>
      <c r="D22" s="454"/>
      <c r="E22" s="454"/>
    </row>
    <row r="23" spans="1:5" ht="15" x14ac:dyDescent="0.15">
      <c r="A23" s="317" t="s">
        <v>1713</v>
      </c>
      <c r="B23" s="343"/>
      <c r="C23" s="431" t="s">
        <v>949</v>
      </c>
      <c r="D23" s="449"/>
      <c r="E23" s="449" t="s">
        <v>948</v>
      </c>
    </row>
    <row r="24" spans="1:5" x14ac:dyDescent="0.15">
      <c r="A24" s="342"/>
      <c r="B24" s="343"/>
      <c r="C24" s="431" t="s">
        <v>1707</v>
      </c>
      <c r="D24" s="431"/>
      <c r="E24" s="431" t="s">
        <v>950</v>
      </c>
    </row>
    <row r="25" spans="1:5" x14ac:dyDescent="0.15">
      <c r="A25" s="103" t="s">
        <v>1408</v>
      </c>
      <c r="B25" s="267"/>
      <c r="C25" s="451">
        <v>14.5</v>
      </c>
      <c r="D25" s="451"/>
      <c r="E25" s="451">
        <v>59.3</v>
      </c>
    </row>
    <row r="26" spans="1:5" x14ac:dyDescent="0.15">
      <c r="A26" s="3" t="s">
        <v>1326</v>
      </c>
      <c r="B26" s="267"/>
      <c r="C26" s="451">
        <v>5.0999999999999996</v>
      </c>
      <c r="D26" s="451"/>
      <c r="E26" s="451">
        <v>23.9</v>
      </c>
    </row>
    <row r="27" spans="1:5" x14ac:dyDescent="0.15">
      <c r="A27" s="3" t="s">
        <v>1178</v>
      </c>
      <c r="B27" s="267"/>
      <c r="C27" s="451">
        <v>4.2</v>
      </c>
      <c r="D27" s="451"/>
      <c r="E27" s="451">
        <v>32.799999999999997</v>
      </c>
    </row>
    <row r="28" spans="1:5" x14ac:dyDescent="0.15">
      <c r="A28" s="3" t="s">
        <v>1676</v>
      </c>
      <c r="B28" s="267"/>
      <c r="C28" s="451">
        <v>13.3</v>
      </c>
      <c r="D28" s="451"/>
      <c r="E28" s="451">
        <v>4.3</v>
      </c>
    </row>
    <row r="29" spans="1:5" x14ac:dyDescent="0.15">
      <c r="A29" s="3" t="s">
        <v>1320</v>
      </c>
      <c r="B29" s="267"/>
      <c r="C29" s="451"/>
      <c r="D29" s="451"/>
      <c r="E29" s="451">
        <v>2.6</v>
      </c>
    </row>
    <row r="30" spans="1:5" x14ac:dyDescent="0.15">
      <c r="A30" s="3" t="s">
        <v>1570</v>
      </c>
      <c r="B30" s="267"/>
      <c r="C30" s="451">
        <v>1</v>
      </c>
      <c r="D30" s="451"/>
      <c r="E30" s="451">
        <v>2.5</v>
      </c>
    </row>
    <row r="31" spans="1:5" x14ac:dyDescent="0.15">
      <c r="A31" s="265" t="s">
        <v>203</v>
      </c>
      <c r="B31" s="266"/>
      <c r="C31" s="450">
        <f>+C28+C27+C25+C26+C30</f>
        <v>38.1</v>
      </c>
      <c r="D31" s="450"/>
      <c r="E31" s="450">
        <f>+E28+E27+E25+E26+E30+E29</f>
        <v>125.39999999999998</v>
      </c>
    </row>
    <row r="32" spans="1:5" x14ac:dyDescent="0.15">
      <c r="A32" s="3" t="s">
        <v>1185</v>
      </c>
      <c r="B32" s="267"/>
      <c r="C32" s="451">
        <v>4.5</v>
      </c>
      <c r="D32" s="451"/>
      <c r="E32" s="451">
        <v>7.1</v>
      </c>
    </row>
    <row r="33" spans="1:5" x14ac:dyDescent="0.15">
      <c r="A33" s="3" t="s">
        <v>325</v>
      </c>
      <c r="B33" s="267"/>
      <c r="C33" s="451">
        <v>5.5</v>
      </c>
      <c r="D33" s="451"/>
      <c r="E33" s="451">
        <v>8.6</v>
      </c>
    </row>
    <row r="34" spans="1:5" x14ac:dyDescent="0.15">
      <c r="A34" s="3" t="s">
        <v>204</v>
      </c>
      <c r="B34" s="267"/>
      <c r="C34" s="451">
        <v>2.2999999999999998</v>
      </c>
      <c r="D34" s="451"/>
      <c r="E34" s="451">
        <v>3.4</v>
      </c>
    </row>
    <row r="35" spans="1:5" x14ac:dyDescent="0.15">
      <c r="A35" s="3" t="s">
        <v>1327</v>
      </c>
      <c r="B35" s="267"/>
      <c r="C35" s="451">
        <v>9.9</v>
      </c>
      <c r="D35" s="451"/>
      <c r="E35" s="451">
        <v>9.6</v>
      </c>
    </row>
    <row r="36" spans="1:5" x14ac:dyDescent="0.15">
      <c r="A36" s="246" t="s">
        <v>1671</v>
      </c>
      <c r="B36" s="272"/>
      <c r="C36" s="455">
        <f>SUM(C32:C35)</f>
        <v>22.200000000000003</v>
      </c>
      <c r="D36" s="455"/>
      <c r="E36" s="455">
        <f>SUM(E32:E35)</f>
        <v>28.699999999999996</v>
      </c>
    </row>
    <row r="37" spans="1:5" x14ac:dyDescent="0.15">
      <c r="A37" s="246" t="s">
        <v>1672</v>
      </c>
      <c r="B37" s="272"/>
      <c r="C37" s="455">
        <f>+C36+C31</f>
        <v>60.300000000000004</v>
      </c>
      <c r="D37" s="455"/>
      <c r="E37" s="455">
        <f>+E36+E31</f>
        <v>154.09999999999997</v>
      </c>
    </row>
    <row r="38" spans="1:5" x14ac:dyDescent="0.15">
      <c r="A38" s="3" t="s">
        <v>205</v>
      </c>
      <c r="B38" s="267"/>
      <c r="C38" s="451">
        <v>35.4</v>
      </c>
      <c r="D38" s="451"/>
      <c r="E38" s="451">
        <v>27.7</v>
      </c>
    </row>
    <row r="39" spans="1:5" x14ac:dyDescent="0.15">
      <c r="A39" s="3" t="s">
        <v>1224</v>
      </c>
      <c r="B39" s="267"/>
      <c r="C39" s="451">
        <v>0</v>
      </c>
      <c r="D39" s="451"/>
      <c r="E39" s="451">
        <v>2.9</v>
      </c>
    </row>
    <row r="40" spans="1:5" x14ac:dyDescent="0.15">
      <c r="A40" s="246" t="s">
        <v>1189</v>
      </c>
      <c r="B40" s="272"/>
      <c r="C40" s="455">
        <f>+C38+C39</f>
        <v>35.4</v>
      </c>
      <c r="D40" s="455"/>
      <c r="E40" s="455">
        <f>+E38+E39</f>
        <v>30.599999999999998</v>
      </c>
    </row>
    <row r="41" spans="1:5" x14ac:dyDescent="0.15">
      <c r="A41" s="3" t="s">
        <v>1323</v>
      </c>
      <c r="B41" s="267"/>
      <c r="C41" s="451">
        <v>0.7</v>
      </c>
      <c r="D41" s="451"/>
      <c r="E41" s="451">
        <v>0.3</v>
      </c>
    </row>
    <row r="42" spans="1:5" x14ac:dyDescent="0.15">
      <c r="A42" s="3" t="s">
        <v>1673</v>
      </c>
      <c r="B42" s="267"/>
      <c r="C42" s="451">
        <v>0.3</v>
      </c>
      <c r="D42" s="451"/>
      <c r="E42" s="451">
        <v>2.6</v>
      </c>
    </row>
    <row r="43" spans="1:5" x14ac:dyDescent="0.15">
      <c r="A43" s="3" t="s">
        <v>1324</v>
      </c>
      <c r="B43" s="267"/>
      <c r="C43" s="451">
        <v>1</v>
      </c>
      <c r="D43" s="451"/>
      <c r="E43" s="451">
        <v>8.6999999999999993</v>
      </c>
    </row>
    <row r="44" spans="1:5" x14ac:dyDescent="0.15">
      <c r="A44" s="3" t="s">
        <v>206</v>
      </c>
      <c r="B44" s="267"/>
      <c r="C44" s="451">
        <v>8.1</v>
      </c>
      <c r="D44" s="451"/>
      <c r="E44" s="451">
        <v>61.5</v>
      </c>
    </row>
    <row r="45" spans="1:5" x14ac:dyDescent="0.15">
      <c r="A45" s="3" t="s">
        <v>1321</v>
      </c>
      <c r="B45" s="267"/>
      <c r="C45" s="451">
        <v>6.7</v>
      </c>
      <c r="D45" s="451"/>
      <c r="E45" s="451">
        <v>27.1</v>
      </c>
    </row>
    <row r="46" spans="1:5" x14ac:dyDescent="0.15">
      <c r="A46" s="3" t="s">
        <v>1192</v>
      </c>
      <c r="B46" s="267"/>
      <c r="C46" s="451">
        <v>6.1</v>
      </c>
      <c r="D46" s="451"/>
      <c r="E46" s="451">
        <v>14.1</v>
      </c>
    </row>
    <row r="47" spans="1:5" x14ac:dyDescent="0.15">
      <c r="A47" s="3" t="s">
        <v>48</v>
      </c>
      <c r="B47" s="267"/>
      <c r="C47" s="451">
        <v>2</v>
      </c>
      <c r="D47" s="451"/>
      <c r="E47" s="451">
        <v>9.1999999999999993</v>
      </c>
    </row>
    <row r="48" spans="1:5" x14ac:dyDescent="0.15">
      <c r="A48" s="246" t="s">
        <v>1674</v>
      </c>
      <c r="B48" s="272"/>
      <c r="C48" s="455">
        <f>+C40+SUM(C41:C47)</f>
        <v>60.3</v>
      </c>
      <c r="D48" s="455"/>
      <c r="E48" s="455">
        <f>+E40+SUM(E41:E47)</f>
        <v>154.1</v>
      </c>
    </row>
    <row r="49" spans="1:5" x14ac:dyDescent="0.15">
      <c r="A49" s="7"/>
      <c r="B49" s="270"/>
      <c r="C49" s="453"/>
      <c r="D49" s="453"/>
      <c r="E49" s="453"/>
    </row>
    <row r="50" spans="1:5" x14ac:dyDescent="0.15">
      <c r="A50" s="7" t="s">
        <v>1477</v>
      </c>
      <c r="B50" s="270"/>
      <c r="C50" s="453">
        <f>+C31-C28</f>
        <v>24.8</v>
      </c>
      <c r="D50" s="453"/>
      <c r="E50" s="453">
        <f>+E31</f>
        <v>125.39999999999998</v>
      </c>
    </row>
    <row r="51" spans="1:5" x14ac:dyDescent="0.15">
      <c r="A51" s="7" t="s">
        <v>1322</v>
      </c>
      <c r="B51" s="270"/>
      <c r="C51" s="453">
        <f>+C32+C33+C34-C45-C46-C42</f>
        <v>-0.79999999999999916</v>
      </c>
      <c r="D51" s="453"/>
      <c r="E51" s="453">
        <f>+E32+E33+E34-E45-E46-E42</f>
        <v>-24.700000000000003</v>
      </c>
    </row>
    <row r="52" spans="1:5" x14ac:dyDescent="0.15">
      <c r="A52" s="246" t="s">
        <v>1198</v>
      </c>
      <c r="B52" s="418"/>
      <c r="C52" s="456">
        <f>+C50+C51</f>
        <v>24</v>
      </c>
      <c r="D52" s="456"/>
      <c r="E52" s="456">
        <f>+E50+E51</f>
        <v>100.69999999999997</v>
      </c>
    </row>
    <row r="53" spans="1:5" x14ac:dyDescent="0.15">
      <c r="A53" s="7" t="s">
        <v>1675</v>
      </c>
      <c r="B53" s="270"/>
      <c r="C53" s="453">
        <f>+C40+C43-C30</f>
        <v>35.4</v>
      </c>
      <c r="D53" s="453"/>
      <c r="E53" s="453">
        <f>+E40+E43-E30</f>
        <v>36.799999999999997</v>
      </c>
    </row>
    <row r="54" spans="1:5" x14ac:dyDescent="0.15">
      <c r="A54" s="7" t="s">
        <v>1708</v>
      </c>
      <c r="B54" s="270"/>
      <c r="C54" s="453">
        <f>+C44+C47-C35+C41-C28+C30</f>
        <v>-11.400000000000002</v>
      </c>
      <c r="D54" s="453"/>
      <c r="E54" s="453">
        <f>+E44+E47-E35+E41+E30</f>
        <v>63.9</v>
      </c>
    </row>
    <row r="55" spans="1:5" x14ac:dyDescent="0.15">
      <c r="A55" s="246" t="s">
        <v>1479</v>
      </c>
      <c r="B55" s="418"/>
      <c r="C55" s="456">
        <f>+C53+C54</f>
        <v>23.999999999999996</v>
      </c>
      <c r="D55" s="456"/>
      <c r="E55" s="456">
        <f>+E53+E54</f>
        <v>100.69999999999999</v>
      </c>
    </row>
    <row r="56" spans="1:5" x14ac:dyDescent="0.15">
      <c r="C56" s="399"/>
      <c r="D56" s="457"/>
      <c r="E56" s="457"/>
    </row>
    <row r="57" spans="1:5" ht="15" x14ac:dyDescent="0.15">
      <c r="A57" s="342"/>
      <c r="B57" s="343"/>
      <c r="C57" s="431" t="s">
        <v>949</v>
      </c>
      <c r="D57" s="449"/>
      <c r="E57" s="449" t="s">
        <v>948</v>
      </c>
    </row>
    <row r="58" spans="1:5" x14ac:dyDescent="0.15">
      <c r="A58" s="3" t="s">
        <v>1198</v>
      </c>
      <c r="B58" s="267" t="str">
        <f>"("&amp;C31&amp;"-"&amp;C28&amp;")"&amp;"+"&amp;"("&amp;C32&amp;"+"&amp;C33&amp;"+"&amp;C34&amp;"-"&amp;C45&amp;"-"&amp;C46&amp;"-"&amp;C42&amp;")"&amp;"="</f>
        <v>(38,1-13,3)+(4,5+5,5+2,3-6,7-6,1-0,3)=</v>
      </c>
      <c r="C58" s="451">
        <f>C52</f>
        <v>24</v>
      </c>
      <c r="D58" s="451" t="str">
        <f>E31&amp;"+"&amp;"("&amp;E32&amp;"+"&amp;E33&amp;"+"&amp;E34&amp;"-"&amp;E45&amp;"-"&amp;E46&amp;"-"&amp;E42&amp;")"&amp;"="</f>
        <v>125,4+(7,1+8,6+3,4-27,1-14,1-2,6)=</v>
      </c>
      <c r="E58" s="451">
        <f>E52</f>
        <v>100.69999999999997</v>
      </c>
    </row>
    <row r="59" spans="1:5" x14ac:dyDescent="0.15">
      <c r="A59" s="3" t="s">
        <v>1007</v>
      </c>
      <c r="B59" s="441" t="str">
        <f>C13&amp;"-"&amp;C12&amp;"="</f>
        <v>8,4-0=</v>
      </c>
      <c r="C59" s="451">
        <f>+C13-C12</f>
        <v>8.3999999999999968</v>
      </c>
      <c r="D59" s="451"/>
      <c r="E59" s="451">
        <f>+E13</f>
        <v>13.299999999999994</v>
      </c>
    </row>
    <row r="60" spans="1:5" x14ac:dyDescent="0.15">
      <c r="A60" s="3" t="s">
        <v>272</v>
      </c>
      <c r="B60" s="81"/>
      <c r="C60" s="458">
        <v>0.28000000000000003</v>
      </c>
      <c r="D60" s="458"/>
      <c r="E60" s="458">
        <v>0.23</v>
      </c>
    </row>
    <row r="61" spans="1:5" x14ac:dyDescent="0.15">
      <c r="A61" s="3" t="s">
        <v>1701</v>
      </c>
      <c r="B61" s="267"/>
      <c r="C61" s="451">
        <f>C60*C59</f>
        <v>2.3519999999999994</v>
      </c>
      <c r="D61" s="451"/>
      <c r="E61" s="451">
        <f>E60*E59</f>
        <v>3.0589999999999988</v>
      </c>
    </row>
    <row r="62" spans="1:5" x14ac:dyDescent="0.15">
      <c r="A62" s="7" t="s">
        <v>331</v>
      </c>
      <c r="B62" s="442" t="str">
        <f>"("&amp;C59&amp;"-"&amp;TEXT(C61,"0,0")&amp;")"&amp;"/"&amp;C58&amp;"="</f>
        <v>(8,4-2,4)/24=</v>
      </c>
      <c r="C62" s="459">
        <f>(C59-C61)/(C58)</f>
        <v>0.25199999999999989</v>
      </c>
      <c r="D62" s="459" t="str">
        <f>"("&amp;E59&amp;"-"&amp;TEXT(E61,"0,0")&amp;")"&amp;"/"&amp;E58&amp;"="</f>
        <v>(13,3-3,1)/100,7=</v>
      </c>
      <c r="E62" s="459">
        <f>(E59-E61)/E58</f>
        <v>0.10169811320754714</v>
      </c>
    </row>
    <row r="63" spans="1:5" x14ac:dyDescent="0.15">
      <c r="A63" s="273"/>
      <c r="B63" s="122"/>
      <c r="C63" s="460"/>
      <c r="D63" s="461"/>
      <c r="E63" s="461"/>
    </row>
    <row r="64" spans="1:5" x14ac:dyDescent="0.15">
      <c r="C64" s="399"/>
      <c r="D64" s="399"/>
      <c r="E64" s="399"/>
    </row>
    <row r="65" spans="1:5" x14ac:dyDescent="0.15">
      <c r="A65" s="3" t="s">
        <v>1703</v>
      </c>
      <c r="B65" s="443" t="str">
        <f>C40&amp;"+"&amp;C43&amp;"-"&amp;C30&amp;"="</f>
        <v>35,4+1-1=</v>
      </c>
      <c r="C65" s="398">
        <f>C53</f>
        <v>35.4</v>
      </c>
      <c r="D65" s="398" t="str">
        <f>E40&amp;"+"&amp;E43&amp;"-"&amp;E30&amp;"="</f>
        <v>30,6+8,7-2,5=</v>
      </c>
      <c r="E65" s="398">
        <f>E53</f>
        <v>36.799999999999997</v>
      </c>
    </row>
    <row r="66" spans="1:5" x14ac:dyDescent="0.15">
      <c r="A66" s="3" t="s">
        <v>1702</v>
      </c>
      <c r="B66" s="444" t="str">
        <f>"("&amp;C17&amp;"-"&amp;C18&amp;")"&amp;"x"&amp;"(1-"&amp;C60&amp;")="</f>
        <v>(8,6-0)x(1-0,28)=</v>
      </c>
      <c r="C66" s="462">
        <f>(C17-C18)*(1-C60)</f>
        <v>6.1919999999999966</v>
      </c>
      <c r="D66" s="462" t="str">
        <f>E17&amp;"x"&amp;"(1-"&amp;E60&amp;")="</f>
        <v>10,9x(1-0,23)=</v>
      </c>
      <c r="E66" s="462">
        <f>E17*(1-E60)</f>
        <v>8.3929999999999954</v>
      </c>
    </row>
    <row r="67" spans="1:5" x14ac:dyDescent="0.15">
      <c r="A67" s="464" t="s">
        <v>199</v>
      </c>
      <c r="B67" s="465"/>
      <c r="C67" s="466">
        <f>C66/C65</f>
        <v>0.17491525423728804</v>
      </c>
      <c r="D67" s="466"/>
      <c r="E67" s="466">
        <f>E66/E65</f>
        <v>0.22807065217391292</v>
      </c>
    </row>
    <row r="68" spans="1:5" x14ac:dyDescent="0.15">
      <c r="A68" s="7"/>
      <c r="B68" s="67"/>
      <c r="C68" s="463"/>
      <c r="D68" s="399"/>
      <c r="E68" s="399"/>
    </row>
    <row r="69" spans="1:5" ht="15" x14ac:dyDescent="0.15">
      <c r="A69" s="8" t="s">
        <v>1227</v>
      </c>
      <c r="C69" s="399"/>
      <c r="D69" s="399"/>
      <c r="E69" s="399"/>
    </row>
    <row r="70" spans="1:5" x14ac:dyDescent="0.15">
      <c r="C70" s="399"/>
      <c r="D70" s="399"/>
      <c r="E70" s="399"/>
    </row>
    <row r="71" spans="1:5" x14ac:dyDescent="0.15">
      <c r="A71" s="3" t="s">
        <v>184</v>
      </c>
      <c r="B71" s="3">
        <v>0.03</v>
      </c>
      <c r="C71" s="399"/>
      <c r="D71" s="399"/>
      <c r="E71" s="399"/>
    </row>
    <row r="72" spans="1:5" x14ac:dyDescent="0.15">
      <c r="A72" s="3" t="s">
        <v>185</v>
      </c>
      <c r="B72" s="3">
        <v>0.05</v>
      </c>
      <c r="C72" s="399"/>
      <c r="D72" s="399"/>
      <c r="E72" s="399"/>
    </row>
    <row r="73" spans="1:5" x14ac:dyDescent="0.15">
      <c r="A73" s="3" t="s">
        <v>186</v>
      </c>
      <c r="B73" s="3">
        <v>0.4</v>
      </c>
      <c r="C73" s="399"/>
      <c r="D73" s="399"/>
      <c r="E73" s="399"/>
    </row>
    <row r="74" spans="1:5" x14ac:dyDescent="0.15">
      <c r="A74" s="3" t="s">
        <v>187</v>
      </c>
      <c r="B74" s="3">
        <v>1000</v>
      </c>
      <c r="C74" s="399"/>
      <c r="D74" s="399"/>
      <c r="E74" s="399"/>
    </row>
    <row r="75" spans="1:5" x14ac:dyDescent="0.15">
      <c r="C75" s="399"/>
      <c r="D75" s="399"/>
      <c r="E75" s="399"/>
    </row>
    <row r="76" spans="1:5" x14ac:dyDescent="0.15">
      <c r="A76" s="3" t="s">
        <v>190</v>
      </c>
      <c r="B76" s="3">
        <v>0.2</v>
      </c>
      <c r="C76" s="399"/>
      <c r="D76" s="399"/>
      <c r="E76" s="399"/>
    </row>
    <row r="77" spans="1:5" x14ac:dyDescent="0.15">
      <c r="C77" s="399"/>
      <c r="D77" s="399"/>
      <c r="E77" s="399"/>
    </row>
    <row r="78" spans="1:5" x14ac:dyDescent="0.15">
      <c r="A78" s="7" t="s">
        <v>188</v>
      </c>
      <c r="C78" s="399"/>
      <c r="D78" s="399"/>
      <c r="E78" s="399"/>
    </row>
    <row r="79" spans="1:5" x14ac:dyDescent="0.15">
      <c r="A79" s="103" t="s">
        <v>192</v>
      </c>
      <c r="B79" s="3">
        <v>250</v>
      </c>
      <c r="C79" s="399"/>
      <c r="D79" s="399"/>
      <c r="E79" s="399"/>
    </row>
    <row r="80" spans="1:5" x14ac:dyDescent="0.15">
      <c r="C80" s="399"/>
      <c r="D80" s="399"/>
      <c r="E80" s="399"/>
    </row>
    <row r="81" spans="1:6" x14ac:dyDescent="0.15">
      <c r="A81" s="3" t="s">
        <v>1198</v>
      </c>
      <c r="B81" s="3">
        <f>B74</f>
        <v>1000</v>
      </c>
      <c r="C81" s="399"/>
      <c r="D81" s="399"/>
      <c r="E81" s="399"/>
    </row>
    <row r="82" spans="1:6" x14ac:dyDescent="0.15">
      <c r="A82" s="3" t="s">
        <v>1199</v>
      </c>
      <c r="B82" s="3">
        <f>B81-B83</f>
        <v>750</v>
      </c>
      <c r="C82" s="399"/>
      <c r="D82" s="399"/>
      <c r="E82" s="399"/>
    </row>
    <row r="83" spans="1:6" x14ac:dyDescent="0.15">
      <c r="A83" s="3" t="s">
        <v>1189</v>
      </c>
      <c r="B83" s="3">
        <f>B79</f>
        <v>250</v>
      </c>
      <c r="C83" s="399"/>
      <c r="D83" s="399"/>
      <c r="E83" s="399"/>
    </row>
    <row r="84" spans="1:6" x14ac:dyDescent="0.15">
      <c r="A84" s="3" t="s">
        <v>1171</v>
      </c>
      <c r="B84" s="3">
        <f>B85*(1-B73)/B71</f>
        <v>2416.666666666667</v>
      </c>
      <c r="C84" s="399"/>
      <c r="D84" s="399"/>
      <c r="E84" s="399"/>
    </row>
    <row r="85" spans="1:6" x14ac:dyDescent="0.15">
      <c r="A85" s="3" t="s">
        <v>1007</v>
      </c>
      <c r="B85" s="3">
        <f>SUM(B86:B88)</f>
        <v>120.83333333333334</v>
      </c>
      <c r="C85" s="399"/>
      <c r="D85" s="399"/>
      <c r="E85" s="399"/>
    </row>
    <row r="86" spans="1:6" x14ac:dyDescent="0.15">
      <c r="A86" s="3" t="s">
        <v>1175</v>
      </c>
      <c r="B86" s="3">
        <f>B82*B72</f>
        <v>37.5</v>
      </c>
      <c r="C86" s="399"/>
      <c r="D86" s="399"/>
      <c r="E86" s="399"/>
    </row>
    <row r="87" spans="1:6" x14ac:dyDescent="0.15">
      <c r="A87" s="3" t="s">
        <v>1273</v>
      </c>
      <c r="B87" s="3">
        <f>B88/(1-B73)*B73</f>
        <v>33.333333333333336</v>
      </c>
      <c r="C87" s="399"/>
      <c r="D87" s="399"/>
      <c r="E87" s="399"/>
    </row>
    <row r="88" spans="1:6" x14ac:dyDescent="0.15">
      <c r="A88" s="3" t="s">
        <v>1044</v>
      </c>
      <c r="B88" s="3">
        <f>B83*B76</f>
        <v>50</v>
      </c>
      <c r="C88" s="399"/>
      <c r="D88" s="399"/>
      <c r="E88" s="399"/>
    </row>
    <row r="89" spans="1:6" x14ac:dyDescent="0.15">
      <c r="A89" s="103" t="s">
        <v>330</v>
      </c>
      <c r="B89" s="3">
        <f>B85*(1-B73)/B81</f>
        <v>7.2499999999999995E-2</v>
      </c>
      <c r="C89" s="399"/>
      <c r="D89" s="399"/>
      <c r="E89" s="399"/>
    </row>
    <row r="91" spans="1:6" ht="19" x14ac:dyDescent="0.15">
      <c r="A91" s="8" t="s">
        <v>157</v>
      </c>
      <c r="B91" s="274"/>
      <c r="C91" s="274"/>
      <c r="D91" s="274"/>
      <c r="E91" s="274"/>
    </row>
    <row r="92" spans="1:6" x14ac:dyDescent="0.15">
      <c r="A92" s="343" t="s">
        <v>136</v>
      </c>
      <c r="B92" s="343">
        <v>1</v>
      </c>
      <c r="C92" s="343">
        <v>2</v>
      </c>
      <c r="D92" s="343">
        <v>3</v>
      </c>
      <c r="E92" s="343">
        <v>4</v>
      </c>
      <c r="F92" s="343">
        <v>5</v>
      </c>
    </row>
    <row r="93" spans="1:6" x14ac:dyDescent="0.15">
      <c r="A93" s="3" t="s">
        <v>1189</v>
      </c>
      <c r="B93" s="166">
        <v>100</v>
      </c>
      <c r="C93" s="166">
        <v>115</v>
      </c>
      <c r="D93" s="166">
        <v>320</v>
      </c>
      <c r="E93" s="166">
        <v>300</v>
      </c>
      <c r="F93" s="166">
        <v>240</v>
      </c>
    </row>
    <row r="94" spans="1:6" x14ac:dyDescent="0.15">
      <c r="A94" s="3" t="s">
        <v>1199</v>
      </c>
      <c r="B94" s="166">
        <v>123</v>
      </c>
      <c r="C94" s="166">
        <v>180</v>
      </c>
      <c r="D94" s="166">
        <v>540</v>
      </c>
      <c r="E94" s="166">
        <v>640</v>
      </c>
      <c r="F94" s="166">
        <v>680</v>
      </c>
    </row>
    <row r="95" spans="1:6" x14ac:dyDescent="0.15">
      <c r="A95" s="3" t="s">
        <v>194</v>
      </c>
      <c r="B95" s="166">
        <v>11</v>
      </c>
      <c r="C95" s="166">
        <v>18.5</v>
      </c>
      <c r="D95" s="166">
        <v>29</v>
      </c>
      <c r="E95" s="166">
        <v>63</v>
      </c>
      <c r="F95" s="166">
        <v>83</v>
      </c>
    </row>
    <row r="96" spans="1:6" x14ac:dyDescent="0.15">
      <c r="A96" s="3" t="s">
        <v>1044</v>
      </c>
      <c r="B96" s="166">
        <v>14</v>
      </c>
      <c r="C96" s="166">
        <v>16</v>
      </c>
      <c r="D96" s="166">
        <v>-20</v>
      </c>
      <c r="E96" s="166">
        <v>-60</v>
      </c>
      <c r="F96" s="166">
        <v>-40</v>
      </c>
    </row>
    <row r="98" spans="1:6" x14ac:dyDescent="0.15">
      <c r="A98" s="3" t="s">
        <v>195</v>
      </c>
      <c r="B98" s="80">
        <v>0.35</v>
      </c>
      <c r="C98" s="80">
        <f>B98</f>
        <v>0.35</v>
      </c>
      <c r="D98" s="80">
        <f>C98</f>
        <v>0.35</v>
      </c>
      <c r="E98" s="80">
        <f>D98</f>
        <v>0.35</v>
      </c>
      <c r="F98" s="80">
        <f>E98</f>
        <v>0.35</v>
      </c>
    </row>
    <row r="100" spans="1:6" x14ac:dyDescent="0.15">
      <c r="A100" s="3" t="s">
        <v>1176</v>
      </c>
      <c r="B100" s="29">
        <f>IF(B96&gt;0, B96*B98/(1-B98),0)</f>
        <v>7.5384615384615374</v>
      </c>
      <c r="C100" s="29">
        <f>IF(C96&gt;0, C96*C98/(1-C98),0)</f>
        <v>8.615384615384615</v>
      </c>
      <c r="D100" s="3">
        <f>IF(D96&gt;0, D96*D98/(1-D98),0)</f>
        <v>0</v>
      </c>
      <c r="E100" s="3">
        <f>IF(E96&gt;0, E96*E98/(1-E98),0)</f>
        <v>0</v>
      </c>
      <c r="F100" s="3">
        <f>IF(F96&gt;0, F96*F98/(1-F98),0)</f>
        <v>0</v>
      </c>
    </row>
    <row r="101" spans="1:6" x14ac:dyDescent="0.15">
      <c r="A101" s="3" t="s">
        <v>1007</v>
      </c>
      <c r="B101" s="29">
        <f>B96+B95+B100</f>
        <v>32.53846153846154</v>
      </c>
      <c r="C101" s="29">
        <f>C96+C95+C100</f>
        <v>43.115384615384613</v>
      </c>
      <c r="D101" s="29">
        <f>D96+D95+D100</f>
        <v>9</v>
      </c>
      <c r="E101" s="29">
        <f>E96+E95+E100</f>
        <v>3</v>
      </c>
      <c r="F101" s="29">
        <f>F96+F95+F100</f>
        <v>43</v>
      </c>
    </row>
    <row r="103" spans="1:6" x14ac:dyDescent="0.15">
      <c r="A103" s="3" t="s">
        <v>196</v>
      </c>
      <c r="B103" s="55">
        <f>B101*(1-B98)/(B93+B94)</f>
        <v>9.4843049327354267E-2</v>
      </c>
      <c r="C103" s="55">
        <f>C101*(1-C98)/(C93+C94)</f>
        <v>9.5000000000000001E-2</v>
      </c>
      <c r="D103" s="55">
        <f>D101*(1-D98)/(D93+D94)</f>
        <v>6.8023255813953491E-3</v>
      </c>
      <c r="E103" s="55">
        <f>E101*(1-E98)/(E93+E94)</f>
        <v>2.0744680851063832E-3</v>
      </c>
      <c r="F103" s="55">
        <f>F101*(1-F98)/(F93+F94)</f>
        <v>3.0380434782608694E-2</v>
      </c>
    </row>
    <row r="104" spans="1:6" x14ac:dyDescent="0.15">
      <c r="A104" s="3" t="s">
        <v>197</v>
      </c>
      <c r="B104" s="55">
        <f>IF(B95&lt;B101,B95/B94*(1-B98),B101/B94*(1-B98)+(B95-B101)/B94)</f>
        <v>5.8130081300813014E-2</v>
      </c>
      <c r="C104" s="55">
        <f>IF(C95&lt;C101,C95/C94*(1-C98),C101/C94*(1-C98)+(C95-C101)/C94)</f>
        <v>6.6805555555555549E-2</v>
      </c>
      <c r="D104" s="55">
        <f>IF(D95&lt;D101,D95/D94*(1-D98),D101/D94*(1-D98)+(D95-D101)/D94)</f>
        <v>4.7870370370370369E-2</v>
      </c>
      <c r="E104" s="55">
        <f>IF(E95&lt;E101,E95/E94*(1-E98),E101/E94*(1-E98)+(E95-E101)/E94)</f>
        <v>9.6796875000000004E-2</v>
      </c>
      <c r="F104" s="55">
        <f>IF(F95&lt;F101,F95/F94*(1-F98),F101/F94*(1-F98)+(F95-F101)/F94)</f>
        <v>9.9926470588235283E-2</v>
      </c>
    </row>
    <row r="105" spans="1:6" x14ac:dyDescent="0.15">
      <c r="A105" s="88" t="s">
        <v>198</v>
      </c>
      <c r="B105" s="275">
        <f>B94/B93</f>
        <v>1.23</v>
      </c>
      <c r="C105" s="275">
        <f>C94/C93</f>
        <v>1.5652173913043479</v>
      </c>
      <c r="D105" s="275">
        <f>D94/D93</f>
        <v>1.6875</v>
      </c>
      <c r="E105" s="275">
        <f>E94/E93</f>
        <v>2.1333333333333333</v>
      </c>
      <c r="F105" s="275">
        <f>F94/F93</f>
        <v>2.8333333333333335</v>
      </c>
    </row>
    <row r="106" spans="1:6" x14ac:dyDescent="0.15">
      <c r="A106" s="7" t="s">
        <v>191</v>
      </c>
      <c r="B106" s="152">
        <f>(B103-B104)*B105</f>
        <v>4.5156950672645739E-2</v>
      </c>
      <c r="C106" s="152">
        <f>(C103-C104)*C105</f>
        <v>4.413043478260871E-2</v>
      </c>
      <c r="D106" s="152">
        <f>(D103-D104)*D105</f>
        <v>-6.9302325581395346E-2</v>
      </c>
      <c r="E106" s="152">
        <f>(E103-E104)*E105</f>
        <v>-0.20207446808510637</v>
      </c>
      <c r="F106" s="152">
        <f>(F103-F104)*F105</f>
        <v>-0.19704710144927534</v>
      </c>
    </row>
    <row r="107" spans="1:6" x14ac:dyDescent="0.15">
      <c r="B107" s="104"/>
      <c r="C107" s="104"/>
      <c r="D107" s="104"/>
      <c r="E107" s="104"/>
      <c r="F107" s="104"/>
    </row>
    <row r="108" spans="1:6" x14ac:dyDescent="0.15">
      <c r="A108" s="3" t="s">
        <v>199</v>
      </c>
      <c r="B108" s="55">
        <f>B103+B106</f>
        <v>0.14000000000000001</v>
      </c>
      <c r="C108" s="55">
        <f>C103+C106</f>
        <v>0.13913043478260873</v>
      </c>
      <c r="D108" s="55">
        <f>D103+D106</f>
        <v>-6.25E-2</v>
      </c>
      <c r="E108" s="55">
        <f>E103+E106</f>
        <v>-0.19999999999999998</v>
      </c>
      <c r="F108" s="55">
        <f>F103+F106</f>
        <v>-0.16666666666666666</v>
      </c>
    </row>
    <row r="110" spans="1:6" x14ac:dyDescent="0.15">
      <c r="D110" s="3" t="s">
        <v>350</v>
      </c>
    </row>
    <row r="111" spans="1:6" ht="15" x14ac:dyDescent="0.15">
      <c r="A111" s="8" t="s">
        <v>157</v>
      </c>
      <c r="D111" s="3" t="s">
        <v>350</v>
      </c>
    </row>
    <row r="113" spans="1:6" x14ac:dyDescent="0.15">
      <c r="A113" s="3" t="s">
        <v>1508</v>
      </c>
    </row>
    <row r="118" spans="1:6" x14ac:dyDescent="0.15">
      <c r="D118" s="3" t="s">
        <v>350</v>
      </c>
      <c r="E118" s="3" t="s">
        <v>350</v>
      </c>
    </row>
    <row r="119" spans="1:6" x14ac:dyDescent="0.15">
      <c r="D119" s="3" t="s">
        <v>350</v>
      </c>
    </row>
    <row r="120" spans="1:6" x14ac:dyDescent="0.15">
      <c r="D120" s="3" t="s">
        <v>350</v>
      </c>
    </row>
    <row r="121" spans="1:6" x14ac:dyDescent="0.15">
      <c r="D121" s="3" t="s">
        <v>350</v>
      </c>
    </row>
    <row r="123" spans="1:6" x14ac:dyDescent="0.15">
      <c r="F123" s="3" t="s">
        <v>350</v>
      </c>
    </row>
    <row r="124" spans="1:6" x14ac:dyDescent="0.15">
      <c r="F124" s="3" t="s">
        <v>350</v>
      </c>
    </row>
    <row r="125" spans="1:6" x14ac:dyDescent="0.15">
      <c r="F125" s="55" t="s">
        <v>350</v>
      </c>
    </row>
  </sheetData>
  <phoneticPr fontId="4" type="noConversion"/>
  <pageMargins left="0.78740157480314965" right="0.78740157480314965" top="0.98425196850393704" bottom="0.98425196850393704" header="0.51181102362204722" footer="0.51181102362204722"/>
  <pageSetup paperSize="9" scale="69" fitToHeight="6" orientation="portrait" r:id="rId1"/>
  <headerFooter alignWithMargins="0">
    <oddFooter>&amp;C&amp;P / &amp;N&amp;R&amp;"Verdana,Italique"&amp;9&amp;D - &amp;T&amp;L&amp;"Calibri"&amp;11&amp;K000000&amp;"Verdana,Italique"&amp;9&amp;F - &amp;A_x000D_&amp;1#&amp;"Calibri"&amp;1&amp;KFFFFFFC1 - Public Natixis</oddFooter>
  </headerFooter>
  <ignoredErrors>
    <ignoredError sqref="D58 C59 C62 C65:D65 C66"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O952"/>
  <sheetViews>
    <sheetView showGridLines="0" zoomScale="85" zoomScaleNormal="85" zoomScalePageLayoutView="85" workbookViewId="0">
      <selection activeCell="C5" sqref="C5"/>
    </sheetView>
  </sheetViews>
  <sheetFormatPr baseColWidth="10" defaultColWidth="14.6640625" defaultRowHeight="15" customHeight="1" x14ac:dyDescent="0.2"/>
  <cols>
    <col min="1" max="1" width="3.83203125" style="470" customWidth="1"/>
    <col min="2" max="2" width="55.83203125" style="470" customWidth="1"/>
    <col min="3" max="6" width="12.1640625" style="470" customWidth="1"/>
    <col min="7" max="7" width="12.6640625" style="470" customWidth="1"/>
    <col min="8" max="15" width="9.6640625" style="470" customWidth="1"/>
    <col min="16" max="16384" width="14.6640625" style="470"/>
  </cols>
  <sheetData>
    <row r="1" spans="1:15" ht="8.25" customHeight="1" x14ac:dyDescent="0.2">
      <c r="A1" s="468"/>
      <c r="B1" s="469"/>
      <c r="C1" s="469"/>
      <c r="D1" s="469"/>
      <c r="E1" s="469"/>
      <c r="F1" s="469"/>
      <c r="G1" s="469"/>
      <c r="H1" s="468"/>
      <c r="I1" s="468"/>
      <c r="J1" s="468"/>
      <c r="K1" s="468"/>
      <c r="L1" s="468"/>
      <c r="M1" s="468"/>
      <c r="N1" s="468"/>
      <c r="O1" s="468"/>
    </row>
    <row r="2" spans="1:15" ht="23.25" customHeight="1" x14ac:dyDescent="0.2">
      <c r="A2" s="471"/>
      <c r="B2" s="472" t="s">
        <v>1714</v>
      </c>
      <c r="C2" s="473" t="s">
        <v>1715</v>
      </c>
      <c r="D2" s="473" t="s">
        <v>1716</v>
      </c>
      <c r="E2" s="473" t="s">
        <v>1717</v>
      </c>
      <c r="F2" s="473" t="s">
        <v>1718</v>
      </c>
      <c r="G2" s="468"/>
      <c r="H2" s="471"/>
      <c r="I2" s="471"/>
      <c r="J2" s="471"/>
      <c r="K2" s="471"/>
      <c r="L2" s="471"/>
      <c r="M2" s="471"/>
      <c r="N2" s="471"/>
      <c r="O2" s="471"/>
    </row>
    <row r="3" spans="1:15" ht="23.25" customHeight="1" x14ac:dyDescent="0.2">
      <c r="A3" s="468"/>
      <c r="B3" s="474" t="s">
        <v>1171</v>
      </c>
      <c r="C3" s="475">
        <v>305.60000000000002</v>
      </c>
      <c r="D3" s="475">
        <v>307.8</v>
      </c>
      <c r="E3" s="475">
        <v>312.5</v>
      </c>
      <c r="F3" s="475">
        <v>294.39999999999998</v>
      </c>
      <c r="G3" s="468"/>
      <c r="H3" s="468"/>
      <c r="I3" s="468"/>
      <c r="J3" s="468"/>
      <c r="K3" s="468"/>
      <c r="L3" s="468"/>
      <c r="M3" s="468"/>
      <c r="N3" s="468"/>
      <c r="O3" s="468"/>
    </row>
    <row r="4" spans="1:15" ht="23.25" customHeight="1" x14ac:dyDescent="0.2">
      <c r="A4" s="468"/>
      <c r="B4" s="476" t="s">
        <v>1719</v>
      </c>
      <c r="C4" s="477">
        <v>12.7</v>
      </c>
      <c r="D4" s="477">
        <v>11.7</v>
      </c>
      <c r="E4" s="477">
        <v>10.3</v>
      </c>
      <c r="F4" s="477">
        <v>9.6</v>
      </c>
      <c r="G4" s="468"/>
      <c r="H4" s="468"/>
      <c r="I4" s="468"/>
      <c r="J4" s="468"/>
      <c r="K4" s="468"/>
      <c r="L4" s="468"/>
      <c r="M4" s="468"/>
      <c r="N4" s="468"/>
      <c r="O4" s="468"/>
    </row>
    <row r="5" spans="1:15" ht="23.25" customHeight="1" x14ac:dyDescent="0.2">
      <c r="A5" s="468"/>
      <c r="B5" s="476" t="s">
        <v>1720</v>
      </c>
      <c r="C5" s="478">
        <f>C3/C4</f>
        <v>24.062992125984255</v>
      </c>
      <c r="D5" s="478">
        <f>D3/D4</f>
        <v>26.30769230769231</v>
      </c>
      <c r="E5" s="478">
        <f>E3/E4</f>
        <v>30.339805825242717</v>
      </c>
      <c r="F5" s="478">
        <f>F3/F4</f>
        <v>30.666666666666664</v>
      </c>
      <c r="G5" s="468"/>
      <c r="H5" s="468"/>
      <c r="I5" s="468"/>
      <c r="J5" s="468"/>
      <c r="K5" s="468"/>
      <c r="L5" s="468"/>
      <c r="M5" s="468"/>
      <c r="N5" s="468"/>
      <c r="O5" s="468"/>
    </row>
    <row r="6" spans="1:15" ht="23.25" customHeight="1" x14ac:dyDescent="0.2">
      <c r="A6" s="468"/>
      <c r="B6" s="479" t="s">
        <v>1721</v>
      </c>
      <c r="C6" s="480">
        <v>150.37</v>
      </c>
      <c r="D6" s="480">
        <v>133.5</v>
      </c>
      <c r="E6" s="480">
        <v>120.8</v>
      </c>
      <c r="F6" s="480">
        <v>125.1</v>
      </c>
      <c r="G6" s="468"/>
      <c r="H6" s="468"/>
      <c r="I6" s="468"/>
      <c r="J6" s="468"/>
      <c r="K6" s="468"/>
      <c r="L6" s="468"/>
      <c r="M6" s="468"/>
      <c r="N6" s="468"/>
      <c r="O6" s="468"/>
    </row>
    <row r="7" spans="1:15" ht="23.25" hidden="1" customHeight="1" x14ac:dyDescent="0.2">
      <c r="A7" s="468"/>
      <c r="B7" s="479"/>
      <c r="C7" s="477">
        <f>C6/C4</f>
        <v>11.840157480314963</v>
      </c>
      <c r="D7" s="477">
        <f>D6/D4</f>
        <v>11.410256410256411</v>
      </c>
      <c r="E7" s="477">
        <f>E6/E4</f>
        <v>11.728155339805824</v>
      </c>
      <c r="F7" s="477">
        <f>F6/F4</f>
        <v>13.03125</v>
      </c>
      <c r="G7" s="468"/>
      <c r="H7" s="468"/>
      <c r="I7" s="468"/>
      <c r="J7" s="468"/>
      <c r="K7" s="468"/>
      <c r="L7" s="468"/>
      <c r="M7" s="468"/>
      <c r="N7" s="468"/>
      <c r="O7" s="468"/>
    </row>
    <row r="8" spans="1:15" ht="23.25" hidden="1" customHeight="1" x14ac:dyDescent="0.2">
      <c r="A8" s="468"/>
      <c r="B8" s="479"/>
      <c r="C8" s="477">
        <f>C7*75%/1.2</f>
        <v>7.4000984251968518</v>
      </c>
      <c r="D8" s="477">
        <f t="shared" ref="D8:F8" si="0">D7*75%/1.2</f>
        <v>7.1314102564102573</v>
      </c>
      <c r="E8" s="477">
        <f t="shared" si="0"/>
        <v>7.3300970873786397</v>
      </c>
      <c r="F8" s="477">
        <f t="shared" si="0"/>
        <v>8.14453125</v>
      </c>
      <c r="G8" s="468"/>
      <c r="H8" s="468"/>
      <c r="I8" s="468"/>
      <c r="J8" s="468"/>
      <c r="K8" s="468"/>
      <c r="L8" s="468"/>
      <c r="M8" s="468"/>
      <c r="N8" s="468"/>
      <c r="O8" s="468"/>
    </row>
    <row r="9" spans="1:15" ht="23.25" hidden="1" customHeight="1" x14ac:dyDescent="0.2">
      <c r="A9" s="468"/>
      <c r="B9" s="479"/>
      <c r="C9" s="477">
        <f>C3/C4</f>
        <v>24.062992125984255</v>
      </c>
      <c r="D9" s="477">
        <f>D3/D4</f>
        <v>26.30769230769231</v>
      </c>
      <c r="E9" s="477">
        <f>E3/E4</f>
        <v>30.339805825242717</v>
      </c>
      <c r="F9" s="477">
        <f>F3/F4</f>
        <v>30.666666666666664</v>
      </c>
      <c r="G9" s="468"/>
      <c r="H9" s="468"/>
      <c r="I9" s="468"/>
      <c r="J9" s="468"/>
      <c r="K9" s="468"/>
      <c r="L9" s="468"/>
      <c r="M9" s="468"/>
      <c r="N9" s="468"/>
      <c r="O9" s="468"/>
    </row>
    <row r="10" spans="1:15" ht="23.25" hidden="1" customHeight="1" x14ac:dyDescent="0.2">
      <c r="A10" s="468"/>
      <c r="B10" s="479"/>
      <c r="C10" s="477">
        <f>C9-C7</f>
        <v>12.222834645669293</v>
      </c>
      <c r="D10" s="477">
        <f>D9-D7</f>
        <v>14.8974358974359</v>
      </c>
      <c r="E10" s="477">
        <f>E9-E7</f>
        <v>18.611650485436893</v>
      </c>
      <c r="F10" s="477">
        <f>F9-F7</f>
        <v>17.635416666666664</v>
      </c>
      <c r="G10" s="468"/>
      <c r="H10" s="468"/>
      <c r="I10" s="468"/>
      <c r="J10" s="468"/>
      <c r="K10" s="468"/>
      <c r="L10" s="468"/>
      <c r="M10" s="468"/>
      <c r="N10" s="468"/>
      <c r="O10" s="468"/>
    </row>
    <row r="11" spans="1:15" ht="23.25" customHeight="1" x14ac:dyDescent="0.2">
      <c r="A11" s="468"/>
      <c r="B11" s="481" t="s">
        <v>1612</v>
      </c>
      <c r="C11" s="482">
        <f>C3-C6</f>
        <v>155.23000000000002</v>
      </c>
      <c r="D11" s="482">
        <f>D3-D6</f>
        <v>174.3</v>
      </c>
      <c r="E11" s="482">
        <f>E3-E6</f>
        <v>191.7</v>
      </c>
      <c r="F11" s="482">
        <f>F3-F6</f>
        <v>169.29999999999998</v>
      </c>
      <c r="G11" s="468"/>
      <c r="H11" s="468"/>
      <c r="I11" s="468"/>
      <c r="J11" s="468"/>
      <c r="K11" s="468"/>
      <c r="L11" s="468"/>
      <c r="M11" s="468"/>
      <c r="N11" s="468"/>
      <c r="O11" s="468"/>
    </row>
    <row r="12" spans="1:15" ht="23.25" customHeight="1" x14ac:dyDescent="0.2">
      <c r="A12" s="468"/>
      <c r="B12" s="483" t="s">
        <v>1722</v>
      </c>
      <c r="C12" s="484">
        <v>57.3</v>
      </c>
      <c r="D12" s="484">
        <v>65.599999999999994</v>
      </c>
      <c r="E12" s="484">
        <v>71.5</v>
      </c>
      <c r="F12" s="484">
        <v>69.099999999999994</v>
      </c>
      <c r="G12" s="468"/>
      <c r="H12" s="468"/>
      <c r="I12" s="468"/>
      <c r="J12" s="468"/>
      <c r="K12" s="468"/>
      <c r="L12" s="468"/>
      <c r="M12" s="468"/>
      <c r="N12" s="468"/>
      <c r="O12" s="468"/>
    </row>
    <row r="13" spans="1:15" ht="23.25" customHeight="1" x14ac:dyDescent="0.2">
      <c r="A13" s="468"/>
      <c r="B13" s="483" t="s">
        <v>1723</v>
      </c>
      <c r="C13" s="480">
        <v>21.28</v>
      </c>
      <c r="D13" s="480">
        <v>23.3</v>
      </c>
      <c r="E13" s="480">
        <v>25.3</v>
      </c>
      <c r="F13" s="480">
        <v>24.4</v>
      </c>
      <c r="G13" s="468"/>
      <c r="H13" s="468"/>
      <c r="I13" s="468"/>
      <c r="J13" s="468"/>
      <c r="K13" s="468"/>
      <c r="L13" s="468"/>
      <c r="M13" s="468"/>
      <c r="N13" s="468"/>
      <c r="O13" s="468"/>
    </row>
    <row r="14" spans="1:15" ht="23.25" customHeight="1" x14ac:dyDescent="0.2">
      <c r="A14" s="468"/>
      <c r="B14" s="483" t="s">
        <v>1724</v>
      </c>
      <c r="C14" s="480">
        <v>0.2</v>
      </c>
      <c r="D14" s="480">
        <v>0.2</v>
      </c>
      <c r="E14" s="480">
        <v>0.9</v>
      </c>
      <c r="F14" s="480">
        <v>1.3</v>
      </c>
      <c r="G14" s="468"/>
      <c r="H14" s="468"/>
      <c r="I14" s="468"/>
      <c r="J14" s="468"/>
      <c r="K14" s="468"/>
      <c r="L14" s="468"/>
      <c r="M14" s="468"/>
      <c r="N14" s="468"/>
      <c r="O14" s="468"/>
    </row>
    <row r="15" spans="1:15" ht="23.25" customHeight="1" x14ac:dyDescent="0.2">
      <c r="B15" s="479" t="s">
        <v>1725</v>
      </c>
      <c r="C15" s="480">
        <v>0.5</v>
      </c>
      <c r="D15" s="480">
        <v>-0.4</v>
      </c>
      <c r="E15" s="480">
        <v>1.1000000000000001</v>
      </c>
      <c r="F15" s="480">
        <v>-0.2</v>
      </c>
      <c r="G15" s="468"/>
      <c r="H15" s="468"/>
      <c r="I15" s="468"/>
      <c r="J15" s="468"/>
      <c r="K15" s="468"/>
      <c r="L15" s="468"/>
      <c r="M15" s="468"/>
      <c r="N15" s="468"/>
      <c r="O15" s="468"/>
    </row>
    <row r="16" spans="1:15" ht="23.25" customHeight="1" x14ac:dyDescent="0.2">
      <c r="B16" s="481" t="s">
        <v>1525</v>
      </c>
      <c r="C16" s="482">
        <f t="shared" ref="C16:F16" si="1">C11-C12-C13-C14+C15</f>
        <v>76.950000000000017</v>
      </c>
      <c r="D16" s="482">
        <f t="shared" si="1"/>
        <v>84.800000000000011</v>
      </c>
      <c r="E16" s="482">
        <f t="shared" si="1"/>
        <v>95.09999999999998</v>
      </c>
      <c r="F16" s="482">
        <f t="shared" si="1"/>
        <v>74.299999999999983</v>
      </c>
      <c r="G16" s="468"/>
      <c r="H16" s="468"/>
      <c r="I16" s="468"/>
      <c r="J16" s="468"/>
      <c r="K16" s="468"/>
      <c r="L16" s="468"/>
      <c r="M16" s="468"/>
      <c r="N16" s="468"/>
      <c r="O16" s="468"/>
    </row>
    <row r="17" spans="1:15" ht="23.25" customHeight="1" x14ac:dyDescent="0.2">
      <c r="A17" s="471"/>
      <c r="B17" s="479" t="s">
        <v>1526</v>
      </c>
      <c r="C17" s="480">
        <v>6.5</v>
      </c>
      <c r="D17" s="480">
        <v>5.7</v>
      </c>
      <c r="E17" s="480">
        <f>9.4-1.4</f>
        <v>8</v>
      </c>
      <c r="F17" s="480">
        <f>11.1-1.9</f>
        <v>9.1999999999999993</v>
      </c>
      <c r="G17" s="471"/>
      <c r="H17" s="468"/>
      <c r="I17" s="468"/>
      <c r="J17" s="468"/>
      <c r="K17" s="468"/>
      <c r="L17" s="468"/>
      <c r="M17" s="468"/>
      <c r="N17" s="468"/>
      <c r="O17" s="468"/>
    </row>
    <row r="18" spans="1:15" ht="23.25" customHeight="1" x14ac:dyDescent="0.2">
      <c r="B18" s="483" t="s">
        <v>1527</v>
      </c>
      <c r="C18" s="480">
        <v>-0.5</v>
      </c>
      <c r="D18" s="480">
        <v>-0.3</v>
      </c>
      <c r="E18" s="480">
        <v>-0.8</v>
      </c>
      <c r="F18" s="480">
        <v>-0.9</v>
      </c>
      <c r="H18" s="468"/>
      <c r="I18" s="468"/>
      <c r="J18" s="468"/>
      <c r="K18" s="468"/>
      <c r="L18" s="468"/>
      <c r="M18" s="468"/>
      <c r="N18" s="468"/>
      <c r="O18" s="468"/>
    </row>
    <row r="19" spans="1:15" ht="23.25" customHeight="1" x14ac:dyDescent="0.2">
      <c r="A19" s="468"/>
      <c r="B19" s="481" t="s">
        <v>1528</v>
      </c>
      <c r="C19" s="482">
        <f>C16-C17+C18</f>
        <v>69.950000000000017</v>
      </c>
      <c r="D19" s="482">
        <f>D16-D17+D18</f>
        <v>78.800000000000011</v>
      </c>
      <c r="E19" s="482">
        <f t="shared" ref="E19:F19" si="2">E16-E17+E18</f>
        <v>86.299999999999983</v>
      </c>
      <c r="F19" s="482">
        <f t="shared" si="2"/>
        <v>64.199999999999974</v>
      </c>
      <c r="G19" s="468"/>
      <c r="H19" s="468"/>
      <c r="I19" s="468"/>
      <c r="J19" s="468"/>
      <c r="K19" s="468"/>
      <c r="L19" s="468"/>
      <c r="M19" s="468"/>
      <c r="N19" s="468"/>
      <c r="O19" s="468"/>
    </row>
    <row r="20" spans="1:15" ht="23.25" customHeight="1" x14ac:dyDescent="0.2">
      <c r="B20" s="479" t="s">
        <v>1529</v>
      </c>
      <c r="C20" s="480">
        <v>19.399999999999999</v>
      </c>
      <c r="D20" s="480">
        <v>19.8</v>
      </c>
      <c r="E20" s="480">
        <v>22.1</v>
      </c>
      <c r="F20" s="480">
        <v>16.600000000000001</v>
      </c>
      <c r="H20" s="468"/>
      <c r="I20" s="468"/>
      <c r="J20" s="468"/>
      <c r="K20" s="468"/>
      <c r="L20" s="468"/>
      <c r="M20" s="468"/>
      <c r="N20" s="468"/>
      <c r="O20" s="468"/>
    </row>
    <row r="21" spans="1:15" ht="20.25" customHeight="1" x14ac:dyDescent="0.2">
      <c r="A21" s="468"/>
      <c r="B21" s="485" t="s">
        <v>1726</v>
      </c>
      <c r="C21" s="486">
        <f>C19-C20</f>
        <v>50.550000000000018</v>
      </c>
      <c r="D21" s="486">
        <f t="shared" ref="D21:F21" si="3">D19-D20</f>
        <v>59.000000000000014</v>
      </c>
      <c r="E21" s="486">
        <f t="shared" si="3"/>
        <v>64.199999999999989</v>
      </c>
      <c r="F21" s="486">
        <f t="shared" si="3"/>
        <v>47.599999999999973</v>
      </c>
      <c r="G21" s="468"/>
      <c r="H21" s="468"/>
      <c r="I21" s="468"/>
      <c r="J21" s="468"/>
      <c r="K21" s="468"/>
      <c r="L21" s="468"/>
      <c r="M21" s="468"/>
      <c r="N21" s="468"/>
      <c r="O21" s="468"/>
    </row>
    <row r="22" spans="1:15" ht="20.25" customHeight="1" x14ac:dyDescent="0.2">
      <c r="A22" s="468"/>
      <c r="B22" s="483" t="s">
        <v>349</v>
      </c>
      <c r="C22" s="480">
        <v>0.3</v>
      </c>
      <c r="D22" s="480">
        <v>0.5</v>
      </c>
      <c r="E22" s="480">
        <v>0.5</v>
      </c>
      <c r="F22" s="480">
        <v>0.4</v>
      </c>
      <c r="G22" s="468"/>
      <c r="H22" s="468"/>
      <c r="I22" s="468"/>
      <c r="J22" s="468"/>
      <c r="K22" s="468"/>
      <c r="L22" s="468"/>
      <c r="M22" s="468"/>
      <c r="N22" s="468"/>
      <c r="O22" s="468"/>
    </row>
    <row r="23" spans="1:15" ht="20.25" customHeight="1" x14ac:dyDescent="0.2">
      <c r="A23" s="468"/>
      <c r="B23" s="487" t="s">
        <v>1727</v>
      </c>
      <c r="C23" s="488">
        <f t="shared" ref="C23:E23" si="4">C21-C22</f>
        <v>50.250000000000021</v>
      </c>
      <c r="D23" s="488">
        <f t="shared" si="4"/>
        <v>58.500000000000014</v>
      </c>
      <c r="E23" s="488">
        <f t="shared" si="4"/>
        <v>63.699999999999989</v>
      </c>
      <c r="F23" s="488">
        <f>F21-F22</f>
        <v>47.199999999999974</v>
      </c>
      <c r="G23" s="468"/>
      <c r="H23" s="468"/>
      <c r="I23" s="468"/>
      <c r="J23" s="468"/>
      <c r="K23" s="468"/>
      <c r="L23" s="468"/>
      <c r="M23" s="468"/>
      <c r="N23" s="468"/>
      <c r="O23" s="468"/>
    </row>
    <row r="24" spans="1:15" ht="23.25" customHeight="1" x14ac:dyDescent="0.2">
      <c r="A24" s="468"/>
      <c r="B24" s="479"/>
      <c r="C24" s="489"/>
      <c r="D24" s="489"/>
      <c r="E24" s="489"/>
      <c r="F24" s="489"/>
      <c r="G24" s="468"/>
      <c r="H24" s="468"/>
      <c r="I24" s="468"/>
      <c r="J24" s="468"/>
      <c r="K24" s="468"/>
      <c r="L24" s="468"/>
      <c r="M24" s="468"/>
      <c r="N24" s="468"/>
      <c r="O24" s="468"/>
    </row>
    <row r="25" spans="1:15" ht="23.25" customHeight="1" x14ac:dyDescent="0.2">
      <c r="A25" s="471"/>
      <c r="B25" s="490"/>
      <c r="C25" s="491"/>
      <c r="D25" s="491"/>
      <c r="E25" s="491"/>
      <c r="F25" s="491"/>
      <c r="G25" s="471"/>
      <c r="H25" s="471"/>
      <c r="I25" s="471"/>
      <c r="J25" s="471"/>
      <c r="K25" s="471"/>
      <c r="L25" s="471"/>
      <c r="M25" s="471"/>
      <c r="N25" s="471"/>
      <c r="O25" s="471"/>
    </row>
    <row r="26" spans="1:15" ht="8.25" customHeight="1" x14ac:dyDescent="0.2">
      <c r="A26" s="468"/>
      <c r="B26" s="479"/>
      <c r="C26" s="469"/>
      <c r="D26" s="469"/>
      <c r="E26" s="469"/>
      <c r="F26" s="469"/>
      <c r="G26" s="468"/>
      <c r="H26" s="468"/>
      <c r="I26" s="468"/>
      <c r="J26" s="468"/>
      <c r="K26" s="468"/>
      <c r="L26" s="468"/>
      <c r="M26" s="468"/>
      <c r="N26" s="468"/>
      <c r="O26" s="468"/>
    </row>
    <row r="27" spans="1:15" ht="23.25" customHeight="1" x14ac:dyDescent="0.2">
      <c r="A27" s="471"/>
      <c r="B27" s="472" t="s">
        <v>1728</v>
      </c>
      <c r="C27" s="473" t="str">
        <f>C2</f>
        <v>2021-2022</v>
      </c>
      <c r="D27" s="473" t="str">
        <f>D2</f>
        <v>2022-2023</v>
      </c>
      <c r="E27" s="473" t="str">
        <f>E2</f>
        <v>2023-2024</v>
      </c>
      <c r="F27" s="473" t="str">
        <f>F2</f>
        <v>2024-2025</v>
      </c>
      <c r="G27" s="471"/>
      <c r="H27" s="471"/>
      <c r="I27" s="471"/>
      <c r="J27" s="471"/>
      <c r="K27" s="471"/>
      <c r="L27" s="471"/>
      <c r="M27" s="471"/>
      <c r="N27" s="471"/>
      <c r="O27" s="471"/>
    </row>
    <row r="28" spans="1:15" ht="23.25" customHeight="1" x14ac:dyDescent="0.2">
      <c r="B28" s="479" t="s">
        <v>1729</v>
      </c>
      <c r="C28" s="480">
        <f>C21</f>
        <v>50.550000000000018</v>
      </c>
      <c r="D28" s="480">
        <f>D21</f>
        <v>59.000000000000014</v>
      </c>
      <c r="E28" s="480">
        <f t="shared" ref="E28:F28" si="5">E21</f>
        <v>64.199999999999989</v>
      </c>
      <c r="F28" s="480">
        <f t="shared" si="5"/>
        <v>47.599999999999973</v>
      </c>
      <c r="H28" s="468"/>
      <c r="I28" s="468"/>
      <c r="J28" s="468"/>
      <c r="K28" s="468"/>
      <c r="L28" s="468"/>
      <c r="M28" s="468"/>
      <c r="N28" s="468"/>
      <c r="O28" s="468"/>
    </row>
    <row r="29" spans="1:15" ht="23.25" customHeight="1" x14ac:dyDescent="0.2">
      <c r="B29" s="483" t="s">
        <v>1730</v>
      </c>
      <c r="C29" s="480">
        <v>6.6</v>
      </c>
      <c r="D29" s="480">
        <v>6.6</v>
      </c>
      <c r="E29" s="480">
        <v>10.8</v>
      </c>
      <c r="F29" s="480">
        <v>9</v>
      </c>
      <c r="H29" s="468"/>
      <c r="I29" s="468"/>
      <c r="J29" s="468"/>
      <c r="K29" s="468"/>
      <c r="L29" s="468"/>
      <c r="M29" s="468"/>
      <c r="N29" s="468"/>
      <c r="O29" s="468"/>
    </row>
    <row r="30" spans="1:15" ht="23.25" customHeight="1" x14ac:dyDescent="0.2">
      <c r="A30" s="468"/>
      <c r="B30" s="479" t="s">
        <v>1731</v>
      </c>
      <c r="C30" s="480">
        <v>1.3</v>
      </c>
      <c r="D30" s="480">
        <v>1.9</v>
      </c>
      <c r="E30" s="480">
        <v>-1.5</v>
      </c>
      <c r="F30" s="480">
        <v>-0.6</v>
      </c>
      <c r="G30" s="492"/>
      <c r="H30" s="468"/>
      <c r="I30" s="468"/>
      <c r="J30" s="468"/>
      <c r="K30" s="468"/>
      <c r="L30" s="468"/>
      <c r="M30" s="468"/>
      <c r="N30" s="468"/>
      <c r="O30" s="468"/>
    </row>
    <row r="31" spans="1:15" ht="23.25" customHeight="1" x14ac:dyDescent="0.2">
      <c r="A31" s="468"/>
      <c r="B31" s="481" t="s">
        <v>1530</v>
      </c>
      <c r="C31" s="482">
        <f t="shared" ref="C31:F31" si="6">C28+C29+C30</f>
        <v>58.450000000000017</v>
      </c>
      <c r="D31" s="482">
        <f t="shared" si="6"/>
        <v>67.500000000000014</v>
      </c>
      <c r="E31" s="482">
        <f t="shared" si="6"/>
        <v>73.499999999999986</v>
      </c>
      <c r="F31" s="482">
        <f t="shared" si="6"/>
        <v>55.999999999999972</v>
      </c>
      <c r="G31" s="468"/>
      <c r="H31" s="468"/>
      <c r="I31" s="468"/>
      <c r="J31" s="468"/>
      <c r="K31" s="468"/>
      <c r="L31" s="468"/>
      <c r="M31" s="468"/>
      <c r="N31" s="468"/>
      <c r="O31" s="468"/>
    </row>
    <row r="32" spans="1:15" ht="23.25" customHeight="1" x14ac:dyDescent="0.2">
      <c r="A32" s="468"/>
      <c r="B32" s="479" t="s">
        <v>1330</v>
      </c>
      <c r="C32" s="480">
        <v>-17.100000000000001</v>
      </c>
      <c r="D32" s="480">
        <f>D66-C66</f>
        <v>0.5</v>
      </c>
      <c r="E32" s="480">
        <f>E66-D66</f>
        <v>59.799999999999955</v>
      </c>
      <c r="F32" s="480">
        <f>F66-E66</f>
        <v>54.200000000000045</v>
      </c>
      <c r="G32" s="468"/>
      <c r="H32" s="468"/>
      <c r="I32" s="468"/>
      <c r="J32" s="468"/>
      <c r="K32" s="468"/>
      <c r="L32" s="468"/>
      <c r="M32" s="468"/>
      <c r="N32" s="468"/>
      <c r="O32" s="468"/>
    </row>
    <row r="33" spans="1:15" ht="23.25" customHeight="1" x14ac:dyDescent="0.2">
      <c r="A33" s="468"/>
      <c r="B33" s="481" t="s">
        <v>1531</v>
      </c>
      <c r="C33" s="482">
        <f t="shared" ref="C33:F33" si="7">C31-C32</f>
        <v>75.550000000000011</v>
      </c>
      <c r="D33" s="482">
        <f t="shared" si="7"/>
        <v>67.000000000000014</v>
      </c>
      <c r="E33" s="482">
        <f t="shared" si="7"/>
        <v>13.700000000000031</v>
      </c>
      <c r="F33" s="482">
        <f t="shared" si="7"/>
        <v>1.7999999999999261</v>
      </c>
      <c r="G33" s="468"/>
      <c r="H33" s="468"/>
      <c r="I33" s="468"/>
      <c r="J33" s="468"/>
      <c r="K33" s="468"/>
      <c r="L33" s="468"/>
      <c r="M33" s="468"/>
      <c r="N33" s="468"/>
      <c r="O33" s="468"/>
    </row>
    <row r="34" spans="1:15" ht="23.25" customHeight="1" x14ac:dyDescent="0.2">
      <c r="B34" s="479" t="s">
        <v>1732</v>
      </c>
      <c r="C34" s="480">
        <v>6.9</v>
      </c>
      <c r="D34" s="480">
        <v>8.3000000000000007</v>
      </c>
      <c r="E34" s="480">
        <v>13.5</v>
      </c>
      <c r="F34" s="480">
        <v>13.4</v>
      </c>
      <c r="H34" s="468"/>
      <c r="I34" s="468"/>
      <c r="J34" s="468"/>
      <c r="K34" s="468"/>
      <c r="L34" s="468"/>
      <c r="M34" s="468"/>
      <c r="N34" s="468"/>
      <c r="O34" s="468"/>
    </row>
    <row r="35" spans="1:15" ht="23.25" customHeight="1" x14ac:dyDescent="0.2">
      <c r="B35" s="483" t="s">
        <v>1733</v>
      </c>
      <c r="C35" s="480">
        <v>0.3</v>
      </c>
      <c r="D35" s="480">
        <v>0.1</v>
      </c>
      <c r="E35" s="480">
        <v>0.9</v>
      </c>
      <c r="F35" s="480">
        <v>0.1</v>
      </c>
      <c r="H35" s="468"/>
      <c r="I35" s="468"/>
      <c r="J35" s="468"/>
      <c r="K35" s="468"/>
      <c r="L35" s="468"/>
      <c r="M35" s="468"/>
      <c r="N35" s="468"/>
      <c r="O35" s="468"/>
    </row>
    <row r="36" spans="1:15" ht="23.25" customHeight="1" x14ac:dyDescent="0.2">
      <c r="A36" s="468"/>
      <c r="B36" s="483" t="s">
        <v>1734</v>
      </c>
      <c r="C36" s="480">
        <v>-0.2</v>
      </c>
      <c r="D36" s="480">
        <v>-0.3</v>
      </c>
      <c r="E36" s="480">
        <v>0.5</v>
      </c>
      <c r="F36" s="480">
        <v>0.2</v>
      </c>
      <c r="G36" s="468"/>
      <c r="H36" s="468"/>
      <c r="I36" s="468"/>
      <c r="J36" s="468"/>
      <c r="K36" s="468"/>
      <c r="L36" s="468"/>
      <c r="M36" s="468"/>
      <c r="N36" s="468"/>
      <c r="O36" s="468"/>
    </row>
    <row r="37" spans="1:15" ht="23.25" customHeight="1" x14ac:dyDescent="0.2">
      <c r="A37" s="468"/>
      <c r="B37" s="483" t="s">
        <v>1735</v>
      </c>
      <c r="C37" s="480"/>
      <c r="D37" s="480">
        <v>-0.8</v>
      </c>
      <c r="E37" s="480">
        <v>1.2</v>
      </c>
      <c r="F37" s="480">
        <v>1.5</v>
      </c>
      <c r="G37" s="468"/>
      <c r="H37" s="468"/>
      <c r="I37" s="468"/>
      <c r="J37" s="468"/>
      <c r="K37" s="468"/>
      <c r="L37" s="468"/>
      <c r="M37" s="468"/>
      <c r="N37" s="468"/>
      <c r="O37" s="468"/>
    </row>
    <row r="38" spans="1:15" ht="23.25" customHeight="1" x14ac:dyDescent="0.2">
      <c r="A38" s="468"/>
      <c r="B38" s="481" t="s">
        <v>1532</v>
      </c>
      <c r="C38" s="482">
        <f>C34-C35+C36+C37</f>
        <v>6.4</v>
      </c>
      <c r="D38" s="482">
        <f>D34-D35+D36+D37</f>
        <v>7.1000000000000014</v>
      </c>
      <c r="E38" s="482">
        <f>E34-E35+E36+E37</f>
        <v>14.299999999999999</v>
      </c>
      <c r="F38" s="482">
        <f t="shared" ref="F38" si="8">F34-F35+F36+F37</f>
        <v>15</v>
      </c>
      <c r="G38" s="468"/>
      <c r="H38" s="468"/>
      <c r="I38" s="468"/>
      <c r="J38" s="468"/>
      <c r="K38" s="468"/>
      <c r="L38" s="468"/>
      <c r="M38" s="468"/>
      <c r="N38" s="468"/>
      <c r="O38" s="468"/>
    </row>
    <row r="39" spans="1:15" ht="23" customHeight="1" x14ac:dyDescent="0.2">
      <c r="A39" s="468"/>
      <c r="B39" s="481" t="s">
        <v>1736</v>
      </c>
      <c r="C39" s="482">
        <f t="shared" ref="C39:F39" si="9">C33-C38</f>
        <v>69.150000000000006</v>
      </c>
      <c r="D39" s="482">
        <f t="shared" si="9"/>
        <v>59.900000000000013</v>
      </c>
      <c r="E39" s="482">
        <f t="shared" si="9"/>
        <v>-0.59999999999996767</v>
      </c>
      <c r="F39" s="482">
        <f t="shared" si="9"/>
        <v>-13.200000000000074</v>
      </c>
      <c r="G39" s="468"/>
      <c r="H39" s="468"/>
      <c r="I39" s="468"/>
      <c r="J39" s="468"/>
      <c r="K39" s="468"/>
      <c r="L39" s="468"/>
      <c r="M39" s="468"/>
      <c r="N39" s="468"/>
      <c r="O39" s="468"/>
    </row>
    <row r="40" spans="1:15" ht="23.25" customHeight="1" x14ac:dyDescent="0.2">
      <c r="A40" s="468"/>
      <c r="B40" s="483" t="s">
        <v>1737</v>
      </c>
      <c r="C40" s="480"/>
      <c r="D40" s="480"/>
      <c r="E40" s="480"/>
      <c r="F40" s="493"/>
      <c r="G40" s="468"/>
      <c r="H40" s="468"/>
      <c r="I40" s="468"/>
      <c r="J40" s="468"/>
      <c r="K40" s="468"/>
      <c r="L40" s="468"/>
      <c r="M40" s="468"/>
      <c r="N40" s="468"/>
      <c r="O40" s="468"/>
    </row>
    <row r="41" spans="1:15" ht="23.25" customHeight="1" x14ac:dyDescent="0.2">
      <c r="A41" s="468"/>
      <c r="B41" s="479" t="s">
        <v>1533</v>
      </c>
      <c r="C41" s="480">
        <v>6</v>
      </c>
      <c r="D41" s="480">
        <v>12</v>
      </c>
      <c r="E41" s="480">
        <v>12.3</v>
      </c>
      <c r="F41" s="480">
        <v>12.8</v>
      </c>
      <c r="G41" s="468"/>
      <c r="H41" s="468"/>
      <c r="I41" s="468"/>
      <c r="J41" s="468"/>
      <c r="K41" s="468"/>
      <c r="L41" s="468"/>
      <c r="M41" s="468"/>
      <c r="N41" s="468"/>
      <c r="O41" s="468"/>
    </row>
    <row r="42" spans="1:15" ht="23.25" customHeight="1" x14ac:dyDescent="0.2">
      <c r="A42" s="468"/>
      <c r="B42" s="483" t="s">
        <v>1738</v>
      </c>
      <c r="C42" s="480">
        <v>1.8</v>
      </c>
      <c r="D42" s="480"/>
      <c r="E42" s="480"/>
      <c r="F42" s="480">
        <v>5.6</v>
      </c>
      <c r="G42" s="468"/>
      <c r="H42" s="468"/>
      <c r="I42" s="468"/>
      <c r="J42" s="468"/>
      <c r="K42" s="468"/>
      <c r="L42" s="468"/>
      <c r="M42" s="468"/>
      <c r="N42" s="468"/>
      <c r="O42" s="468"/>
    </row>
    <row r="43" spans="1:15" ht="23.25" customHeight="1" x14ac:dyDescent="0.2">
      <c r="A43" s="468"/>
      <c r="B43" s="481" t="s">
        <v>1534</v>
      </c>
      <c r="C43" s="482">
        <f>C39+C40-C41-C42</f>
        <v>61.350000000000009</v>
      </c>
      <c r="D43" s="482">
        <f>D39+D40-D41-D42</f>
        <v>47.900000000000013</v>
      </c>
      <c r="E43" s="482">
        <f t="shared" ref="E43:F43" si="10">E39+E40-E41-E42</f>
        <v>-12.899999999999968</v>
      </c>
      <c r="F43" s="482">
        <f t="shared" si="10"/>
        <v>-31.600000000000072</v>
      </c>
      <c r="G43" s="468"/>
      <c r="H43" s="468"/>
      <c r="I43" s="468"/>
      <c r="J43" s="468"/>
      <c r="K43" s="468"/>
      <c r="L43" s="468"/>
      <c r="M43" s="468"/>
      <c r="N43" s="468"/>
      <c r="O43" s="468"/>
    </row>
    <row r="44" spans="1:15" ht="23.25" customHeight="1" x14ac:dyDescent="0.2">
      <c r="A44" s="468"/>
      <c r="B44" s="494" t="s">
        <v>1739</v>
      </c>
      <c r="C44" s="484">
        <v>303.2</v>
      </c>
      <c r="D44" s="484">
        <f>16.7+339.8+2.1+8.9-125.7</f>
        <v>241.8</v>
      </c>
      <c r="E44" s="484">
        <f>D45</f>
        <v>193.89999999999995</v>
      </c>
      <c r="F44" s="484">
        <f>E45</f>
        <v>206.8</v>
      </c>
      <c r="G44" s="468"/>
      <c r="H44" s="468"/>
      <c r="I44" s="468"/>
      <c r="J44" s="468"/>
      <c r="K44" s="468"/>
      <c r="L44" s="468"/>
      <c r="M44" s="468"/>
      <c r="N44" s="468"/>
      <c r="O44" s="468"/>
    </row>
    <row r="45" spans="1:15" ht="23.25" customHeight="1" x14ac:dyDescent="0.2">
      <c r="A45" s="468"/>
      <c r="B45" s="495" t="s">
        <v>1740</v>
      </c>
      <c r="C45" s="496">
        <f>C76</f>
        <v>241.8</v>
      </c>
      <c r="D45" s="496">
        <f>D76</f>
        <v>193.89999999999995</v>
      </c>
      <c r="E45" s="496">
        <f>E76</f>
        <v>206.8</v>
      </c>
      <c r="F45" s="496">
        <f>F76</f>
        <v>238.4</v>
      </c>
      <c r="G45" s="468"/>
      <c r="H45" s="468"/>
      <c r="I45" s="468"/>
      <c r="J45" s="468"/>
      <c r="K45" s="468"/>
      <c r="L45" s="468"/>
      <c r="M45" s="468"/>
      <c r="N45" s="468"/>
      <c r="O45" s="468"/>
    </row>
    <row r="46" spans="1:15" ht="23.25" hidden="1" customHeight="1" x14ac:dyDescent="0.2">
      <c r="A46" s="468"/>
      <c r="B46" s="497" t="s">
        <v>1741</v>
      </c>
      <c r="C46" s="498">
        <f>-(C45-C44)</f>
        <v>61.399999999999977</v>
      </c>
      <c r="D46" s="498">
        <f>-(D45-D44)</f>
        <v>47.900000000000063</v>
      </c>
      <c r="E46" s="498">
        <f>-(E76-D76)</f>
        <v>-12.900000000000063</v>
      </c>
      <c r="F46" s="498">
        <f>-(F76-E76)</f>
        <v>-31.599999999999994</v>
      </c>
      <c r="G46" s="468"/>
      <c r="H46" s="468"/>
      <c r="I46" s="468"/>
      <c r="J46" s="468"/>
      <c r="K46" s="468"/>
      <c r="L46" s="468"/>
      <c r="M46" s="468"/>
      <c r="N46" s="468"/>
      <c r="O46" s="468"/>
    </row>
    <row r="47" spans="1:15" ht="23.25" hidden="1" customHeight="1" x14ac:dyDescent="0.2">
      <c r="A47" s="468"/>
      <c r="B47" s="497"/>
      <c r="C47" s="498">
        <f t="shared" ref="C47:F47" si="11">C46-C43</f>
        <v>4.9999999999968736E-2</v>
      </c>
      <c r="D47" s="498">
        <f t="shared" si="11"/>
        <v>0</v>
      </c>
      <c r="E47" s="498">
        <f t="shared" si="11"/>
        <v>-9.4146912488213275E-14</v>
      </c>
      <c r="F47" s="498">
        <f t="shared" si="11"/>
        <v>7.815970093361102E-14</v>
      </c>
      <c r="G47" s="468"/>
      <c r="H47" s="468"/>
      <c r="I47" s="468"/>
      <c r="J47" s="468"/>
      <c r="K47" s="468"/>
      <c r="L47" s="468"/>
      <c r="M47" s="468"/>
      <c r="N47" s="468"/>
      <c r="O47" s="468"/>
    </row>
    <row r="48" spans="1:15" ht="23.25" hidden="1" customHeight="1" x14ac:dyDescent="0.2">
      <c r="A48" s="468"/>
      <c r="B48" s="497"/>
      <c r="C48" s="499"/>
      <c r="D48" s="499"/>
      <c r="E48" s="499"/>
      <c r="F48" s="499"/>
      <c r="G48" s="468"/>
      <c r="H48" s="468"/>
      <c r="I48" s="468"/>
      <c r="J48" s="468"/>
      <c r="K48" s="468"/>
      <c r="L48" s="468"/>
      <c r="M48" s="468"/>
      <c r="N48" s="468"/>
      <c r="O48" s="468"/>
    </row>
    <row r="49" spans="1:15" ht="23.25" customHeight="1" x14ac:dyDescent="0.2">
      <c r="A49" s="468"/>
      <c r="B49" s="500"/>
      <c r="C49" s="500"/>
      <c r="E49" s="500"/>
      <c r="F49" s="500"/>
      <c r="G49" s="468"/>
      <c r="H49" s="468"/>
      <c r="I49" s="468"/>
      <c r="J49" s="468"/>
      <c r="K49" s="468"/>
      <c r="L49" s="468"/>
      <c r="M49" s="468"/>
      <c r="N49" s="468"/>
      <c r="O49" s="468"/>
    </row>
    <row r="50" spans="1:15" ht="23.25" customHeight="1" x14ac:dyDescent="0.2">
      <c r="A50" s="468"/>
      <c r="B50" s="497"/>
      <c r="C50" s="501"/>
      <c r="D50" s="501"/>
      <c r="E50" s="501"/>
      <c r="F50" s="501"/>
      <c r="G50" s="468"/>
      <c r="H50" s="468"/>
      <c r="I50" s="468"/>
      <c r="J50" s="468"/>
      <c r="K50" s="468"/>
      <c r="L50" s="468"/>
      <c r="M50" s="468"/>
      <c r="N50" s="468"/>
      <c r="O50" s="468"/>
    </row>
    <row r="51" spans="1:15" ht="23.25" customHeight="1" x14ac:dyDescent="0.2">
      <c r="A51" s="471"/>
      <c r="B51" s="490"/>
      <c r="C51" s="469" t="s">
        <v>350</v>
      </c>
      <c r="D51" s="469" t="s">
        <v>350</v>
      </c>
      <c r="E51" s="469" t="s">
        <v>350</v>
      </c>
      <c r="F51" s="469" t="s">
        <v>350</v>
      </c>
      <c r="G51" s="471"/>
      <c r="H51" s="471"/>
      <c r="I51" s="471"/>
      <c r="J51" s="471"/>
      <c r="K51" s="471"/>
      <c r="L51" s="471"/>
      <c r="M51" s="471"/>
      <c r="N51" s="471"/>
      <c r="O51" s="471"/>
    </row>
    <row r="52" spans="1:15" ht="18" customHeight="1" x14ac:dyDescent="0.2">
      <c r="A52" s="468"/>
      <c r="B52" s="472" t="s">
        <v>1742</v>
      </c>
      <c r="C52" s="473" t="str">
        <f t="shared" ref="C52:E52" si="12">C27</f>
        <v>2021-2022</v>
      </c>
      <c r="D52" s="473" t="str">
        <f t="shared" si="12"/>
        <v>2022-2023</v>
      </c>
      <c r="E52" s="473" t="str">
        <f t="shared" si="12"/>
        <v>2023-2024</v>
      </c>
      <c r="F52" s="473" t="str">
        <f>F27</f>
        <v>2024-2025</v>
      </c>
      <c r="G52" s="468"/>
      <c r="H52" s="468"/>
      <c r="I52" s="468"/>
      <c r="J52" s="468"/>
      <c r="K52" s="468"/>
      <c r="L52" s="468"/>
      <c r="M52" s="468"/>
      <c r="N52" s="468"/>
      <c r="O52" s="468"/>
    </row>
    <row r="53" spans="1:15" ht="23.25" customHeight="1" x14ac:dyDescent="0.2">
      <c r="A53" s="468"/>
      <c r="B53" s="479" t="s">
        <v>1743</v>
      </c>
      <c r="C53" s="480">
        <v>3.7</v>
      </c>
      <c r="D53" s="480">
        <v>3.6</v>
      </c>
      <c r="E53" s="480">
        <v>3.7</v>
      </c>
      <c r="F53" s="480">
        <v>3.7</v>
      </c>
      <c r="G53" s="492"/>
      <c r="H53" s="468"/>
      <c r="I53" s="468"/>
      <c r="J53" s="468"/>
      <c r="K53" s="468"/>
      <c r="L53" s="468"/>
      <c r="M53" s="468"/>
      <c r="N53" s="468"/>
      <c r="O53" s="468"/>
    </row>
    <row r="54" spans="1:15" ht="23.25" customHeight="1" x14ac:dyDescent="0.2">
      <c r="B54" s="479" t="s">
        <v>1744</v>
      </c>
      <c r="C54" s="480">
        <v>26</v>
      </c>
      <c r="D54" s="480">
        <v>26</v>
      </c>
      <c r="E54" s="480">
        <v>26</v>
      </c>
      <c r="F54" s="480">
        <v>26</v>
      </c>
      <c r="G54" s="492"/>
      <c r="H54" s="468"/>
      <c r="I54" s="468"/>
      <c r="J54" s="468"/>
      <c r="K54" s="468"/>
      <c r="L54" s="468"/>
      <c r="M54" s="468"/>
      <c r="N54" s="468"/>
      <c r="O54" s="468"/>
    </row>
    <row r="55" spans="1:15" ht="23.25" customHeight="1" x14ac:dyDescent="0.2">
      <c r="A55" s="468"/>
      <c r="B55" s="479" t="s">
        <v>1535</v>
      </c>
      <c r="C55" s="480">
        <v>221.5</v>
      </c>
      <c r="D55" s="480">
        <v>216.51</v>
      </c>
      <c r="E55" s="480">
        <v>224.2</v>
      </c>
      <c r="F55" s="480">
        <v>232.6</v>
      </c>
      <c r="G55" s="492"/>
      <c r="H55" s="468"/>
      <c r="I55" s="468"/>
      <c r="J55" s="468"/>
      <c r="K55" s="468"/>
      <c r="L55" s="468"/>
      <c r="M55" s="468"/>
      <c r="N55" s="468"/>
      <c r="O55" s="468"/>
    </row>
    <row r="56" spans="1:15" ht="23.25" customHeight="1" x14ac:dyDescent="0.2">
      <c r="A56" s="468"/>
      <c r="B56" s="502" t="s">
        <v>1745</v>
      </c>
      <c r="C56" s="477">
        <v>153.19999999999999</v>
      </c>
      <c r="D56" s="477">
        <v>146.5</v>
      </c>
      <c r="E56" s="477">
        <v>149.19999999999999</v>
      </c>
      <c r="F56" s="477">
        <v>153.30000000000001</v>
      </c>
      <c r="G56" s="492"/>
      <c r="H56" s="468"/>
      <c r="I56" s="468"/>
      <c r="J56" s="468"/>
      <c r="K56" s="468"/>
      <c r="L56" s="468"/>
      <c r="M56" s="468"/>
      <c r="N56" s="468"/>
      <c r="O56" s="468"/>
    </row>
    <row r="57" spans="1:15" ht="23.25" customHeight="1" x14ac:dyDescent="0.2">
      <c r="A57" s="468"/>
      <c r="B57" s="483" t="s">
        <v>1536</v>
      </c>
      <c r="C57" s="480">
        <v>3.9</v>
      </c>
      <c r="D57" s="480">
        <v>3.8</v>
      </c>
      <c r="E57" s="480">
        <v>3.1</v>
      </c>
      <c r="F57" s="480">
        <v>2.9</v>
      </c>
      <c r="G57" s="492"/>
      <c r="H57" s="468"/>
      <c r="I57" s="468"/>
      <c r="J57" s="468"/>
      <c r="K57" s="468"/>
      <c r="L57" s="468"/>
      <c r="M57" s="468"/>
      <c r="N57" s="468"/>
      <c r="O57" s="468"/>
    </row>
    <row r="58" spans="1:15" ht="23.25" customHeight="1" x14ac:dyDescent="0.2">
      <c r="A58" s="468"/>
      <c r="B58" s="474" t="s">
        <v>1537</v>
      </c>
      <c r="C58" s="475">
        <f>C53+C54+C55+C57</f>
        <v>255.1</v>
      </c>
      <c r="D58" s="475">
        <f t="shared" ref="D58:F58" si="13">D53+D54+D55+D57</f>
        <v>249.91</v>
      </c>
      <c r="E58" s="475">
        <f t="shared" si="13"/>
        <v>257</v>
      </c>
      <c r="F58" s="475">
        <f t="shared" si="13"/>
        <v>265.2</v>
      </c>
      <c r="G58" s="468"/>
      <c r="H58" s="468"/>
      <c r="I58" s="468"/>
      <c r="J58" s="468"/>
      <c r="K58" s="468"/>
      <c r="L58" s="468"/>
      <c r="M58" s="468"/>
      <c r="N58" s="468"/>
      <c r="O58" s="468"/>
    </row>
    <row r="59" spans="1:15" ht="23.25" customHeight="1" x14ac:dyDescent="0.2">
      <c r="B59" s="479" t="s">
        <v>1185</v>
      </c>
      <c r="C59" s="480">
        <v>553.6</v>
      </c>
      <c r="D59" s="480">
        <v>592.79999999999995</v>
      </c>
      <c r="E59" s="480">
        <v>644.1</v>
      </c>
      <c r="F59" s="480">
        <v>679.3</v>
      </c>
      <c r="G59" s="492"/>
      <c r="H59" s="468"/>
      <c r="I59" s="468"/>
      <c r="J59" s="468"/>
      <c r="K59" s="468"/>
      <c r="L59" s="468"/>
      <c r="M59" s="468"/>
      <c r="N59" s="468"/>
      <c r="O59" s="468"/>
    </row>
    <row r="60" spans="1:15" ht="23.25" customHeight="1" x14ac:dyDescent="0.2">
      <c r="B60" s="502" t="s">
        <v>1746</v>
      </c>
      <c r="C60" s="477">
        <v>117.3</v>
      </c>
      <c r="D60" s="477">
        <v>124.2</v>
      </c>
      <c r="E60" s="477">
        <v>140.5</v>
      </c>
      <c r="F60" s="477">
        <v>141.19999999999999</v>
      </c>
      <c r="G60" s="492"/>
      <c r="H60" s="468"/>
      <c r="I60" s="468"/>
      <c r="J60" s="468"/>
      <c r="K60" s="468"/>
      <c r="L60" s="468"/>
      <c r="M60" s="468"/>
      <c r="N60" s="468"/>
      <c r="O60" s="468"/>
    </row>
    <row r="61" spans="1:15" ht="23.25" customHeight="1" x14ac:dyDescent="0.2">
      <c r="B61" s="502" t="s">
        <v>1747</v>
      </c>
      <c r="C61" s="477">
        <v>436.3</v>
      </c>
      <c r="D61" s="477">
        <v>468.6</v>
      </c>
      <c r="E61" s="477">
        <v>503.6</v>
      </c>
      <c r="F61" s="477">
        <v>538.1</v>
      </c>
      <c r="G61" s="492"/>
      <c r="H61" s="468"/>
      <c r="I61" s="468"/>
      <c r="J61" s="468"/>
      <c r="K61" s="468"/>
      <c r="L61" s="468"/>
      <c r="M61" s="468"/>
      <c r="N61" s="468"/>
      <c r="O61" s="468"/>
    </row>
    <row r="62" spans="1:15" ht="23.25" customHeight="1" x14ac:dyDescent="0.2">
      <c r="A62" s="468"/>
      <c r="B62" s="479" t="s">
        <v>23</v>
      </c>
      <c r="C62" s="480">
        <v>45.5</v>
      </c>
      <c r="D62" s="480">
        <v>26.9</v>
      </c>
      <c r="E62" s="480">
        <v>41.8</v>
      </c>
      <c r="F62" s="480">
        <v>54</v>
      </c>
      <c r="G62" s="492"/>
      <c r="H62" s="468"/>
      <c r="I62" s="468"/>
      <c r="J62" s="468"/>
      <c r="K62" s="468"/>
      <c r="L62" s="468"/>
      <c r="M62" s="468"/>
      <c r="N62" s="468"/>
      <c r="O62" s="468"/>
    </row>
    <row r="63" spans="1:15" ht="23.25" customHeight="1" x14ac:dyDescent="0.2">
      <c r="A63" s="468"/>
      <c r="B63" s="479" t="s">
        <v>1538</v>
      </c>
      <c r="C63" s="480">
        <v>15.5</v>
      </c>
      <c r="D63" s="480">
        <v>18.7</v>
      </c>
      <c r="E63" s="480">
        <v>18.7</v>
      </c>
      <c r="F63" s="480">
        <v>22.6</v>
      </c>
      <c r="G63" s="492"/>
      <c r="H63" s="468"/>
      <c r="I63" s="468"/>
      <c r="J63" s="468"/>
      <c r="K63" s="468"/>
      <c r="L63" s="468"/>
      <c r="M63" s="468"/>
      <c r="N63" s="468"/>
      <c r="O63" s="468"/>
    </row>
    <row r="64" spans="1:15" ht="23.25" customHeight="1" x14ac:dyDescent="0.2">
      <c r="A64" s="468"/>
      <c r="B64" s="479" t="s">
        <v>351</v>
      </c>
      <c r="C64" s="480">
        <v>75.599999999999994</v>
      </c>
      <c r="D64" s="480">
        <v>97.8</v>
      </c>
      <c r="E64" s="480">
        <v>100.7</v>
      </c>
      <c r="F64" s="480">
        <v>97.3</v>
      </c>
      <c r="G64" s="492"/>
      <c r="H64" s="468"/>
      <c r="I64" s="468"/>
      <c r="J64" s="468"/>
      <c r="K64" s="468"/>
      <c r="L64" s="468"/>
      <c r="M64" s="468"/>
      <c r="N64" s="468"/>
      <c r="O64" s="468"/>
    </row>
    <row r="65" spans="1:15" ht="23.25" customHeight="1" x14ac:dyDescent="0.2">
      <c r="A65" s="468"/>
      <c r="B65" s="479" t="s">
        <v>1539</v>
      </c>
      <c r="C65" s="480">
        <f>15.7+2.3+5.4</f>
        <v>23.4</v>
      </c>
      <c r="D65" s="480">
        <f>5.1+16.7+2.7</f>
        <v>24.499999999999996</v>
      </c>
      <c r="E65" s="480">
        <f>5.9+17.4+4.7</f>
        <v>27.999999999999996</v>
      </c>
      <c r="F65" s="480">
        <f>7.4+15.5+5.6</f>
        <v>28.5</v>
      </c>
      <c r="G65" s="492"/>
      <c r="H65" s="468"/>
      <c r="I65" s="468"/>
      <c r="J65" s="468"/>
      <c r="K65" s="468"/>
      <c r="L65" s="468"/>
      <c r="M65" s="468"/>
      <c r="N65" s="468"/>
      <c r="O65" s="468"/>
    </row>
    <row r="66" spans="1:15" ht="23.25" customHeight="1" x14ac:dyDescent="0.2">
      <c r="A66" s="468"/>
      <c r="B66" s="474" t="s">
        <v>1540</v>
      </c>
      <c r="C66" s="475">
        <f t="shared" ref="C66:E66" si="14">C59+C62+C63-C64-C65</f>
        <v>515.6</v>
      </c>
      <c r="D66" s="475">
        <f t="shared" si="14"/>
        <v>516.1</v>
      </c>
      <c r="E66" s="475">
        <f t="shared" si="14"/>
        <v>575.9</v>
      </c>
      <c r="F66" s="475">
        <f>F59+F62+F63-F64-F65</f>
        <v>630.1</v>
      </c>
      <c r="G66" s="468"/>
      <c r="H66" s="468"/>
      <c r="I66" s="468"/>
      <c r="J66" s="468"/>
      <c r="K66" s="468"/>
      <c r="L66" s="468"/>
      <c r="M66" s="468"/>
      <c r="N66" s="468"/>
      <c r="O66" s="468"/>
    </row>
    <row r="67" spans="1:15" ht="23.25" customHeight="1" x14ac:dyDescent="0.2">
      <c r="A67" s="468"/>
      <c r="B67" s="481" t="s">
        <v>1748</v>
      </c>
      <c r="C67" s="482">
        <f t="shared" ref="C67:F67" si="15">C58+C66</f>
        <v>770.7</v>
      </c>
      <c r="D67" s="482">
        <f t="shared" si="15"/>
        <v>766.01</v>
      </c>
      <c r="E67" s="482">
        <f t="shared" si="15"/>
        <v>832.9</v>
      </c>
      <c r="F67" s="482">
        <f t="shared" si="15"/>
        <v>895.3</v>
      </c>
      <c r="G67" s="468"/>
      <c r="H67" s="468"/>
      <c r="I67" s="468"/>
      <c r="J67" s="468"/>
      <c r="K67" s="468"/>
      <c r="L67" s="468"/>
      <c r="M67" s="468"/>
      <c r="N67" s="468"/>
      <c r="O67" s="468"/>
    </row>
    <row r="68" spans="1:15" ht="23.25" customHeight="1" x14ac:dyDescent="0.2">
      <c r="B68" s="479" t="s">
        <v>205</v>
      </c>
      <c r="C68" s="480">
        <v>500.6</v>
      </c>
      <c r="D68" s="480">
        <v>544.6</v>
      </c>
      <c r="E68" s="480">
        <v>597.79999999999995</v>
      </c>
      <c r="F68" s="480">
        <v>627.5</v>
      </c>
      <c r="G68" s="492"/>
      <c r="H68" s="468"/>
      <c r="I68" s="468"/>
      <c r="J68" s="468"/>
      <c r="K68" s="468"/>
      <c r="L68" s="468"/>
      <c r="M68" s="468"/>
      <c r="N68" s="468"/>
      <c r="O68" s="468"/>
    </row>
    <row r="69" spans="1:15" ht="23.25" customHeight="1" x14ac:dyDescent="0.2">
      <c r="B69" s="479" t="s">
        <v>1541</v>
      </c>
      <c r="C69" s="480">
        <v>3.3</v>
      </c>
      <c r="D69" s="480">
        <v>3.5</v>
      </c>
      <c r="E69" s="480">
        <v>3.6</v>
      </c>
      <c r="F69" s="480">
        <v>3.6</v>
      </c>
      <c r="H69" s="468"/>
      <c r="I69" s="468"/>
      <c r="J69" s="468"/>
      <c r="K69" s="468"/>
      <c r="L69" s="468"/>
      <c r="M69" s="468"/>
      <c r="N69" s="468"/>
      <c r="O69" s="468"/>
    </row>
    <row r="70" spans="1:15" ht="23.25" customHeight="1" x14ac:dyDescent="0.2">
      <c r="A70" s="468"/>
      <c r="B70" s="479" t="s">
        <v>1749</v>
      </c>
      <c r="C70" s="480">
        <v>0.8</v>
      </c>
      <c r="D70" s="480">
        <v>0.8</v>
      </c>
      <c r="E70" s="480">
        <v>0.9</v>
      </c>
      <c r="F70" s="480">
        <v>1</v>
      </c>
      <c r="G70" s="492"/>
      <c r="H70" s="468"/>
      <c r="I70" s="468"/>
      <c r="J70" s="468"/>
      <c r="K70" s="468"/>
      <c r="L70" s="468"/>
      <c r="M70" s="468"/>
      <c r="N70" s="468"/>
      <c r="O70" s="468"/>
    </row>
    <row r="71" spans="1:15" ht="23.25" customHeight="1" x14ac:dyDescent="0.2">
      <c r="A71" s="468"/>
      <c r="B71" s="479" t="s">
        <v>1750</v>
      </c>
      <c r="C71" s="480">
        <v>25.8</v>
      </c>
      <c r="D71" s="480">
        <v>24.8</v>
      </c>
      <c r="E71" s="480">
        <v>25.6</v>
      </c>
      <c r="F71" s="480">
        <v>26.8</v>
      </c>
      <c r="G71" s="492"/>
      <c r="H71" s="468"/>
      <c r="I71" s="468"/>
      <c r="J71" s="468"/>
      <c r="K71" s="468"/>
      <c r="L71" s="468"/>
      <c r="M71" s="468"/>
      <c r="N71" s="468"/>
      <c r="O71" s="468"/>
    </row>
    <row r="72" spans="1:15" ht="23.25" customHeight="1" x14ac:dyDescent="0.2">
      <c r="A72" s="468"/>
      <c r="B72" s="474" t="s">
        <v>1751</v>
      </c>
      <c r="C72" s="475">
        <f t="shared" ref="C72:E72" si="16">C68+C69-C70+C71</f>
        <v>528.9</v>
      </c>
      <c r="D72" s="475">
        <f t="shared" si="16"/>
        <v>572.1</v>
      </c>
      <c r="E72" s="475">
        <f t="shared" si="16"/>
        <v>626.1</v>
      </c>
      <c r="F72" s="475">
        <f>F68+F69-F70+F71</f>
        <v>656.9</v>
      </c>
      <c r="G72" s="468"/>
      <c r="H72" s="468"/>
      <c r="I72" s="468"/>
      <c r="J72" s="468"/>
      <c r="K72" s="468"/>
      <c r="L72" s="468"/>
      <c r="M72" s="468"/>
      <c r="N72" s="468"/>
      <c r="O72" s="468"/>
    </row>
    <row r="73" spans="1:15" ht="23.25" customHeight="1" x14ac:dyDescent="0.2">
      <c r="A73" s="468"/>
      <c r="B73" s="479" t="s">
        <v>1752</v>
      </c>
      <c r="C73" s="480">
        <f>339.8+2.1+16.7</f>
        <v>358.6</v>
      </c>
      <c r="D73" s="480">
        <f>13.9+279.8+2.9</f>
        <v>296.59999999999997</v>
      </c>
      <c r="E73" s="480">
        <f>15.2+180+3.9</f>
        <v>199.1</v>
      </c>
      <c r="F73" s="480">
        <f>18.2+238.9+5</f>
        <v>262.10000000000002</v>
      </c>
      <c r="G73" s="492"/>
      <c r="H73" s="468"/>
      <c r="I73" s="468"/>
      <c r="J73" s="468"/>
      <c r="K73" s="468"/>
      <c r="L73" s="468"/>
      <c r="M73" s="468"/>
      <c r="N73" s="468"/>
      <c r="O73" s="468"/>
    </row>
    <row r="74" spans="1:15" ht="23.25" customHeight="1" x14ac:dyDescent="0.2">
      <c r="B74" s="483" t="s">
        <v>1753</v>
      </c>
      <c r="C74" s="480">
        <v>8.9</v>
      </c>
      <c r="D74" s="480">
        <v>4.2</v>
      </c>
      <c r="E74" s="480">
        <v>58.9</v>
      </c>
      <c r="F74" s="480">
        <v>33.200000000000003</v>
      </c>
      <c r="H74" s="468"/>
      <c r="I74" s="468"/>
      <c r="J74" s="468"/>
      <c r="K74" s="468"/>
      <c r="L74" s="468"/>
      <c r="M74" s="468"/>
      <c r="N74" s="468"/>
      <c r="O74" s="468"/>
    </row>
    <row r="75" spans="1:15" ht="23.25" customHeight="1" x14ac:dyDescent="0.2">
      <c r="B75" s="479" t="s">
        <v>1542</v>
      </c>
      <c r="C75" s="480">
        <v>125.7</v>
      </c>
      <c r="D75" s="480">
        <v>106.9</v>
      </c>
      <c r="E75" s="480">
        <v>51.2</v>
      </c>
      <c r="F75" s="480">
        <v>56.9</v>
      </c>
      <c r="G75" s="492"/>
      <c r="H75" s="503"/>
      <c r="I75" s="503"/>
      <c r="J75" s="503"/>
      <c r="K75" s="503"/>
      <c r="L75" s="503"/>
      <c r="M75" s="503"/>
      <c r="N75" s="503"/>
      <c r="O75" s="503"/>
    </row>
    <row r="76" spans="1:15" ht="23.25" customHeight="1" x14ac:dyDescent="0.2">
      <c r="A76" s="468"/>
      <c r="B76" s="474" t="s">
        <v>1754</v>
      </c>
      <c r="C76" s="475">
        <f t="shared" ref="C76:F76" si="17">C73+C74-C75</f>
        <v>241.8</v>
      </c>
      <c r="D76" s="475">
        <f t="shared" si="17"/>
        <v>193.89999999999995</v>
      </c>
      <c r="E76" s="475">
        <f t="shared" si="17"/>
        <v>206.8</v>
      </c>
      <c r="F76" s="475">
        <f t="shared" si="17"/>
        <v>238.4</v>
      </c>
      <c r="G76" s="468"/>
      <c r="H76" s="468"/>
      <c r="I76" s="468"/>
      <c r="J76" s="468"/>
      <c r="K76" s="468"/>
      <c r="L76" s="468"/>
      <c r="M76" s="468"/>
      <c r="N76" s="468"/>
      <c r="O76" s="468"/>
    </row>
    <row r="77" spans="1:15" ht="23.25" customHeight="1" x14ac:dyDescent="0.2">
      <c r="A77" s="468"/>
      <c r="B77" s="481" t="s">
        <v>1755</v>
      </c>
      <c r="C77" s="482">
        <f t="shared" ref="C77:F77" si="18">C72+C76</f>
        <v>770.7</v>
      </c>
      <c r="D77" s="482">
        <f t="shared" si="18"/>
        <v>766</v>
      </c>
      <c r="E77" s="482">
        <f t="shared" si="18"/>
        <v>832.90000000000009</v>
      </c>
      <c r="F77" s="482">
        <f t="shared" si="18"/>
        <v>895.3</v>
      </c>
      <c r="G77" s="468"/>
      <c r="H77" s="468"/>
      <c r="I77" s="468"/>
      <c r="J77" s="468"/>
      <c r="K77" s="468"/>
      <c r="L77" s="468"/>
      <c r="M77" s="468"/>
      <c r="N77" s="468"/>
      <c r="O77" s="468"/>
    </row>
    <row r="78" spans="1:15" ht="23.25" customHeight="1" x14ac:dyDescent="0.2">
      <c r="A78" s="468"/>
      <c r="B78" s="497"/>
      <c r="C78" s="498"/>
      <c r="D78" s="498"/>
      <c r="E78" s="498"/>
      <c r="F78" s="504"/>
      <c r="G78" s="468"/>
      <c r="H78" s="468"/>
      <c r="I78" s="468"/>
      <c r="J78" s="468"/>
      <c r="K78" s="468"/>
      <c r="L78" s="468"/>
      <c r="M78" s="468"/>
      <c r="N78" s="468"/>
      <c r="O78" s="468"/>
    </row>
    <row r="79" spans="1:15" ht="23.25" customHeight="1" x14ac:dyDescent="0.2">
      <c r="A79" s="468"/>
      <c r="B79" s="497"/>
      <c r="C79" s="501"/>
      <c r="D79" s="501"/>
      <c r="E79" s="501"/>
      <c r="F79" s="501"/>
      <c r="G79" s="468"/>
      <c r="H79" s="468"/>
      <c r="I79" s="468"/>
      <c r="J79" s="468"/>
      <c r="K79" s="468"/>
      <c r="L79" s="468"/>
      <c r="M79" s="468"/>
      <c r="N79" s="468"/>
      <c r="O79" s="468"/>
    </row>
    <row r="80" spans="1:15" ht="23.25" customHeight="1" x14ac:dyDescent="0.2">
      <c r="A80" s="468"/>
      <c r="B80" s="472" t="s">
        <v>1756</v>
      </c>
      <c r="C80" s="473">
        <v>2019</v>
      </c>
      <c r="D80" s="473">
        <f>C80+1</f>
        <v>2020</v>
      </c>
      <c r="E80" s="473">
        <f t="shared" ref="E80:H80" si="19">D80+1</f>
        <v>2021</v>
      </c>
      <c r="F80" s="473">
        <f t="shared" si="19"/>
        <v>2022</v>
      </c>
      <c r="G80" s="473">
        <f t="shared" si="19"/>
        <v>2023</v>
      </c>
      <c r="H80" s="473">
        <f t="shared" si="19"/>
        <v>2024</v>
      </c>
      <c r="I80" s="468"/>
      <c r="J80" s="468"/>
      <c r="K80" s="468"/>
      <c r="L80" s="468"/>
      <c r="M80" s="468"/>
      <c r="N80" s="468"/>
      <c r="O80" s="468"/>
    </row>
    <row r="81" spans="1:15" ht="23.25" customHeight="1" x14ac:dyDescent="0.2">
      <c r="A81" s="468"/>
      <c r="B81" s="469" t="s">
        <v>1757</v>
      </c>
      <c r="C81" s="505" t="s">
        <v>1758</v>
      </c>
      <c r="D81" s="505" t="s">
        <v>1759</v>
      </c>
      <c r="E81" s="505" t="s">
        <v>1760</v>
      </c>
      <c r="F81" s="505" t="s">
        <v>1761</v>
      </c>
      <c r="G81" s="505" t="s">
        <v>1762</v>
      </c>
      <c r="H81" s="505" t="s">
        <v>1763</v>
      </c>
      <c r="I81" s="468"/>
      <c r="J81" s="468"/>
      <c r="K81" s="468"/>
      <c r="L81" s="468"/>
      <c r="M81" s="468"/>
      <c r="N81" s="468"/>
      <c r="O81" s="468"/>
    </row>
    <row r="82" spans="1:15" ht="23.25" customHeight="1" x14ac:dyDescent="0.2">
      <c r="A82" s="468"/>
      <c r="B82" s="469" t="s">
        <v>1764</v>
      </c>
      <c r="C82" s="506">
        <v>17</v>
      </c>
      <c r="D82" s="506">
        <v>17.2</v>
      </c>
      <c r="E82" s="506">
        <v>17.8</v>
      </c>
      <c r="F82" s="506">
        <v>19.399999999999999</v>
      </c>
      <c r="G82" s="506">
        <v>21.4</v>
      </c>
      <c r="H82" s="506">
        <v>21.3</v>
      </c>
      <c r="I82" s="468"/>
      <c r="J82" s="468"/>
      <c r="K82" s="468"/>
      <c r="L82" s="468"/>
      <c r="M82" s="468"/>
      <c r="N82" s="468"/>
      <c r="O82" s="468"/>
    </row>
    <row r="83" spans="1:15" ht="23.25" customHeight="1" x14ac:dyDescent="0.2">
      <c r="A83" s="468"/>
      <c r="B83" s="469" t="s">
        <v>1765</v>
      </c>
      <c r="D83" s="507">
        <v>5.97</v>
      </c>
      <c r="E83" s="507">
        <v>6.9</v>
      </c>
      <c r="F83" s="507">
        <v>7.45</v>
      </c>
      <c r="G83" s="507">
        <v>8.0500000000000007</v>
      </c>
      <c r="H83" s="507">
        <v>8.17</v>
      </c>
      <c r="I83" s="468"/>
      <c r="J83" s="468"/>
      <c r="K83" s="468"/>
      <c r="L83" s="468"/>
      <c r="M83" s="468"/>
      <c r="N83" s="468"/>
      <c r="O83" s="468"/>
    </row>
    <row r="84" spans="1:15" ht="23.25" customHeight="1" x14ac:dyDescent="0.2">
      <c r="A84" s="468"/>
      <c r="B84" s="508" t="s">
        <v>1766</v>
      </c>
      <c r="C84" s="509"/>
      <c r="D84" s="509">
        <v>5.0000000000000001E-3</v>
      </c>
      <c r="E84" s="509">
        <v>1.6E-2</v>
      </c>
      <c r="F84" s="509">
        <v>5.1999999999999998E-2</v>
      </c>
      <c r="G84" s="509">
        <v>4.9000000000000002E-2</v>
      </c>
      <c r="H84" s="509">
        <v>0.02</v>
      </c>
      <c r="I84" s="468"/>
      <c r="J84" s="468"/>
      <c r="K84" s="468"/>
      <c r="L84" s="468"/>
      <c r="M84" s="468"/>
      <c r="N84" s="468"/>
      <c r="O84" s="468"/>
    </row>
    <row r="85" spans="1:15" ht="23.25" customHeight="1" x14ac:dyDescent="0.2">
      <c r="A85" s="468"/>
      <c r="B85" s="469"/>
      <c r="C85" s="510"/>
      <c r="D85" s="510"/>
      <c r="E85" s="510"/>
      <c r="F85" s="510"/>
      <c r="G85" s="469"/>
      <c r="H85" s="468"/>
      <c r="I85" s="468"/>
      <c r="J85" s="468"/>
      <c r="K85" s="468"/>
      <c r="L85" s="468"/>
      <c r="M85" s="468"/>
      <c r="N85" s="468"/>
      <c r="O85" s="468"/>
    </row>
    <row r="86" spans="1:15" ht="23.25" customHeight="1" x14ac:dyDescent="0.2">
      <c r="A86" s="468"/>
      <c r="B86" s="469"/>
      <c r="C86" s="510"/>
      <c r="D86" s="510"/>
      <c r="E86" s="510"/>
      <c r="F86" s="510"/>
      <c r="G86" s="469"/>
      <c r="H86" s="468"/>
      <c r="I86" s="468"/>
      <c r="J86" s="468"/>
      <c r="K86" s="468"/>
      <c r="L86" s="468"/>
      <c r="M86" s="468"/>
      <c r="N86" s="468"/>
      <c r="O86" s="468"/>
    </row>
    <row r="87" spans="1:15" ht="23.25" customHeight="1" x14ac:dyDescent="0.2">
      <c r="A87" s="468"/>
      <c r="B87" s="469"/>
      <c r="C87" s="510"/>
      <c r="D87" s="510"/>
      <c r="E87" s="510"/>
      <c r="F87" s="510"/>
      <c r="G87" s="469"/>
      <c r="H87" s="468"/>
      <c r="I87" s="468"/>
      <c r="J87" s="468"/>
      <c r="K87" s="468"/>
      <c r="L87" s="468"/>
      <c r="M87" s="468"/>
      <c r="N87" s="468"/>
      <c r="O87" s="468"/>
    </row>
    <row r="88" spans="1:15" ht="23.25" customHeight="1" x14ac:dyDescent="0.2">
      <c r="A88" s="468"/>
      <c r="B88" s="469"/>
      <c r="C88" s="510"/>
      <c r="D88" s="510"/>
      <c r="E88" s="510"/>
      <c r="F88" s="510"/>
      <c r="G88" s="469"/>
      <c r="H88" s="468"/>
      <c r="I88" s="468"/>
      <c r="J88" s="468"/>
      <c r="K88" s="468"/>
      <c r="L88" s="468"/>
      <c r="M88" s="468"/>
      <c r="N88" s="468"/>
      <c r="O88" s="468"/>
    </row>
    <row r="89" spans="1:15" ht="23.25" customHeight="1" x14ac:dyDescent="0.2">
      <c r="A89" s="468"/>
      <c r="B89" s="469"/>
      <c r="C89" s="510"/>
      <c r="D89" s="510"/>
      <c r="E89" s="510"/>
      <c r="F89" s="510"/>
      <c r="G89" s="469"/>
      <c r="H89" s="468"/>
      <c r="I89" s="468"/>
      <c r="J89" s="468"/>
      <c r="K89" s="468"/>
      <c r="L89" s="468"/>
      <c r="M89" s="468"/>
      <c r="N89" s="468"/>
      <c r="O89" s="468"/>
    </row>
    <row r="90" spans="1:15" ht="23.25" customHeight="1" x14ac:dyDescent="0.2">
      <c r="A90" s="468"/>
      <c r="B90" s="469"/>
      <c r="C90" s="510"/>
      <c r="D90" s="510"/>
      <c r="E90" s="510"/>
      <c r="F90" s="510"/>
      <c r="G90" s="469"/>
      <c r="H90" s="468"/>
      <c r="I90" s="468"/>
      <c r="J90" s="468"/>
      <c r="K90" s="468"/>
      <c r="L90" s="468"/>
      <c r="M90" s="468"/>
      <c r="N90" s="468"/>
      <c r="O90" s="468"/>
    </row>
    <row r="91" spans="1:15" ht="23.25" customHeight="1" x14ac:dyDescent="0.2">
      <c r="A91" s="468"/>
      <c r="B91" s="469"/>
      <c r="C91" s="510"/>
      <c r="D91" s="510"/>
      <c r="E91" s="510"/>
      <c r="F91" s="510"/>
      <c r="G91" s="469"/>
      <c r="H91" s="468"/>
      <c r="I91" s="468"/>
      <c r="J91" s="468"/>
      <c r="K91" s="468"/>
      <c r="L91" s="468"/>
      <c r="M91" s="468"/>
      <c r="N91" s="468"/>
      <c r="O91" s="468"/>
    </row>
    <row r="92" spans="1:15" ht="23.25" customHeight="1" x14ac:dyDescent="0.2">
      <c r="A92" s="468"/>
      <c r="B92" s="469"/>
      <c r="C92" s="510"/>
      <c r="D92" s="510"/>
      <c r="E92" s="510"/>
      <c r="F92" s="510"/>
      <c r="G92" s="469"/>
      <c r="H92" s="468"/>
      <c r="I92" s="468"/>
      <c r="J92" s="468"/>
      <c r="K92" s="468"/>
      <c r="L92" s="468"/>
      <c r="M92" s="468"/>
      <c r="N92" s="468"/>
      <c r="O92" s="468"/>
    </row>
    <row r="93" spans="1:15" ht="23.25" customHeight="1" x14ac:dyDescent="0.2">
      <c r="A93" s="468"/>
      <c r="B93" s="469"/>
      <c r="C93" s="510"/>
      <c r="D93" s="510"/>
      <c r="E93" s="510"/>
      <c r="F93" s="510"/>
      <c r="G93" s="469"/>
      <c r="H93" s="468"/>
      <c r="I93" s="468"/>
      <c r="J93" s="468"/>
      <c r="K93" s="468"/>
      <c r="L93" s="468"/>
      <c r="M93" s="468"/>
      <c r="N93" s="468"/>
      <c r="O93" s="468"/>
    </row>
    <row r="94" spans="1:15" ht="23.25" customHeight="1" x14ac:dyDescent="0.2">
      <c r="A94" s="468"/>
      <c r="B94" s="469"/>
      <c r="C94" s="510"/>
      <c r="D94" s="510"/>
      <c r="E94" s="510"/>
      <c r="F94" s="510"/>
      <c r="G94" s="469"/>
      <c r="H94" s="468"/>
      <c r="I94" s="468"/>
      <c r="J94" s="468"/>
      <c r="K94" s="468"/>
      <c r="L94" s="468"/>
      <c r="M94" s="468"/>
      <c r="N94" s="468"/>
      <c r="O94" s="468"/>
    </row>
    <row r="95" spans="1:15" ht="23.25" customHeight="1" x14ac:dyDescent="0.2">
      <c r="A95" s="468"/>
      <c r="B95" s="469"/>
      <c r="C95" s="510"/>
      <c r="D95" s="510"/>
      <c r="E95" s="510"/>
      <c r="F95" s="510"/>
      <c r="G95" s="469"/>
      <c r="H95" s="468"/>
      <c r="I95" s="468"/>
      <c r="J95" s="468"/>
      <c r="K95" s="468"/>
      <c r="L95" s="468"/>
      <c r="M95" s="468"/>
      <c r="N95" s="468"/>
      <c r="O95" s="468"/>
    </row>
    <row r="96" spans="1:15" ht="23.25" customHeight="1" x14ac:dyDescent="0.2">
      <c r="A96" s="468"/>
      <c r="B96" s="469"/>
      <c r="C96" s="510"/>
      <c r="D96" s="510"/>
      <c r="E96" s="510"/>
      <c r="F96" s="510"/>
      <c r="G96" s="469"/>
      <c r="H96" s="468"/>
      <c r="I96" s="468"/>
      <c r="J96" s="468"/>
      <c r="K96" s="468"/>
      <c r="L96" s="468"/>
      <c r="M96" s="468"/>
      <c r="N96" s="468"/>
      <c r="O96" s="468"/>
    </row>
    <row r="97" spans="1:15" ht="23.25" customHeight="1" x14ac:dyDescent="0.2">
      <c r="A97" s="468"/>
      <c r="B97" s="469"/>
      <c r="C97" s="510"/>
      <c r="D97" s="510"/>
      <c r="E97" s="510"/>
      <c r="F97" s="510"/>
      <c r="G97" s="469"/>
      <c r="H97" s="468"/>
      <c r="I97" s="468"/>
      <c r="J97" s="468"/>
      <c r="K97" s="468"/>
      <c r="L97" s="468"/>
      <c r="M97" s="468"/>
      <c r="N97" s="468"/>
      <c r="O97" s="468"/>
    </row>
    <row r="98" spans="1:15" ht="23.25" customHeight="1" x14ac:dyDescent="0.2">
      <c r="A98" s="468"/>
      <c r="B98" s="469"/>
      <c r="C98" s="510"/>
      <c r="D98" s="510"/>
      <c r="E98" s="510"/>
      <c r="F98" s="510"/>
      <c r="G98" s="469"/>
      <c r="H98" s="468"/>
      <c r="I98" s="468"/>
      <c r="J98" s="468"/>
      <c r="K98" s="468"/>
      <c r="L98" s="468"/>
      <c r="M98" s="468"/>
      <c r="N98" s="468"/>
      <c r="O98" s="468"/>
    </row>
    <row r="99" spans="1:15" ht="23.25" customHeight="1" x14ac:dyDescent="0.2">
      <c r="A99" s="468"/>
      <c r="B99" s="469"/>
      <c r="C99" s="510"/>
      <c r="D99" s="510"/>
      <c r="E99" s="510"/>
      <c r="F99" s="510"/>
      <c r="G99" s="469"/>
      <c r="H99" s="468"/>
      <c r="I99" s="468"/>
      <c r="J99" s="468"/>
      <c r="K99" s="468"/>
      <c r="L99" s="468"/>
      <c r="M99" s="468"/>
      <c r="N99" s="468"/>
      <c r="O99" s="468"/>
    </row>
    <row r="100" spans="1:15" ht="23.25" customHeight="1" x14ac:dyDescent="0.2">
      <c r="A100" s="468"/>
      <c r="B100" s="469"/>
      <c r="C100" s="510"/>
      <c r="D100" s="510"/>
      <c r="E100" s="510"/>
      <c r="F100" s="510"/>
      <c r="G100" s="469"/>
      <c r="H100" s="468"/>
      <c r="I100" s="468"/>
      <c r="J100" s="468"/>
      <c r="K100" s="468"/>
      <c r="L100" s="468"/>
      <c r="M100" s="468"/>
      <c r="N100" s="468"/>
      <c r="O100" s="468"/>
    </row>
    <row r="101" spans="1:15" ht="23.25" customHeight="1" x14ac:dyDescent="0.2">
      <c r="A101" s="468"/>
      <c r="B101" s="469"/>
      <c r="C101" s="510"/>
      <c r="D101" s="510"/>
      <c r="E101" s="510"/>
      <c r="F101" s="510"/>
      <c r="G101" s="469"/>
      <c r="H101" s="468"/>
      <c r="I101" s="468"/>
      <c r="J101" s="468"/>
      <c r="K101" s="468"/>
      <c r="L101" s="468"/>
      <c r="M101" s="468"/>
      <c r="N101" s="468"/>
      <c r="O101" s="468"/>
    </row>
    <row r="102" spans="1:15" ht="23.25" customHeight="1" x14ac:dyDescent="0.2">
      <c r="A102" s="468"/>
      <c r="B102" s="469"/>
      <c r="C102" s="510"/>
      <c r="D102" s="510"/>
      <c r="E102" s="510"/>
      <c r="F102" s="510"/>
      <c r="G102" s="469"/>
      <c r="H102" s="468"/>
      <c r="I102" s="468"/>
      <c r="J102" s="468"/>
      <c r="K102" s="468"/>
      <c r="L102" s="468"/>
      <c r="M102" s="468"/>
      <c r="N102" s="468"/>
      <c r="O102" s="468"/>
    </row>
    <row r="103" spans="1:15" ht="23.25" customHeight="1" x14ac:dyDescent="0.2">
      <c r="A103" s="468"/>
      <c r="B103" s="469"/>
      <c r="C103" s="510"/>
      <c r="D103" s="510"/>
      <c r="E103" s="510"/>
      <c r="F103" s="510"/>
      <c r="G103" s="469"/>
      <c r="H103" s="468"/>
      <c r="I103" s="468"/>
      <c r="J103" s="468"/>
      <c r="K103" s="468"/>
      <c r="L103" s="468"/>
      <c r="M103" s="468"/>
      <c r="N103" s="468"/>
      <c r="O103" s="468"/>
    </row>
    <row r="104" spans="1:15" ht="23.25" customHeight="1" x14ac:dyDescent="0.2">
      <c r="A104" s="468"/>
      <c r="B104" s="469"/>
      <c r="C104" s="510"/>
      <c r="D104" s="510"/>
      <c r="E104" s="510"/>
      <c r="F104" s="510"/>
      <c r="G104" s="469"/>
      <c r="H104" s="468"/>
      <c r="I104" s="468"/>
      <c r="J104" s="468"/>
      <c r="K104" s="468"/>
      <c r="L104" s="468"/>
      <c r="M104" s="468"/>
      <c r="N104" s="468"/>
      <c r="O104" s="468"/>
    </row>
    <row r="105" spans="1:15" ht="23.25" customHeight="1" x14ac:dyDescent="0.2">
      <c r="A105" s="468"/>
      <c r="B105" s="469"/>
      <c r="C105" s="510"/>
      <c r="D105" s="510"/>
      <c r="E105" s="510"/>
      <c r="F105" s="510"/>
      <c r="G105" s="469"/>
      <c r="H105" s="468"/>
      <c r="I105" s="468"/>
      <c r="J105" s="468"/>
      <c r="K105" s="468"/>
      <c r="L105" s="468"/>
      <c r="M105" s="468"/>
      <c r="N105" s="468"/>
      <c r="O105" s="468"/>
    </row>
    <row r="106" spans="1:15" ht="23.25" customHeight="1" x14ac:dyDescent="0.2">
      <c r="A106" s="468"/>
      <c r="B106" s="469"/>
      <c r="C106" s="510"/>
      <c r="D106" s="510"/>
      <c r="E106" s="510"/>
      <c r="F106" s="510"/>
      <c r="G106" s="469"/>
      <c r="H106" s="468"/>
      <c r="I106" s="468"/>
      <c r="J106" s="468"/>
      <c r="K106" s="468"/>
      <c r="L106" s="468"/>
      <c r="M106" s="468"/>
      <c r="N106" s="468"/>
      <c r="O106" s="468"/>
    </row>
    <row r="107" spans="1:15" ht="23.25" customHeight="1" x14ac:dyDescent="0.2">
      <c r="A107" s="468"/>
      <c r="B107" s="469"/>
      <c r="C107" s="510"/>
      <c r="D107" s="510"/>
      <c r="E107" s="510"/>
      <c r="F107" s="510"/>
      <c r="G107" s="469"/>
      <c r="H107" s="468"/>
      <c r="I107" s="468"/>
      <c r="J107" s="468"/>
      <c r="K107" s="468"/>
      <c r="L107" s="468"/>
      <c r="M107" s="468"/>
      <c r="N107" s="468"/>
      <c r="O107" s="468"/>
    </row>
    <row r="108" spans="1:15" ht="23.25" customHeight="1" x14ac:dyDescent="0.2">
      <c r="A108" s="468"/>
      <c r="B108" s="469"/>
      <c r="C108" s="510"/>
      <c r="D108" s="510"/>
      <c r="E108" s="510"/>
      <c r="F108" s="510"/>
      <c r="G108" s="469"/>
      <c r="H108" s="468"/>
      <c r="I108" s="468"/>
      <c r="J108" s="468"/>
      <c r="K108" s="468"/>
      <c r="L108" s="468"/>
      <c r="M108" s="468"/>
      <c r="N108" s="468"/>
      <c r="O108" s="468"/>
    </row>
    <row r="109" spans="1:15" ht="23.25" customHeight="1" x14ac:dyDescent="0.2">
      <c r="A109" s="468"/>
      <c r="B109" s="469"/>
      <c r="C109" s="510"/>
      <c r="D109" s="510"/>
      <c r="E109" s="510"/>
      <c r="F109" s="510"/>
      <c r="G109" s="469"/>
      <c r="H109" s="468"/>
      <c r="I109" s="468"/>
      <c r="J109" s="468"/>
      <c r="K109" s="468"/>
      <c r="L109" s="468"/>
      <c r="M109" s="468"/>
      <c r="N109" s="468"/>
      <c r="O109" s="468"/>
    </row>
    <row r="110" spans="1:15" ht="23.25" customHeight="1" x14ac:dyDescent="0.2">
      <c r="A110" s="468"/>
      <c r="B110" s="469"/>
      <c r="C110" s="510"/>
      <c r="D110" s="510"/>
      <c r="E110" s="510"/>
      <c r="F110" s="510"/>
      <c r="G110" s="469"/>
      <c r="H110" s="468"/>
      <c r="I110" s="468"/>
      <c r="J110" s="468"/>
      <c r="K110" s="468"/>
      <c r="L110" s="468"/>
      <c r="M110" s="468"/>
      <c r="N110" s="468"/>
      <c r="O110" s="468"/>
    </row>
    <row r="111" spans="1:15" ht="23.25" customHeight="1" x14ac:dyDescent="0.2">
      <c r="A111" s="468"/>
      <c r="B111" s="469"/>
      <c r="C111" s="510"/>
      <c r="D111" s="510"/>
      <c r="E111" s="510"/>
      <c r="F111" s="510"/>
      <c r="G111" s="469"/>
      <c r="H111" s="468"/>
      <c r="I111" s="468"/>
      <c r="J111" s="468"/>
      <c r="K111" s="468"/>
      <c r="L111" s="468"/>
      <c r="M111" s="468"/>
      <c r="N111" s="468"/>
      <c r="O111" s="468"/>
    </row>
    <row r="112" spans="1:15" ht="23.25" customHeight="1" x14ac:dyDescent="0.2">
      <c r="A112" s="468"/>
      <c r="B112" s="469"/>
      <c r="C112" s="510"/>
      <c r="D112" s="510"/>
      <c r="E112" s="510"/>
      <c r="F112" s="510"/>
      <c r="G112" s="469"/>
      <c r="H112" s="468"/>
      <c r="I112" s="468"/>
      <c r="J112" s="468"/>
      <c r="K112" s="468"/>
      <c r="L112" s="468"/>
      <c r="M112" s="468"/>
      <c r="N112" s="468"/>
      <c r="O112" s="468"/>
    </row>
    <row r="113" spans="1:15" ht="23.25" customHeight="1" x14ac:dyDescent="0.2">
      <c r="A113" s="468"/>
      <c r="B113" s="469"/>
      <c r="C113" s="510"/>
      <c r="D113" s="510"/>
      <c r="E113" s="510"/>
      <c r="F113" s="510"/>
      <c r="G113" s="469"/>
      <c r="H113" s="468"/>
      <c r="I113" s="468"/>
      <c r="J113" s="468"/>
      <c r="K113" s="468"/>
      <c r="L113" s="468"/>
      <c r="M113" s="468"/>
      <c r="N113" s="468"/>
      <c r="O113" s="468"/>
    </row>
    <row r="114" spans="1:15" ht="23.25" customHeight="1" x14ac:dyDescent="0.2">
      <c r="A114" s="468"/>
      <c r="B114" s="469"/>
      <c r="C114" s="510"/>
      <c r="D114" s="510"/>
      <c r="E114" s="510"/>
      <c r="F114" s="510"/>
      <c r="G114" s="469"/>
      <c r="H114" s="468"/>
      <c r="I114" s="468"/>
      <c r="J114" s="468"/>
      <c r="K114" s="468"/>
      <c r="L114" s="468"/>
      <c r="M114" s="468"/>
      <c r="N114" s="468"/>
      <c r="O114" s="468"/>
    </row>
    <row r="115" spans="1:15" ht="23.25" customHeight="1" x14ac:dyDescent="0.2">
      <c r="A115" s="468"/>
      <c r="B115" s="469"/>
      <c r="C115" s="510"/>
      <c r="D115" s="510"/>
      <c r="E115" s="510"/>
      <c r="F115" s="510"/>
      <c r="G115" s="469"/>
      <c r="H115" s="468"/>
      <c r="I115" s="468"/>
      <c r="J115" s="468"/>
      <c r="K115" s="468"/>
      <c r="L115" s="468"/>
      <c r="M115" s="468"/>
      <c r="N115" s="468"/>
      <c r="O115" s="468"/>
    </row>
    <row r="116" spans="1:15" ht="23.25" customHeight="1" x14ac:dyDescent="0.2">
      <c r="A116" s="468"/>
      <c r="B116" s="469"/>
      <c r="C116" s="510"/>
      <c r="D116" s="510"/>
      <c r="E116" s="510"/>
      <c r="F116" s="510"/>
      <c r="G116" s="469"/>
      <c r="H116" s="468"/>
      <c r="I116" s="468"/>
      <c r="J116" s="468"/>
      <c r="K116" s="468"/>
      <c r="L116" s="468"/>
      <c r="M116" s="468"/>
      <c r="N116" s="468"/>
      <c r="O116" s="468"/>
    </row>
    <row r="117" spans="1:15" ht="23.25" customHeight="1" x14ac:dyDescent="0.2">
      <c r="A117" s="468"/>
      <c r="B117" s="469"/>
      <c r="C117" s="510"/>
      <c r="D117" s="510"/>
      <c r="E117" s="510"/>
      <c r="F117" s="510"/>
      <c r="G117" s="469"/>
      <c r="H117" s="468"/>
      <c r="I117" s="468"/>
      <c r="J117" s="468"/>
      <c r="K117" s="468"/>
      <c r="L117" s="468"/>
      <c r="M117" s="468"/>
      <c r="N117" s="468"/>
      <c r="O117" s="468"/>
    </row>
    <row r="118" spans="1:15" ht="23.25" customHeight="1" x14ac:dyDescent="0.2">
      <c r="A118" s="468"/>
      <c r="B118" s="469"/>
      <c r="C118" s="510"/>
      <c r="D118" s="510"/>
      <c r="E118" s="510"/>
      <c r="F118" s="510"/>
      <c r="G118" s="469"/>
      <c r="H118" s="468"/>
      <c r="I118" s="468"/>
      <c r="J118" s="468"/>
      <c r="K118" s="468"/>
      <c r="L118" s="468"/>
      <c r="M118" s="468"/>
      <c r="N118" s="468"/>
      <c r="O118" s="468"/>
    </row>
    <row r="119" spans="1:15" ht="23.25" customHeight="1" x14ac:dyDescent="0.2">
      <c r="A119" s="468"/>
      <c r="B119" s="469"/>
      <c r="C119" s="510"/>
      <c r="D119" s="510"/>
      <c r="E119" s="510"/>
      <c r="F119" s="510"/>
      <c r="G119" s="469"/>
      <c r="H119" s="468"/>
      <c r="I119" s="468"/>
      <c r="J119" s="468"/>
      <c r="K119" s="468"/>
      <c r="L119" s="468"/>
      <c r="M119" s="468"/>
      <c r="N119" s="468"/>
      <c r="O119" s="468"/>
    </row>
    <row r="120" spans="1:15" ht="23.25" customHeight="1" x14ac:dyDescent="0.2">
      <c r="A120" s="468"/>
      <c r="B120" s="469"/>
      <c r="C120" s="510"/>
      <c r="D120" s="510"/>
      <c r="E120" s="510"/>
      <c r="F120" s="510"/>
      <c r="G120" s="469"/>
      <c r="H120" s="468"/>
      <c r="I120" s="468"/>
      <c r="J120" s="468"/>
      <c r="K120" s="468"/>
      <c r="L120" s="468"/>
      <c r="M120" s="468"/>
      <c r="N120" s="468"/>
      <c r="O120" s="468"/>
    </row>
    <row r="121" spans="1:15" ht="23.25" customHeight="1" x14ac:dyDescent="0.2">
      <c r="A121" s="468"/>
      <c r="B121" s="469"/>
      <c r="C121" s="510"/>
      <c r="D121" s="510"/>
      <c r="E121" s="510"/>
      <c r="F121" s="510"/>
      <c r="G121" s="469"/>
      <c r="H121" s="468"/>
      <c r="I121" s="468"/>
      <c r="J121" s="468"/>
      <c r="K121" s="468"/>
      <c r="L121" s="468"/>
      <c r="M121" s="468"/>
      <c r="N121" s="468"/>
      <c r="O121" s="468"/>
    </row>
    <row r="122" spans="1:15" ht="23.25" customHeight="1" x14ac:dyDescent="0.2">
      <c r="A122" s="468"/>
      <c r="B122" s="469"/>
      <c r="C122" s="510"/>
      <c r="D122" s="510"/>
      <c r="E122" s="510"/>
      <c r="F122" s="510"/>
      <c r="G122" s="469"/>
      <c r="H122" s="468"/>
      <c r="I122" s="468"/>
      <c r="J122" s="468"/>
      <c r="K122" s="468"/>
      <c r="L122" s="468"/>
      <c r="M122" s="468"/>
      <c r="N122" s="468"/>
      <c r="O122" s="468"/>
    </row>
    <row r="123" spans="1:15" ht="23.25" customHeight="1" x14ac:dyDescent="0.2">
      <c r="A123" s="468"/>
      <c r="B123" s="469"/>
      <c r="C123" s="510"/>
      <c r="D123" s="510"/>
      <c r="E123" s="510"/>
      <c r="F123" s="510"/>
      <c r="G123" s="469"/>
      <c r="H123" s="468"/>
      <c r="I123" s="468"/>
      <c r="J123" s="468"/>
      <c r="K123" s="468"/>
      <c r="L123" s="468"/>
      <c r="M123" s="468"/>
      <c r="N123" s="468"/>
      <c r="O123" s="468"/>
    </row>
    <row r="124" spans="1:15" ht="23.25" customHeight="1" x14ac:dyDescent="0.2">
      <c r="A124" s="468"/>
      <c r="B124" s="469"/>
      <c r="C124" s="510"/>
      <c r="D124" s="510"/>
      <c r="E124" s="510"/>
      <c r="F124" s="510"/>
      <c r="G124" s="469"/>
      <c r="H124" s="468"/>
      <c r="I124" s="468"/>
      <c r="J124" s="468"/>
      <c r="K124" s="468"/>
      <c r="L124" s="468"/>
      <c r="M124" s="468"/>
      <c r="N124" s="468"/>
      <c r="O124" s="468"/>
    </row>
    <row r="125" spans="1:15" ht="23.25" customHeight="1" x14ac:dyDescent="0.2">
      <c r="A125" s="468"/>
      <c r="B125" s="469"/>
      <c r="C125" s="510"/>
      <c r="D125" s="510"/>
      <c r="E125" s="510"/>
      <c r="F125" s="510"/>
      <c r="G125" s="469"/>
      <c r="H125" s="468"/>
      <c r="I125" s="468"/>
      <c r="J125" s="468"/>
      <c r="K125" s="468"/>
      <c r="L125" s="468"/>
      <c r="M125" s="468"/>
      <c r="N125" s="468"/>
      <c r="O125" s="468"/>
    </row>
    <row r="126" spans="1:15" ht="23.25" customHeight="1" x14ac:dyDescent="0.2">
      <c r="A126" s="468"/>
      <c r="B126" s="469"/>
      <c r="C126" s="510"/>
      <c r="D126" s="510"/>
      <c r="E126" s="510"/>
      <c r="F126" s="510"/>
      <c r="G126" s="469"/>
      <c r="H126" s="468"/>
      <c r="I126" s="468"/>
      <c r="J126" s="468"/>
      <c r="K126" s="468"/>
      <c r="L126" s="468"/>
      <c r="M126" s="468"/>
      <c r="N126" s="468"/>
      <c r="O126" s="468"/>
    </row>
    <row r="127" spans="1:15" ht="23.25" customHeight="1" x14ac:dyDescent="0.2">
      <c r="A127" s="468"/>
      <c r="B127" s="469"/>
      <c r="C127" s="510"/>
      <c r="D127" s="510"/>
      <c r="E127" s="510"/>
      <c r="F127" s="510"/>
      <c r="G127" s="469"/>
      <c r="H127" s="468"/>
      <c r="I127" s="468"/>
      <c r="J127" s="468"/>
      <c r="K127" s="468"/>
      <c r="L127" s="468"/>
      <c r="M127" s="468"/>
      <c r="N127" s="468"/>
      <c r="O127" s="468"/>
    </row>
    <row r="128" spans="1:15" ht="23.25" customHeight="1" x14ac:dyDescent="0.2">
      <c r="A128" s="468"/>
      <c r="B128" s="469"/>
      <c r="C128" s="510"/>
      <c r="D128" s="510"/>
      <c r="E128" s="510"/>
      <c r="F128" s="510"/>
      <c r="G128" s="469"/>
      <c r="H128" s="468"/>
      <c r="I128" s="468"/>
      <c r="J128" s="468"/>
      <c r="K128" s="468"/>
      <c r="L128" s="468"/>
      <c r="M128" s="468"/>
      <c r="N128" s="468"/>
      <c r="O128" s="468"/>
    </row>
    <row r="129" spans="1:15" ht="23.25" customHeight="1" x14ac:dyDescent="0.2">
      <c r="A129" s="468"/>
      <c r="B129" s="469"/>
      <c r="C129" s="510"/>
      <c r="D129" s="510"/>
      <c r="E129" s="510"/>
      <c r="F129" s="510"/>
      <c r="G129" s="469"/>
      <c r="H129" s="468"/>
      <c r="I129" s="468"/>
      <c r="J129" s="468"/>
      <c r="K129" s="468"/>
      <c r="L129" s="468"/>
      <c r="M129" s="468"/>
      <c r="N129" s="468"/>
      <c r="O129" s="468"/>
    </row>
    <row r="130" spans="1:15" ht="23.25" customHeight="1" x14ac:dyDescent="0.2">
      <c r="A130" s="468"/>
      <c r="B130" s="469"/>
      <c r="C130" s="510"/>
      <c r="D130" s="510"/>
      <c r="E130" s="510"/>
      <c r="F130" s="510"/>
      <c r="G130" s="469"/>
      <c r="H130" s="468"/>
      <c r="I130" s="468"/>
      <c r="J130" s="468"/>
      <c r="K130" s="468"/>
      <c r="L130" s="468"/>
      <c r="M130" s="468"/>
      <c r="N130" s="468"/>
      <c r="O130" s="468"/>
    </row>
    <row r="131" spans="1:15" ht="23.25" customHeight="1" x14ac:dyDescent="0.2">
      <c r="A131" s="468"/>
      <c r="B131" s="469"/>
      <c r="C131" s="510"/>
      <c r="D131" s="510"/>
      <c r="E131" s="510"/>
      <c r="F131" s="510"/>
      <c r="G131" s="469"/>
      <c r="H131" s="468"/>
      <c r="I131" s="468"/>
      <c r="J131" s="468"/>
      <c r="K131" s="468"/>
      <c r="L131" s="468"/>
      <c r="M131" s="468"/>
      <c r="N131" s="468"/>
      <c r="O131" s="468"/>
    </row>
    <row r="132" spans="1:15" ht="23.25" customHeight="1" x14ac:dyDescent="0.2">
      <c r="A132" s="468"/>
      <c r="B132" s="469"/>
      <c r="C132" s="510"/>
      <c r="D132" s="510"/>
      <c r="E132" s="510"/>
      <c r="F132" s="510"/>
      <c r="G132" s="469"/>
      <c r="H132" s="468"/>
      <c r="I132" s="468"/>
      <c r="J132" s="468"/>
      <c r="K132" s="468"/>
      <c r="L132" s="468"/>
      <c r="M132" s="468"/>
      <c r="N132" s="468"/>
      <c r="O132" s="468"/>
    </row>
    <row r="133" spans="1:15" ht="23.25" customHeight="1" x14ac:dyDescent="0.2">
      <c r="A133" s="468"/>
      <c r="B133" s="469"/>
      <c r="C133" s="510"/>
      <c r="D133" s="510"/>
      <c r="E133" s="510"/>
      <c r="F133" s="510"/>
      <c r="G133" s="469"/>
      <c r="H133" s="468"/>
      <c r="I133" s="468"/>
      <c r="J133" s="468"/>
      <c r="K133" s="468"/>
      <c r="L133" s="468"/>
      <c r="M133" s="468"/>
      <c r="N133" s="468"/>
      <c r="O133" s="468"/>
    </row>
    <row r="134" spans="1:15" ht="23.25" customHeight="1" x14ac:dyDescent="0.2">
      <c r="A134" s="468"/>
      <c r="B134" s="469"/>
      <c r="C134" s="510"/>
      <c r="D134" s="510"/>
      <c r="E134" s="510"/>
      <c r="F134" s="510"/>
      <c r="G134" s="469"/>
      <c r="H134" s="468"/>
      <c r="I134" s="468"/>
      <c r="J134" s="468"/>
      <c r="K134" s="468"/>
      <c r="L134" s="468"/>
      <c r="M134" s="468"/>
      <c r="N134" s="468"/>
      <c r="O134" s="468"/>
    </row>
    <row r="135" spans="1:15" ht="23.25" customHeight="1" x14ac:dyDescent="0.2">
      <c r="A135" s="468"/>
      <c r="B135" s="469"/>
      <c r="C135" s="510"/>
      <c r="D135" s="510"/>
      <c r="E135" s="510"/>
      <c r="F135" s="510"/>
      <c r="G135" s="469"/>
      <c r="H135" s="468"/>
      <c r="I135" s="468"/>
      <c r="J135" s="468"/>
      <c r="K135" s="468"/>
      <c r="L135" s="468"/>
      <c r="M135" s="468"/>
      <c r="N135" s="468"/>
      <c r="O135" s="468"/>
    </row>
    <row r="136" spans="1:15" ht="23.25" customHeight="1" x14ac:dyDescent="0.2">
      <c r="A136" s="468"/>
      <c r="B136" s="469"/>
      <c r="C136" s="510"/>
      <c r="D136" s="510"/>
      <c r="E136" s="510"/>
      <c r="F136" s="510"/>
      <c r="G136" s="469"/>
      <c r="H136" s="468"/>
      <c r="I136" s="468"/>
      <c r="J136" s="468"/>
      <c r="K136" s="468"/>
      <c r="L136" s="468"/>
      <c r="M136" s="468"/>
      <c r="N136" s="468"/>
      <c r="O136" s="468"/>
    </row>
    <row r="137" spans="1:15" ht="23.25" customHeight="1" x14ac:dyDescent="0.2">
      <c r="A137" s="468"/>
      <c r="B137" s="469"/>
      <c r="C137" s="510"/>
      <c r="D137" s="510"/>
      <c r="E137" s="510"/>
      <c r="F137" s="510"/>
      <c r="G137" s="469"/>
      <c r="H137" s="468"/>
      <c r="I137" s="468"/>
      <c r="J137" s="468"/>
      <c r="K137" s="468"/>
      <c r="L137" s="468"/>
      <c r="M137" s="468"/>
      <c r="N137" s="468"/>
      <c r="O137" s="468"/>
    </row>
    <row r="138" spans="1:15" ht="23.25" customHeight="1" x14ac:dyDescent="0.2">
      <c r="A138" s="468"/>
      <c r="B138" s="469"/>
      <c r="C138" s="510"/>
      <c r="D138" s="510"/>
      <c r="E138" s="510"/>
      <c r="F138" s="510"/>
      <c r="G138" s="469"/>
      <c r="H138" s="468"/>
      <c r="I138" s="468"/>
      <c r="J138" s="468"/>
      <c r="K138" s="468"/>
      <c r="L138" s="468"/>
      <c r="M138" s="468"/>
      <c r="N138" s="468"/>
      <c r="O138" s="468"/>
    </row>
    <row r="139" spans="1:15" ht="23.25" customHeight="1" x14ac:dyDescent="0.2">
      <c r="A139" s="468"/>
      <c r="B139" s="469"/>
      <c r="C139" s="510"/>
      <c r="D139" s="510"/>
      <c r="E139" s="510"/>
      <c r="F139" s="510"/>
      <c r="G139" s="469"/>
      <c r="H139" s="468"/>
      <c r="I139" s="468"/>
      <c r="J139" s="468"/>
      <c r="K139" s="468"/>
      <c r="L139" s="468"/>
      <c r="M139" s="468"/>
      <c r="N139" s="468"/>
      <c r="O139" s="468"/>
    </row>
    <row r="140" spans="1:15" ht="23.25" customHeight="1" x14ac:dyDescent="0.2">
      <c r="A140" s="468"/>
      <c r="B140" s="469"/>
      <c r="C140" s="510"/>
      <c r="D140" s="510"/>
      <c r="E140" s="510"/>
      <c r="F140" s="510"/>
      <c r="G140" s="469"/>
      <c r="H140" s="468"/>
      <c r="I140" s="468"/>
      <c r="J140" s="468"/>
      <c r="K140" s="468"/>
      <c r="L140" s="468"/>
      <c r="M140" s="468"/>
      <c r="N140" s="468"/>
      <c r="O140" s="468"/>
    </row>
    <row r="141" spans="1:15" ht="23.25" customHeight="1" x14ac:dyDescent="0.2">
      <c r="A141" s="468"/>
      <c r="B141" s="469"/>
      <c r="C141" s="510"/>
      <c r="D141" s="510"/>
      <c r="E141" s="510"/>
      <c r="F141" s="510"/>
      <c r="G141" s="469"/>
      <c r="H141" s="468"/>
      <c r="I141" s="468"/>
      <c r="J141" s="468"/>
      <c r="K141" s="468"/>
      <c r="L141" s="468"/>
      <c r="M141" s="468"/>
      <c r="N141" s="468"/>
      <c r="O141" s="468"/>
    </row>
    <row r="142" spans="1:15" ht="23.25" customHeight="1" x14ac:dyDescent="0.2">
      <c r="A142" s="468"/>
      <c r="B142" s="469"/>
      <c r="C142" s="510"/>
      <c r="D142" s="510"/>
      <c r="E142" s="510"/>
      <c r="F142" s="510"/>
      <c r="G142" s="469"/>
      <c r="H142" s="468"/>
      <c r="I142" s="468"/>
      <c r="J142" s="468"/>
      <c r="K142" s="468"/>
      <c r="L142" s="468"/>
      <c r="M142" s="468"/>
      <c r="N142" s="468"/>
      <c r="O142" s="468"/>
    </row>
    <row r="143" spans="1:15" ht="23.25" customHeight="1" x14ac:dyDescent="0.2">
      <c r="A143" s="468"/>
      <c r="B143" s="469"/>
      <c r="C143" s="510"/>
      <c r="D143" s="510"/>
      <c r="E143" s="510"/>
      <c r="F143" s="510"/>
      <c r="G143" s="469"/>
      <c r="H143" s="468"/>
      <c r="I143" s="468"/>
      <c r="J143" s="468"/>
      <c r="K143" s="468"/>
      <c r="L143" s="468"/>
      <c r="M143" s="468"/>
      <c r="N143" s="468"/>
      <c r="O143" s="468"/>
    </row>
    <row r="144" spans="1:15" ht="23.25" customHeight="1" x14ac:dyDescent="0.2">
      <c r="A144" s="468"/>
      <c r="B144" s="469"/>
      <c r="C144" s="510"/>
      <c r="D144" s="510"/>
      <c r="E144" s="510"/>
      <c r="F144" s="510"/>
      <c r="G144" s="469"/>
      <c r="H144" s="468"/>
      <c r="I144" s="468"/>
      <c r="J144" s="468"/>
      <c r="K144" s="468"/>
      <c r="L144" s="468"/>
      <c r="M144" s="468"/>
      <c r="N144" s="468"/>
      <c r="O144" s="468"/>
    </row>
    <row r="145" spans="1:15" ht="23.25" customHeight="1" x14ac:dyDescent="0.2">
      <c r="A145" s="468"/>
      <c r="B145" s="469"/>
      <c r="C145" s="510"/>
      <c r="D145" s="510"/>
      <c r="E145" s="510"/>
      <c r="F145" s="510"/>
      <c r="G145" s="469"/>
      <c r="H145" s="468"/>
      <c r="I145" s="468"/>
      <c r="J145" s="468"/>
      <c r="K145" s="468"/>
      <c r="L145" s="468"/>
      <c r="M145" s="468"/>
      <c r="N145" s="468"/>
      <c r="O145" s="468"/>
    </row>
    <row r="146" spans="1:15" ht="23.25" customHeight="1" x14ac:dyDescent="0.2">
      <c r="A146" s="468"/>
      <c r="B146" s="469"/>
      <c r="C146" s="510"/>
      <c r="D146" s="510"/>
      <c r="E146" s="510"/>
      <c r="F146" s="510"/>
      <c r="G146" s="469"/>
      <c r="H146" s="468"/>
      <c r="I146" s="468"/>
      <c r="J146" s="468"/>
      <c r="K146" s="468"/>
      <c r="L146" s="468"/>
      <c r="M146" s="468"/>
      <c r="N146" s="468"/>
      <c r="O146" s="468"/>
    </row>
    <row r="147" spans="1:15" ht="23.25" customHeight="1" x14ac:dyDescent="0.2">
      <c r="A147" s="468"/>
      <c r="B147" s="469"/>
      <c r="C147" s="510"/>
      <c r="D147" s="510"/>
      <c r="E147" s="510"/>
      <c r="F147" s="510"/>
      <c r="G147" s="469"/>
      <c r="H147" s="468"/>
      <c r="I147" s="468"/>
      <c r="J147" s="468"/>
      <c r="K147" s="468"/>
      <c r="L147" s="468"/>
      <c r="M147" s="468"/>
      <c r="N147" s="468"/>
      <c r="O147" s="468"/>
    </row>
    <row r="148" spans="1:15" ht="23.25" customHeight="1" x14ac:dyDescent="0.2">
      <c r="A148" s="468"/>
      <c r="B148" s="469"/>
      <c r="C148" s="510"/>
      <c r="D148" s="510"/>
      <c r="E148" s="510"/>
      <c r="F148" s="510"/>
      <c r="G148" s="469"/>
      <c r="H148" s="468"/>
      <c r="I148" s="468"/>
      <c r="J148" s="468"/>
      <c r="K148" s="468"/>
      <c r="L148" s="468"/>
      <c r="M148" s="468"/>
      <c r="N148" s="468"/>
      <c r="O148" s="468"/>
    </row>
    <row r="149" spans="1:15" ht="23.25" customHeight="1" x14ac:dyDescent="0.2">
      <c r="A149" s="468"/>
      <c r="B149" s="469"/>
      <c r="C149" s="510"/>
      <c r="D149" s="510"/>
      <c r="E149" s="510"/>
      <c r="F149" s="510"/>
      <c r="G149" s="469"/>
      <c r="H149" s="468"/>
      <c r="I149" s="468"/>
      <c r="J149" s="468"/>
      <c r="K149" s="468"/>
      <c r="L149" s="468"/>
      <c r="M149" s="468"/>
      <c r="N149" s="468"/>
      <c r="O149" s="468"/>
    </row>
    <row r="150" spans="1:15" ht="23.25" customHeight="1" x14ac:dyDescent="0.2">
      <c r="A150" s="468"/>
      <c r="B150" s="469"/>
      <c r="C150" s="510"/>
      <c r="D150" s="510"/>
      <c r="E150" s="510"/>
      <c r="F150" s="510"/>
      <c r="G150" s="469"/>
      <c r="H150" s="468"/>
      <c r="I150" s="468"/>
      <c r="J150" s="468"/>
      <c r="K150" s="468"/>
      <c r="L150" s="468"/>
      <c r="M150" s="468"/>
      <c r="N150" s="468"/>
      <c r="O150" s="468"/>
    </row>
    <row r="151" spans="1:15" ht="23.25" customHeight="1" x14ac:dyDescent="0.2">
      <c r="A151" s="468"/>
      <c r="B151" s="469"/>
      <c r="C151" s="510"/>
      <c r="D151" s="510"/>
      <c r="E151" s="510"/>
      <c r="F151" s="510"/>
      <c r="G151" s="469"/>
      <c r="H151" s="468"/>
      <c r="I151" s="468"/>
      <c r="J151" s="468"/>
      <c r="K151" s="468"/>
      <c r="L151" s="468"/>
      <c r="M151" s="468"/>
      <c r="N151" s="468"/>
      <c r="O151" s="468"/>
    </row>
    <row r="152" spans="1:15" ht="23.25" customHeight="1" x14ac:dyDescent="0.2">
      <c r="A152" s="468"/>
      <c r="B152" s="469"/>
      <c r="C152" s="510"/>
      <c r="D152" s="510"/>
      <c r="E152" s="510"/>
      <c r="F152" s="510"/>
      <c r="G152" s="469"/>
      <c r="H152" s="468"/>
      <c r="I152" s="468"/>
      <c r="J152" s="468"/>
      <c r="K152" s="468"/>
      <c r="L152" s="468"/>
      <c r="M152" s="468"/>
      <c r="N152" s="468"/>
      <c r="O152" s="468"/>
    </row>
    <row r="153" spans="1:15" ht="23.25" customHeight="1" x14ac:dyDescent="0.2">
      <c r="A153" s="468"/>
      <c r="B153" s="469"/>
      <c r="C153" s="510"/>
      <c r="D153" s="510"/>
      <c r="E153" s="510"/>
      <c r="F153" s="510"/>
      <c r="G153" s="469"/>
      <c r="H153" s="468"/>
      <c r="I153" s="468"/>
      <c r="J153" s="468"/>
      <c r="K153" s="468"/>
      <c r="L153" s="468"/>
      <c r="M153" s="468"/>
      <c r="N153" s="468"/>
      <c r="O153" s="468"/>
    </row>
    <row r="154" spans="1:15" ht="23.25" customHeight="1" x14ac:dyDescent="0.2">
      <c r="A154" s="468"/>
      <c r="B154" s="469"/>
      <c r="C154" s="510"/>
      <c r="D154" s="510"/>
      <c r="E154" s="510"/>
      <c r="F154" s="510"/>
      <c r="G154" s="469"/>
      <c r="H154" s="468"/>
      <c r="I154" s="468"/>
      <c r="J154" s="468"/>
      <c r="K154" s="468"/>
      <c r="L154" s="468"/>
      <c r="M154" s="468"/>
      <c r="N154" s="468"/>
      <c r="O154" s="468"/>
    </row>
    <row r="155" spans="1:15" ht="23.25" customHeight="1" x14ac:dyDescent="0.2">
      <c r="A155" s="468"/>
      <c r="B155" s="469"/>
      <c r="C155" s="510"/>
      <c r="D155" s="510"/>
      <c r="E155" s="510"/>
      <c r="F155" s="510"/>
      <c r="G155" s="469"/>
      <c r="H155" s="468"/>
      <c r="I155" s="468"/>
      <c r="J155" s="468"/>
      <c r="K155" s="468"/>
      <c r="L155" s="468"/>
      <c r="M155" s="468"/>
      <c r="N155" s="468"/>
      <c r="O155" s="468"/>
    </row>
    <row r="156" spans="1:15" ht="23.25" customHeight="1" x14ac:dyDescent="0.2">
      <c r="A156" s="468"/>
      <c r="B156" s="469"/>
      <c r="C156" s="510"/>
      <c r="D156" s="510"/>
      <c r="E156" s="510"/>
      <c r="F156" s="510"/>
      <c r="G156" s="469"/>
      <c r="H156" s="468"/>
      <c r="I156" s="468"/>
      <c r="J156" s="468"/>
      <c r="K156" s="468"/>
      <c r="L156" s="468"/>
      <c r="M156" s="468"/>
      <c r="N156" s="468"/>
      <c r="O156" s="468"/>
    </row>
    <row r="157" spans="1:15" ht="23.25" customHeight="1" x14ac:dyDescent="0.2">
      <c r="A157" s="468"/>
      <c r="B157" s="469"/>
      <c r="C157" s="510"/>
      <c r="D157" s="510"/>
      <c r="E157" s="510"/>
      <c r="F157" s="510"/>
      <c r="G157" s="469"/>
      <c r="H157" s="468"/>
      <c r="I157" s="468"/>
      <c r="J157" s="468"/>
      <c r="K157" s="468"/>
      <c r="L157" s="468"/>
      <c r="M157" s="468"/>
      <c r="N157" s="468"/>
      <c r="O157" s="468"/>
    </row>
    <row r="158" spans="1:15" ht="23.25" customHeight="1" x14ac:dyDescent="0.2">
      <c r="A158" s="468"/>
      <c r="B158" s="469"/>
      <c r="C158" s="510"/>
      <c r="D158" s="510"/>
      <c r="E158" s="510"/>
      <c r="F158" s="510"/>
      <c r="G158" s="469"/>
      <c r="H158" s="468"/>
      <c r="I158" s="468"/>
      <c r="J158" s="468"/>
      <c r="K158" s="468"/>
      <c r="L158" s="468"/>
      <c r="M158" s="468"/>
      <c r="N158" s="468"/>
      <c r="O158" s="468"/>
    </row>
    <row r="159" spans="1:15" ht="23.25" customHeight="1" x14ac:dyDescent="0.2">
      <c r="A159" s="468"/>
      <c r="B159" s="469"/>
      <c r="C159" s="510"/>
      <c r="D159" s="510"/>
      <c r="E159" s="510"/>
      <c r="F159" s="510"/>
      <c r="G159" s="469"/>
      <c r="H159" s="468"/>
      <c r="I159" s="468"/>
      <c r="J159" s="468"/>
      <c r="K159" s="468"/>
      <c r="L159" s="468"/>
      <c r="M159" s="468"/>
      <c r="N159" s="468"/>
      <c r="O159" s="468"/>
    </row>
    <row r="160" spans="1:15" ht="23.25" customHeight="1" x14ac:dyDescent="0.2">
      <c r="A160" s="468"/>
      <c r="B160" s="469"/>
      <c r="C160" s="510"/>
      <c r="D160" s="510"/>
      <c r="E160" s="510"/>
      <c r="F160" s="510"/>
      <c r="G160" s="469"/>
      <c r="H160" s="468"/>
      <c r="I160" s="468"/>
      <c r="J160" s="468"/>
      <c r="K160" s="468"/>
      <c r="L160" s="468"/>
      <c r="M160" s="468"/>
      <c r="N160" s="468"/>
      <c r="O160" s="468"/>
    </row>
    <row r="161" spans="1:15" ht="23.25" customHeight="1" x14ac:dyDescent="0.2">
      <c r="A161" s="468"/>
      <c r="B161" s="469"/>
      <c r="C161" s="510"/>
      <c r="D161" s="510"/>
      <c r="E161" s="510"/>
      <c r="F161" s="510"/>
      <c r="G161" s="469"/>
      <c r="H161" s="468"/>
      <c r="I161" s="468"/>
      <c r="J161" s="468"/>
      <c r="K161" s="468"/>
      <c r="L161" s="468"/>
      <c r="M161" s="468"/>
      <c r="N161" s="468"/>
      <c r="O161" s="468"/>
    </row>
    <row r="162" spans="1:15" ht="23.25" customHeight="1" x14ac:dyDescent="0.2">
      <c r="A162" s="468"/>
      <c r="B162" s="469"/>
      <c r="C162" s="510"/>
      <c r="D162" s="510"/>
      <c r="E162" s="510"/>
      <c r="F162" s="510"/>
      <c r="G162" s="469"/>
      <c r="H162" s="468"/>
      <c r="I162" s="468"/>
      <c r="J162" s="468"/>
      <c r="K162" s="468"/>
      <c r="L162" s="468"/>
      <c r="M162" s="468"/>
      <c r="N162" s="468"/>
      <c r="O162" s="468"/>
    </row>
    <row r="163" spans="1:15" ht="23.25" customHeight="1" x14ac:dyDescent="0.2">
      <c r="A163" s="468"/>
      <c r="B163" s="469"/>
      <c r="C163" s="510"/>
      <c r="D163" s="510"/>
      <c r="E163" s="510"/>
      <c r="F163" s="510"/>
      <c r="G163" s="469"/>
      <c r="H163" s="468"/>
      <c r="I163" s="468"/>
      <c r="J163" s="468"/>
      <c r="K163" s="468"/>
      <c r="L163" s="468"/>
      <c r="M163" s="468"/>
      <c r="N163" s="468"/>
      <c r="O163" s="468"/>
    </row>
    <row r="164" spans="1:15" ht="23.25" customHeight="1" x14ac:dyDescent="0.2">
      <c r="A164" s="468"/>
      <c r="B164" s="469"/>
      <c r="C164" s="510"/>
      <c r="D164" s="510"/>
      <c r="E164" s="510"/>
      <c r="F164" s="510"/>
      <c r="G164" s="469"/>
      <c r="H164" s="468"/>
      <c r="I164" s="468"/>
      <c r="J164" s="468"/>
      <c r="K164" s="468"/>
      <c r="L164" s="468"/>
      <c r="M164" s="468"/>
      <c r="N164" s="468"/>
      <c r="O164" s="468"/>
    </row>
    <row r="165" spans="1:15" ht="23.25" customHeight="1" x14ac:dyDescent="0.2">
      <c r="A165" s="468"/>
      <c r="B165" s="469"/>
      <c r="C165" s="510"/>
      <c r="D165" s="510"/>
      <c r="E165" s="510"/>
      <c r="F165" s="510"/>
      <c r="G165" s="469"/>
      <c r="H165" s="468"/>
      <c r="I165" s="468"/>
      <c r="J165" s="468"/>
      <c r="K165" s="468"/>
      <c r="L165" s="468"/>
      <c r="M165" s="468"/>
      <c r="N165" s="468"/>
      <c r="O165" s="468"/>
    </row>
    <row r="166" spans="1:15" ht="23.25" customHeight="1" x14ac:dyDescent="0.2">
      <c r="A166" s="468"/>
      <c r="B166" s="469"/>
      <c r="C166" s="510"/>
      <c r="D166" s="510"/>
      <c r="E166" s="510"/>
      <c r="F166" s="510"/>
      <c r="G166" s="469"/>
      <c r="H166" s="468"/>
      <c r="I166" s="468"/>
      <c r="J166" s="468"/>
      <c r="K166" s="468"/>
      <c r="L166" s="468"/>
      <c r="M166" s="468"/>
      <c r="N166" s="468"/>
      <c r="O166" s="468"/>
    </row>
    <row r="167" spans="1:15" ht="23.25" customHeight="1" x14ac:dyDescent="0.2">
      <c r="A167" s="468"/>
      <c r="B167" s="469"/>
      <c r="C167" s="510"/>
      <c r="D167" s="510"/>
      <c r="E167" s="510"/>
      <c r="F167" s="510"/>
      <c r="G167" s="469"/>
      <c r="H167" s="468"/>
      <c r="I167" s="468"/>
      <c r="J167" s="468"/>
      <c r="K167" s="468"/>
      <c r="L167" s="468"/>
      <c r="M167" s="468"/>
      <c r="N167" s="468"/>
      <c r="O167" s="468"/>
    </row>
    <row r="168" spans="1:15" ht="23.25" customHeight="1" x14ac:dyDescent="0.2">
      <c r="A168" s="468"/>
      <c r="B168" s="469"/>
      <c r="C168" s="510"/>
      <c r="D168" s="510"/>
      <c r="E168" s="510"/>
      <c r="F168" s="510"/>
      <c r="G168" s="469"/>
      <c r="H168" s="468"/>
      <c r="I168" s="468"/>
      <c r="J168" s="468"/>
      <c r="K168" s="468"/>
      <c r="L168" s="468"/>
      <c r="M168" s="468"/>
      <c r="N168" s="468"/>
      <c r="O168" s="468"/>
    </row>
    <row r="169" spans="1:15" ht="23.25" customHeight="1" x14ac:dyDescent="0.2">
      <c r="A169" s="468"/>
      <c r="B169" s="469"/>
      <c r="C169" s="510"/>
      <c r="D169" s="510"/>
      <c r="E169" s="510"/>
      <c r="F169" s="510"/>
      <c r="G169" s="469"/>
      <c r="H169" s="468"/>
      <c r="I169" s="468"/>
      <c r="J169" s="468"/>
      <c r="K169" s="468"/>
      <c r="L169" s="468"/>
      <c r="M169" s="468"/>
      <c r="N169" s="468"/>
      <c r="O169" s="468"/>
    </row>
    <row r="170" spans="1:15" ht="23.25" customHeight="1" x14ac:dyDescent="0.2">
      <c r="A170" s="468"/>
      <c r="B170" s="469"/>
      <c r="C170" s="510"/>
      <c r="D170" s="510"/>
      <c r="E170" s="510"/>
      <c r="F170" s="510"/>
      <c r="G170" s="469"/>
      <c r="H170" s="468"/>
      <c r="I170" s="468"/>
      <c r="J170" s="468"/>
      <c r="K170" s="468"/>
      <c r="L170" s="468"/>
      <c r="M170" s="468"/>
      <c r="N170" s="468"/>
      <c r="O170" s="468"/>
    </row>
    <row r="171" spans="1:15" ht="23.25" customHeight="1" x14ac:dyDescent="0.2">
      <c r="A171" s="468"/>
      <c r="B171" s="469"/>
      <c r="C171" s="510"/>
      <c r="D171" s="510"/>
      <c r="E171" s="510"/>
      <c r="F171" s="510"/>
      <c r="G171" s="469"/>
      <c r="H171" s="468"/>
      <c r="I171" s="468"/>
      <c r="J171" s="468"/>
      <c r="K171" s="468"/>
      <c r="L171" s="468"/>
      <c r="M171" s="468"/>
      <c r="N171" s="468"/>
      <c r="O171" s="468"/>
    </row>
    <row r="172" spans="1:15" ht="23.25" customHeight="1" x14ac:dyDescent="0.2">
      <c r="A172" s="468"/>
      <c r="B172" s="469"/>
      <c r="C172" s="510"/>
      <c r="D172" s="510"/>
      <c r="E172" s="510"/>
      <c r="F172" s="510"/>
      <c r="G172" s="469"/>
      <c r="H172" s="468"/>
      <c r="I172" s="468"/>
      <c r="J172" s="468"/>
      <c r="K172" s="468"/>
      <c r="L172" s="468"/>
      <c r="M172" s="468"/>
      <c r="N172" s="468"/>
      <c r="O172" s="468"/>
    </row>
    <row r="173" spans="1:15" ht="23.25" customHeight="1" x14ac:dyDescent="0.2">
      <c r="A173" s="468"/>
      <c r="B173" s="469"/>
      <c r="C173" s="510"/>
      <c r="D173" s="510"/>
      <c r="E173" s="510"/>
      <c r="F173" s="510"/>
      <c r="G173" s="469"/>
      <c r="H173" s="468"/>
      <c r="I173" s="468"/>
      <c r="J173" s="468"/>
      <c r="K173" s="468"/>
      <c r="L173" s="468"/>
      <c r="M173" s="468"/>
      <c r="N173" s="468"/>
      <c r="O173" s="468"/>
    </row>
    <row r="174" spans="1:15" ht="23.25" customHeight="1" x14ac:dyDescent="0.2">
      <c r="A174" s="468"/>
      <c r="B174" s="469"/>
      <c r="C174" s="469"/>
      <c r="D174" s="469"/>
      <c r="E174" s="469"/>
      <c r="F174" s="469"/>
      <c r="G174" s="469"/>
      <c r="H174" s="468"/>
      <c r="I174" s="468"/>
      <c r="J174" s="468"/>
      <c r="K174" s="468"/>
      <c r="L174" s="468"/>
      <c r="M174" s="468"/>
      <c r="N174" s="468"/>
      <c r="O174" s="468"/>
    </row>
    <row r="175" spans="1:15" ht="23.25" customHeight="1" x14ac:dyDescent="0.2">
      <c r="A175" s="468"/>
      <c r="B175" s="469"/>
      <c r="C175" s="469"/>
      <c r="D175" s="469"/>
      <c r="E175" s="469"/>
      <c r="F175" s="469"/>
      <c r="G175" s="469"/>
      <c r="H175" s="468"/>
      <c r="I175" s="468"/>
      <c r="J175" s="468"/>
      <c r="K175" s="468"/>
      <c r="L175" s="468"/>
      <c r="M175" s="468"/>
      <c r="N175" s="468"/>
      <c r="O175" s="468"/>
    </row>
    <row r="176" spans="1:15" ht="23.25" customHeight="1" x14ac:dyDescent="0.2">
      <c r="A176" s="468"/>
      <c r="B176" s="469"/>
      <c r="C176" s="469"/>
      <c r="D176" s="469"/>
      <c r="E176" s="469"/>
      <c r="F176" s="469"/>
      <c r="G176" s="469"/>
      <c r="H176" s="468"/>
      <c r="I176" s="468"/>
      <c r="J176" s="468"/>
      <c r="K176" s="468"/>
      <c r="L176" s="468"/>
      <c r="M176" s="468"/>
      <c r="N176" s="468"/>
      <c r="O176" s="468"/>
    </row>
    <row r="177" spans="1:15" ht="23.25" customHeight="1" x14ac:dyDescent="0.2">
      <c r="A177" s="468"/>
      <c r="B177" s="469"/>
      <c r="C177" s="469"/>
      <c r="D177" s="469"/>
      <c r="E177" s="469"/>
      <c r="F177" s="469"/>
      <c r="G177" s="469"/>
      <c r="H177" s="468"/>
      <c r="I177" s="468"/>
      <c r="J177" s="468"/>
      <c r="K177" s="468"/>
      <c r="L177" s="468"/>
      <c r="M177" s="468"/>
      <c r="N177" s="468"/>
      <c r="O177" s="468"/>
    </row>
    <row r="178" spans="1:15" ht="23.25" customHeight="1" x14ac:dyDescent="0.2">
      <c r="A178" s="468"/>
      <c r="B178" s="469"/>
      <c r="C178" s="469"/>
      <c r="D178" s="469"/>
      <c r="E178" s="469"/>
      <c r="F178" s="469"/>
      <c r="G178" s="469"/>
      <c r="H178" s="468"/>
      <c r="I178" s="468"/>
      <c r="J178" s="468"/>
      <c r="K178" s="468"/>
      <c r="L178" s="468"/>
      <c r="M178" s="468"/>
      <c r="N178" s="468"/>
      <c r="O178" s="468"/>
    </row>
    <row r="179" spans="1:15" ht="23.25" customHeight="1" x14ac:dyDescent="0.2">
      <c r="A179" s="468"/>
      <c r="B179" s="469"/>
      <c r="C179" s="469"/>
      <c r="D179" s="469"/>
      <c r="E179" s="469"/>
      <c r="F179" s="469"/>
      <c r="G179" s="469"/>
      <c r="H179" s="468"/>
      <c r="I179" s="468"/>
      <c r="J179" s="468"/>
      <c r="K179" s="468"/>
      <c r="L179" s="468"/>
      <c r="M179" s="468"/>
      <c r="N179" s="468"/>
      <c r="O179" s="468"/>
    </row>
    <row r="180" spans="1:15" ht="23.25" customHeight="1" x14ac:dyDescent="0.2">
      <c r="A180" s="468"/>
      <c r="B180" s="469"/>
      <c r="C180" s="469"/>
      <c r="D180" s="469"/>
      <c r="E180" s="469"/>
      <c r="F180" s="469"/>
      <c r="G180" s="469"/>
      <c r="H180" s="468"/>
      <c r="I180" s="468"/>
      <c r="J180" s="468"/>
      <c r="K180" s="468"/>
      <c r="L180" s="468"/>
      <c r="M180" s="468"/>
      <c r="N180" s="468"/>
      <c r="O180" s="468"/>
    </row>
    <row r="181" spans="1:15" ht="23.25" customHeight="1" x14ac:dyDescent="0.2">
      <c r="A181" s="468"/>
      <c r="B181" s="469"/>
      <c r="C181" s="469"/>
      <c r="D181" s="469"/>
      <c r="E181" s="469"/>
      <c r="F181" s="469"/>
      <c r="G181" s="469"/>
      <c r="H181" s="468"/>
      <c r="I181" s="468"/>
      <c r="J181" s="468"/>
      <c r="K181" s="468"/>
      <c r="L181" s="468"/>
      <c r="M181" s="468"/>
      <c r="N181" s="468"/>
      <c r="O181" s="468"/>
    </row>
    <row r="182" spans="1:15" ht="23.25" customHeight="1" x14ac:dyDescent="0.2">
      <c r="A182" s="468"/>
      <c r="B182" s="469"/>
      <c r="C182" s="469"/>
      <c r="D182" s="469"/>
      <c r="E182" s="469"/>
      <c r="F182" s="469"/>
      <c r="G182" s="469"/>
      <c r="H182" s="468"/>
      <c r="I182" s="468"/>
      <c r="J182" s="468"/>
      <c r="K182" s="468"/>
      <c r="L182" s="468"/>
      <c r="M182" s="468"/>
      <c r="N182" s="468"/>
      <c r="O182" s="468"/>
    </row>
    <row r="183" spans="1:15" ht="23.25" customHeight="1" x14ac:dyDescent="0.2">
      <c r="A183" s="468"/>
      <c r="B183" s="469"/>
      <c r="C183" s="469"/>
      <c r="D183" s="469"/>
      <c r="E183" s="469"/>
      <c r="F183" s="469"/>
      <c r="G183" s="469"/>
      <c r="H183" s="468"/>
      <c r="I183" s="468"/>
      <c r="J183" s="468"/>
      <c r="K183" s="468"/>
      <c r="L183" s="468"/>
      <c r="M183" s="468"/>
      <c r="N183" s="468"/>
      <c r="O183" s="468"/>
    </row>
    <row r="184" spans="1:15" ht="23.25" customHeight="1" x14ac:dyDescent="0.2">
      <c r="A184" s="468"/>
      <c r="B184" s="469"/>
      <c r="C184" s="469"/>
      <c r="D184" s="469"/>
      <c r="E184" s="469"/>
      <c r="F184" s="469"/>
      <c r="G184" s="469"/>
      <c r="H184" s="468"/>
      <c r="I184" s="468"/>
      <c r="J184" s="468"/>
      <c r="K184" s="468"/>
      <c r="L184" s="468"/>
      <c r="M184" s="468"/>
      <c r="N184" s="468"/>
      <c r="O184" s="468"/>
    </row>
    <row r="185" spans="1:15" ht="23.25" customHeight="1" x14ac:dyDescent="0.2">
      <c r="A185" s="468"/>
      <c r="B185" s="469"/>
      <c r="C185" s="469"/>
      <c r="D185" s="469"/>
      <c r="E185" s="469"/>
      <c r="F185" s="469"/>
      <c r="G185" s="469"/>
      <c r="H185" s="468"/>
      <c r="I185" s="468"/>
      <c r="J185" s="468"/>
      <c r="K185" s="468"/>
      <c r="L185" s="468"/>
      <c r="M185" s="468"/>
      <c r="N185" s="468"/>
      <c r="O185" s="468"/>
    </row>
    <row r="186" spans="1:15" ht="23.25" customHeight="1" x14ac:dyDescent="0.2">
      <c r="A186" s="468"/>
      <c r="B186" s="469"/>
      <c r="C186" s="469"/>
      <c r="D186" s="469"/>
      <c r="E186" s="469"/>
      <c r="F186" s="469"/>
      <c r="G186" s="469"/>
      <c r="H186" s="468"/>
      <c r="I186" s="468"/>
      <c r="J186" s="468"/>
      <c r="K186" s="468"/>
      <c r="L186" s="468"/>
      <c r="M186" s="468"/>
      <c r="N186" s="468"/>
      <c r="O186" s="468"/>
    </row>
    <row r="187" spans="1:15" ht="23.25" customHeight="1" x14ac:dyDescent="0.2">
      <c r="A187" s="468"/>
      <c r="B187" s="469"/>
      <c r="C187" s="469"/>
      <c r="D187" s="469"/>
      <c r="E187" s="469"/>
      <c r="F187" s="469"/>
      <c r="G187" s="469"/>
      <c r="H187" s="468"/>
      <c r="I187" s="468"/>
      <c r="J187" s="468"/>
      <c r="K187" s="468"/>
      <c r="L187" s="468"/>
      <c r="M187" s="468"/>
      <c r="N187" s="468"/>
      <c r="O187" s="468"/>
    </row>
    <row r="188" spans="1:15" ht="23.25" customHeight="1" x14ac:dyDescent="0.2">
      <c r="A188" s="468"/>
      <c r="B188" s="469"/>
      <c r="C188" s="469"/>
      <c r="D188" s="469"/>
      <c r="E188" s="469"/>
      <c r="F188" s="469"/>
      <c r="G188" s="469"/>
      <c r="H188" s="468"/>
      <c r="I188" s="468"/>
      <c r="J188" s="468"/>
      <c r="K188" s="468"/>
      <c r="L188" s="468"/>
      <c r="M188" s="468"/>
      <c r="N188" s="468"/>
      <c r="O188" s="468"/>
    </row>
    <row r="189" spans="1:15" ht="23.25" customHeight="1" x14ac:dyDescent="0.2">
      <c r="A189" s="468"/>
      <c r="B189" s="469"/>
      <c r="C189" s="469"/>
      <c r="D189" s="469"/>
      <c r="E189" s="469"/>
      <c r="F189" s="469"/>
      <c r="G189" s="469"/>
      <c r="H189" s="468"/>
      <c r="I189" s="468"/>
      <c r="J189" s="468"/>
      <c r="K189" s="468"/>
      <c r="L189" s="468"/>
      <c r="M189" s="468"/>
      <c r="N189" s="468"/>
      <c r="O189" s="468"/>
    </row>
    <row r="190" spans="1:15" ht="23.25" customHeight="1" x14ac:dyDescent="0.2">
      <c r="A190" s="468"/>
      <c r="B190" s="469"/>
      <c r="C190" s="469"/>
      <c r="D190" s="469"/>
      <c r="E190" s="469"/>
      <c r="F190" s="469"/>
      <c r="G190" s="469"/>
      <c r="H190" s="468"/>
      <c r="I190" s="468"/>
      <c r="J190" s="468"/>
      <c r="K190" s="468"/>
      <c r="L190" s="468"/>
      <c r="M190" s="468"/>
      <c r="N190" s="468"/>
      <c r="O190" s="468"/>
    </row>
    <row r="191" spans="1:15" ht="23.25" customHeight="1" x14ac:dyDescent="0.2">
      <c r="A191" s="468"/>
      <c r="B191" s="469"/>
      <c r="C191" s="469"/>
      <c r="D191" s="469"/>
      <c r="E191" s="469"/>
      <c r="F191" s="469"/>
      <c r="G191" s="469"/>
      <c r="H191" s="468"/>
      <c r="I191" s="468"/>
      <c r="J191" s="468"/>
      <c r="K191" s="468"/>
      <c r="L191" s="468"/>
      <c r="M191" s="468"/>
      <c r="N191" s="468"/>
      <c r="O191" s="468"/>
    </row>
    <row r="192" spans="1:15" ht="23.25" customHeight="1" x14ac:dyDescent="0.2">
      <c r="A192" s="468"/>
      <c r="B192" s="469"/>
      <c r="C192" s="469"/>
      <c r="D192" s="469"/>
      <c r="E192" s="469"/>
      <c r="F192" s="469"/>
      <c r="G192" s="469"/>
      <c r="H192" s="468"/>
      <c r="I192" s="468"/>
      <c r="J192" s="468"/>
      <c r="K192" s="468"/>
      <c r="L192" s="468"/>
      <c r="M192" s="468"/>
      <c r="N192" s="468"/>
      <c r="O192" s="468"/>
    </row>
    <row r="193" spans="1:15" ht="23.25" customHeight="1" x14ac:dyDescent="0.2">
      <c r="A193" s="468"/>
      <c r="B193" s="469"/>
      <c r="C193" s="469"/>
      <c r="D193" s="469"/>
      <c r="E193" s="469"/>
      <c r="F193" s="469"/>
      <c r="G193" s="469"/>
      <c r="H193" s="468"/>
      <c r="I193" s="468"/>
      <c r="J193" s="468"/>
      <c r="K193" s="468"/>
      <c r="L193" s="468"/>
      <c r="M193" s="468"/>
      <c r="N193" s="468"/>
      <c r="O193" s="468"/>
    </row>
    <row r="194" spans="1:15" ht="23.25" customHeight="1" x14ac:dyDescent="0.2">
      <c r="A194" s="468"/>
      <c r="B194" s="469"/>
      <c r="C194" s="469"/>
      <c r="D194" s="469"/>
      <c r="E194" s="469"/>
      <c r="F194" s="469"/>
      <c r="G194" s="469"/>
      <c r="H194" s="468"/>
      <c r="I194" s="468"/>
      <c r="J194" s="468"/>
      <c r="K194" s="468"/>
      <c r="L194" s="468"/>
      <c r="M194" s="468"/>
      <c r="N194" s="468"/>
      <c r="O194" s="468"/>
    </row>
    <row r="195" spans="1:15" ht="23.25" customHeight="1" x14ac:dyDescent="0.2">
      <c r="A195" s="468"/>
      <c r="B195" s="469"/>
      <c r="C195" s="469"/>
      <c r="D195" s="469"/>
      <c r="E195" s="469"/>
      <c r="F195" s="469"/>
      <c r="G195" s="469"/>
      <c r="H195" s="468"/>
      <c r="I195" s="468"/>
      <c r="J195" s="468"/>
      <c r="K195" s="468"/>
      <c r="L195" s="468"/>
      <c r="M195" s="468"/>
      <c r="N195" s="468"/>
      <c r="O195" s="468"/>
    </row>
    <row r="196" spans="1:15" ht="23.25" customHeight="1" x14ac:dyDescent="0.2">
      <c r="A196" s="468"/>
      <c r="B196" s="469"/>
      <c r="C196" s="469"/>
      <c r="D196" s="469"/>
      <c r="E196" s="469"/>
      <c r="F196" s="469"/>
      <c r="G196" s="469"/>
      <c r="H196" s="468"/>
      <c r="I196" s="468"/>
      <c r="J196" s="468"/>
      <c r="K196" s="468"/>
      <c r="L196" s="468"/>
      <c r="M196" s="468"/>
      <c r="N196" s="468"/>
      <c r="O196" s="468"/>
    </row>
    <row r="197" spans="1:15" ht="23.25" customHeight="1" x14ac:dyDescent="0.2">
      <c r="A197" s="468"/>
      <c r="B197" s="469"/>
      <c r="C197" s="469"/>
      <c r="D197" s="469"/>
      <c r="E197" s="469"/>
      <c r="F197" s="469"/>
      <c r="G197" s="469"/>
      <c r="H197" s="468"/>
      <c r="I197" s="468"/>
      <c r="J197" s="468"/>
      <c r="K197" s="468"/>
      <c r="L197" s="468"/>
      <c r="M197" s="468"/>
      <c r="N197" s="468"/>
      <c r="O197" s="468"/>
    </row>
    <row r="198" spans="1:15" ht="23.25" customHeight="1" x14ac:dyDescent="0.2">
      <c r="A198" s="468"/>
      <c r="B198" s="469"/>
      <c r="C198" s="469"/>
      <c r="D198" s="469"/>
      <c r="E198" s="469"/>
      <c r="F198" s="469"/>
      <c r="G198" s="469"/>
      <c r="H198" s="468"/>
      <c r="I198" s="468"/>
      <c r="J198" s="468"/>
      <c r="K198" s="468"/>
      <c r="L198" s="468"/>
      <c r="M198" s="468"/>
      <c r="N198" s="468"/>
      <c r="O198" s="468"/>
    </row>
    <row r="199" spans="1:15" ht="23.25" customHeight="1" x14ac:dyDescent="0.2">
      <c r="A199" s="468"/>
      <c r="B199" s="469"/>
      <c r="C199" s="469"/>
      <c r="D199" s="469"/>
      <c r="E199" s="469"/>
      <c r="F199" s="469"/>
      <c r="G199" s="469"/>
      <c r="H199" s="468"/>
      <c r="I199" s="468"/>
      <c r="J199" s="468"/>
      <c r="K199" s="468"/>
      <c r="L199" s="468"/>
      <c r="M199" s="468"/>
      <c r="N199" s="468"/>
      <c r="O199" s="468"/>
    </row>
    <row r="200" spans="1:15" ht="23.25" customHeight="1" x14ac:dyDescent="0.2">
      <c r="A200" s="468"/>
      <c r="B200" s="469"/>
      <c r="C200" s="469"/>
      <c r="D200" s="469"/>
      <c r="E200" s="469"/>
      <c r="F200" s="469"/>
      <c r="G200" s="469"/>
      <c r="H200" s="468"/>
      <c r="I200" s="468"/>
      <c r="J200" s="468"/>
      <c r="K200" s="468"/>
      <c r="L200" s="468"/>
      <c r="M200" s="468"/>
      <c r="N200" s="468"/>
      <c r="O200" s="468"/>
    </row>
    <row r="201" spans="1:15" ht="23.25" customHeight="1" x14ac:dyDescent="0.2">
      <c r="A201" s="468"/>
      <c r="B201" s="469"/>
      <c r="C201" s="469"/>
      <c r="D201" s="469"/>
      <c r="E201" s="469"/>
      <c r="F201" s="469"/>
      <c r="G201" s="469"/>
      <c r="H201" s="468"/>
      <c r="I201" s="468"/>
      <c r="J201" s="468"/>
      <c r="K201" s="468"/>
      <c r="L201" s="468"/>
      <c r="M201" s="468"/>
      <c r="N201" s="468"/>
      <c r="O201" s="468"/>
    </row>
    <row r="202" spans="1:15" ht="23.25" customHeight="1" x14ac:dyDescent="0.2">
      <c r="A202" s="468"/>
      <c r="B202" s="469"/>
      <c r="C202" s="469"/>
      <c r="D202" s="469"/>
      <c r="E202" s="469"/>
      <c r="F202" s="469"/>
      <c r="G202" s="469"/>
      <c r="H202" s="468"/>
      <c r="I202" s="468"/>
      <c r="J202" s="468"/>
      <c r="K202" s="468"/>
      <c r="L202" s="468"/>
      <c r="M202" s="468"/>
      <c r="N202" s="468"/>
      <c r="O202" s="468"/>
    </row>
    <row r="203" spans="1:15" ht="23.25" customHeight="1" x14ac:dyDescent="0.2">
      <c r="A203" s="468"/>
      <c r="B203" s="469"/>
      <c r="C203" s="469"/>
      <c r="D203" s="469"/>
      <c r="E203" s="469"/>
      <c r="F203" s="469"/>
      <c r="G203" s="469"/>
      <c r="H203" s="468"/>
      <c r="I203" s="468"/>
      <c r="J203" s="468"/>
      <c r="K203" s="468"/>
      <c r="L203" s="468"/>
      <c r="M203" s="468"/>
      <c r="N203" s="468"/>
      <c r="O203" s="468"/>
    </row>
    <row r="204" spans="1:15" ht="23.25" customHeight="1" x14ac:dyDescent="0.2">
      <c r="A204" s="468"/>
      <c r="B204" s="469"/>
      <c r="C204" s="469"/>
      <c r="D204" s="469"/>
      <c r="E204" s="469"/>
      <c r="F204" s="469"/>
      <c r="G204" s="469"/>
      <c r="H204" s="468"/>
      <c r="I204" s="468"/>
      <c r="J204" s="468"/>
      <c r="K204" s="468"/>
      <c r="L204" s="468"/>
      <c r="M204" s="468"/>
      <c r="N204" s="468"/>
      <c r="O204" s="468"/>
    </row>
    <row r="205" spans="1:15" ht="23.25" customHeight="1" x14ac:dyDescent="0.2">
      <c r="A205" s="468"/>
      <c r="B205" s="469"/>
      <c r="C205" s="469"/>
      <c r="D205" s="469"/>
      <c r="E205" s="469"/>
      <c r="F205" s="469"/>
      <c r="G205" s="469"/>
      <c r="H205" s="468"/>
      <c r="I205" s="468"/>
      <c r="J205" s="468"/>
      <c r="K205" s="468"/>
      <c r="L205" s="468"/>
      <c r="M205" s="468"/>
      <c r="N205" s="468"/>
      <c r="O205" s="468"/>
    </row>
    <row r="206" spans="1:15" ht="23.25" customHeight="1" x14ac:dyDescent="0.2">
      <c r="A206" s="468"/>
      <c r="B206" s="469"/>
      <c r="C206" s="469"/>
      <c r="D206" s="469"/>
      <c r="E206" s="469"/>
      <c r="F206" s="469"/>
      <c r="G206" s="469"/>
      <c r="H206" s="468"/>
      <c r="I206" s="468"/>
      <c r="J206" s="468"/>
      <c r="K206" s="468"/>
      <c r="L206" s="468"/>
      <c r="M206" s="468"/>
      <c r="N206" s="468"/>
      <c r="O206" s="468"/>
    </row>
    <row r="207" spans="1:15" ht="23.25" customHeight="1" x14ac:dyDescent="0.2">
      <c r="A207" s="468"/>
      <c r="B207" s="469"/>
      <c r="C207" s="469"/>
      <c r="D207" s="469"/>
      <c r="E207" s="469"/>
      <c r="F207" s="469"/>
      <c r="G207" s="469"/>
      <c r="H207" s="468"/>
      <c r="I207" s="468"/>
      <c r="J207" s="468"/>
      <c r="K207" s="468"/>
      <c r="L207" s="468"/>
      <c r="M207" s="468"/>
      <c r="N207" s="468"/>
      <c r="O207" s="468"/>
    </row>
    <row r="208" spans="1:15" ht="23.25" customHeight="1" x14ac:dyDescent="0.2">
      <c r="A208" s="468"/>
      <c r="B208" s="469"/>
      <c r="C208" s="469"/>
      <c r="D208" s="469"/>
      <c r="E208" s="469"/>
      <c r="F208" s="469"/>
      <c r="G208" s="469"/>
      <c r="H208" s="468"/>
      <c r="I208" s="468"/>
      <c r="J208" s="468"/>
      <c r="K208" s="468"/>
      <c r="L208" s="468"/>
      <c r="M208" s="468"/>
      <c r="N208" s="468"/>
      <c r="O208" s="468"/>
    </row>
    <row r="209" spans="1:15" ht="23.25" customHeight="1" x14ac:dyDescent="0.2">
      <c r="A209" s="468"/>
      <c r="B209" s="469"/>
      <c r="C209" s="469"/>
      <c r="D209" s="469"/>
      <c r="E209" s="469"/>
      <c r="F209" s="469"/>
      <c r="G209" s="469"/>
      <c r="H209" s="468"/>
      <c r="I209" s="468"/>
      <c r="J209" s="468"/>
      <c r="K209" s="468"/>
      <c r="L209" s="468"/>
      <c r="M209" s="468"/>
      <c r="N209" s="468"/>
      <c r="O209" s="468"/>
    </row>
    <row r="210" spans="1:15" ht="23.25" customHeight="1" x14ac:dyDescent="0.2">
      <c r="A210" s="468"/>
      <c r="B210" s="469"/>
      <c r="C210" s="469"/>
      <c r="D210" s="469"/>
      <c r="E210" s="469"/>
      <c r="F210" s="469"/>
      <c r="G210" s="469"/>
      <c r="H210" s="468"/>
      <c r="I210" s="468"/>
      <c r="J210" s="468"/>
      <c r="K210" s="468"/>
      <c r="L210" s="468"/>
      <c r="M210" s="468"/>
      <c r="N210" s="468"/>
      <c r="O210" s="468"/>
    </row>
    <row r="211" spans="1:15" ht="23.25" customHeight="1" x14ac:dyDescent="0.2">
      <c r="A211" s="468"/>
      <c r="B211" s="469"/>
      <c r="C211" s="469"/>
      <c r="D211" s="469"/>
      <c r="E211" s="469"/>
      <c r="F211" s="469"/>
      <c r="G211" s="469"/>
      <c r="H211" s="468"/>
      <c r="I211" s="468"/>
      <c r="J211" s="468"/>
      <c r="K211" s="468"/>
      <c r="L211" s="468"/>
      <c r="M211" s="468"/>
      <c r="N211" s="468"/>
      <c r="O211" s="468"/>
    </row>
    <row r="212" spans="1:15" ht="23.25" customHeight="1" x14ac:dyDescent="0.2">
      <c r="A212" s="468"/>
      <c r="B212" s="469"/>
      <c r="C212" s="469"/>
      <c r="D212" s="469"/>
      <c r="E212" s="469"/>
      <c r="F212" s="469"/>
      <c r="G212" s="469"/>
      <c r="H212" s="468"/>
      <c r="I212" s="468"/>
      <c r="J212" s="468"/>
      <c r="K212" s="468"/>
      <c r="L212" s="468"/>
      <c r="M212" s="468"/>
      <c r="N212" s="468"/>
      <c r="O212" s="468"/>
    </row>
    <row r="213" spans="1:15" ht="23.25" customHeight="1" x14ac:dyDescent="0.2">
      <c r="A213" s="468"/>
      <c r="B213" s="469"/>
      <c r="C213" s="469"/>
      <c r="D213" s="469"/>
      <c r="E213" s="469"/>
      <c r="F213" s="469"/>
      <c r="G213" s="469"/>
      <c r="H213" s="468"/>
      <c r="I213" s="468"/>
      <c r="J213" s="468"/>
      <c r="K213" s="468"/>
      <c r="L213" s="468"/>
      <c r="M213" s="468"/>
      <c r="N213" s="468"/>
      <c r="O213" s="468"/>
    </row>
    <row r="214" spans="1:15" ht="23.25" customHeight="1" x14ac:dyDescent="0.2">
      <c r="A214" s="468"/>
      <c r="B214" s="469"/>
      <c r="C214" s="469"/>
      <c r="D214" s="469"/>
      <c r="E214" s="469"/>
      <c r="F214" s="469"/>
      <c r="G214" s="469"/>
      <c r="H214" s="468"/>
      <c r="I214" s="468"/>
      <c r="J214" s="468"/>
      <c r="K214" s="468"/>
      <c r="L214" s="468"/>
      <c r="M214" s="468"/>
      <c r="N214" s="468"/>
      <c r="O214" s="468"/>
    </row>
    <row r="215" spans="1:15" ht="23.25" customHeight="1" x14ac:dyDescent="0.2">
      <c r="A215" s="468"/>
      <c r="B215" s="469"/>
      <c r="C215" s="469"/>
      <c r="D215" s="469"/>
      <c r="E215" s="469"/>
      <c r="F215" s="469"/>
      <c r="G215" s="469"/>
      <c r="H215" s="468"/>
      <c r="I215" s="468"/>
      <c r="J215" s="468"/>
      <c r="K215" s="468"/>
      <c r="L215" s="468"/>
      <c r="M215" s="468"/>
      <c r="N215" s="468"/>
      <c r="O215" s="468"/>
    </row>
    <row r="216" spans="1:15" ht="23.25" customHeight="1" x14ac:dyDescent="0.2">
      <c r="A216" s="468"/>
      <c r="B216" s="469"/>
      <c r="C216" s="469"/>
      <c r="D216" s="469"/>
      <c r="E216" s="469"/>
      <c r="F216" s="469"/>
      <c r="G216" s="469"/>
      <c r="H216" s="468"/>
      <c r="I216" s="468"/>
      <c r="J216" s="468"/>
      <c r="K216" s="468"/>
      <c r="L216" s="468"/>
      <c r="M216" s="468"/>
      <c r="N216" s="468"/>
      <c r="O216" s="468"/>
    </row>
    <row r="217" spans="1:15" ht="23.25" customHeight="1" x14ac:dyDescent="0.2">
      <c r="A217" s="468"/>
      <c r="B217" s="469"/>
      <c r="C217" s="469"/>
      <c r="D217" s="469"/>
      <c r="E217" s="469"/>
      <c r="F217" s="469"/>
      <c r="G217" s="469"/>
      <c r="H217" s="468"/>
      <c r="I217" s="468"/>
      <c r="J217" s="468"/>
      <c r="K217" s="468"/>
      <c r="L217" s="468"/>
      <c r="M217" s="468"/>
      <c r="N217" s="468"/>
      <c r="O217" s="468"/>
    </row>
    <row r="218" spans="1:15" ht="23.25" customHeight="1" x14ac:dyDescent="0.2">
      <c r="A218" s="468"/>
      <c r="B218" s="469"/>
      <c r="C218" s="469"/>
      <c r="D218" s="469"/>
      <c r="E218" s="469"/>
      <c r="F218" s="469"/>
      <c r="G218" s="469"/>
      <c r="H218" s="468"/>
      <c r="I218" s="468"/>
      <c r="J218" s="468"/>
      <c r="K218" s="468"/>
      <c r="L218" s="468"/>
      <c r="M218" s="468"/>
      <c r="N218" s="468"/>
      <c r="O218" s="468"/>
    </row>
    <row r="219" spans="1:15" ht="23.25" customHeight="1" x14ac:dyDescent="0.2">
      <c r="A219" s="468"/>
      <c r="B219" s="469"/>
      <c r="C219" s="469"/>
      <c r="D219" s="469"/>
      <c r="E219" s="469"/>
      <c r="F219" s="469"/>
      <c r="G219" s="469"/>
      <c r="H219" s="468"/>
      <c r="I219" s="468"/>
      <c r="J219" s="468"/>
      <c r="K219" s="468"/>
      <c r="L219" s="468"/>
      <c r="M219" s="468"/>
      <c r="N219" s="468"/>
      <c r="O219" s="468"/>
    </row>
    <row r="220" spans="1:15" ht="23.25" customHeight="1" x14ac:dyDescent="0.2">
      <c r="A220" s="468"/>
      <c r="B220" s="469"/>
      <c r="C220" s="469"/>
      <c r="D220" s="469"/>
      <c r="E220" s="469"/>
      <c r="F220" s="469"/>
      <c r="G220" s="469"/>
      <c r="H220" s="468"/>
      <c r="I220" s="468"/>
      <c r="J220" s="468"/>
      <c r="K220" s="468"/>
      <c r="L220" s="468"/>
      <c r="M220" s="468"/>
      <c r="N220" s="468"/>
      <c r="O220" s="468"/>
    </row>
    <row r="221" spans="1:15" ht="23.25" customHeight="1" x14ac:dyDescent="0.2">
      <c r="A221" s="468"/>
      <c r="B221" s="469"/>
      <c r="C221" s="469"/>
      <c r="D221" s="469"/>
      <c r="E221" s="469"/>
      <c r="F221" s="469"/>
      <c r="G221" s="469"/>
      <c r="H221" s="468"/>
      <c r="I221" s="468"/>
      <c r="J221" s="468"/>
      <c r="K221" s="468"/>
      <c r="L221" s="468"/>
      <c r="M221" s="468"/>
      <c r="N221" s="468"/>
      <c r="O221" s="468"/>
    </row>
    <row r="222" spans="1:15" ht="23.25" customHeight="1" x14ac:dyDescent="0.2">
      <c r="A222" s="468"/>
      <c r="B222" s="469"/>
      <c r="C222" s="469"/>
      <c r="D222" s="469"/>
      <c r="E222" s="469"/>
      <c r="F222" s="469"/>
      <c r="G222" s="469"/>
      <c r="H222" s="468"/>
      <c r="I222" s="468"/>
      <c r="J222" s="468"/>
      <c r="K222" s="468"/>
      <c r="L222" s="468"/>
      <c r="M222" s="468"/>
      <c r="N222" s="468"/>
      <c r="O222" s="468"/>
    </row>
    <row r="223" spans="1:15" ht="23.25" customHeight="1" x14ac:dyDescent="0.2">
      <c r="A223" s="468"/>
      <c r="B223" s="469"/>
      <c r="C223" s="469"/>
      <c r="D223" s="469"/>
      <c r="E223" s="469"/>
      <c r="F223" s="469"/>
      <c r="G223" s="469"/>
      <c r="H223" s="468"/>
      <c r="I223" s="468"/>
      <c r="J223" s="468"/>
      <c r="K223" s="468"/>
      <c r="L223" s="468"/>
      <c r="M223" s="468"/>
      <c r="N223" s="468"/>
      <c r="O223" s="468"/>
    </row>
    <row r="224" spans="1:15" ht="23.25" customHeight="1" x14ac:dyDescent="0.2">
      <c r="A224" s="468"/>
      <c r="B224" s="469"/>
      <c r="C224" s="469"/>
      <c r="D224" s="469"/>
      <c r="E224" s="469"/>
      <c r="F224" s="469"/>
      <c r="G224" s="469"/>
      <c r="H224" s="468"/>
      <c r="I224" s="468"/>
      <c r="J224" s="468"/>
      <c r="K224" s="468"/>
      <c r="L224" s="468"/>
      <c r="M224" s="468"/>
      <c r="N224" s="468"/>
      <c r="O224" s="468"/>
    </row>
    <row r="225" spans="1:15" ht="23.25" customHeight="1" x14ac:dyDescent="0.2">
      <c r="A225" s="468"/>
      <c r="B225" s="469"/>
      <c r="C225" s="469"/>
      <c r="D225" s="469"/>
      <c r="E225" s="469"/>
      <c r="F225" s="469"/>
      <c r="G225" s="469"/>
      <c r="H225" s="468"/>
      <c r="I225" s="468"/>
      <c r="J225" s="468"/>
      <c r="K225" s="468"/>
      <c r="L225" s="468"/>
      <c r="M225" s="468"/>
      <c r="N225" s="468"/>
      <c r="O225" s="468"/>
    </row>
    <row r="226" spans="1:15" ht="23.25" customHeight="1" x14ac:dyDescent="0.2">
      <c r="A226" s="468"/>
      <c r="B226" s="469"/>
      <c r="C226" s="469"/>
      <c r="D226" s="469"/>
      <c r="E226" s="469"/>
      <c r="F226" s="469"/>
      <c r="G226" s="469"/>
      <c r="H226" s="468"/>
      <c r="I226" s="468"/>
      <c r="J226" s="468"/>
      <c r="K226" s="468"/>
      <c r="L226" s="468"/>
      <c r="M226" s="468"/>
      <c r="N226" s="468"/>
      <c r="O226" s="468"/>
    </row>
    <row r="227" spans="1:15" ht="23.25" customHeight="1" x14ac:dyDescent="0.2">
      <c r="A227" s="468"/>
      <c r="B227" s="469"/>
      <c r="C227" s="469"/>
      <c r="D227" s="469"/>
      <c r="E227" s="469"/>
      <c r="F227" s="469"/>
      <c r="G227" s="469"/>
      <c r="H227" s="468"/>
      <c r="I227" s="468"/>
      <c r="J227" s="468"/>
      <c r="K227" s="468"/>
      <c r="L227" s="468"/>
      <c r="M227" s="468"/>
      <c r="N227" s="468"/>
      <c r="O227" s="468"/>
    </row>
    <row r="228" spans="1:15" ht="23.25" customHeight="1" x14ac:dyDescent="0.2">
      <c r="A228" s="468"/>
      <c r="B228" s="469"/>
      <c r="C228" s="469"/>
      <c r="D228" s="469"/>
      <c r="E228" s="469"/>
      <c r="F228" s="469"/>
      <c r="G228" s="469"/>
      <c r="H228" s="468"/>
      <c r="I228" s="468"/>
      <c r="J228" s="468"/>
      <c r="K228" s="468"/>
      <c r="L228" s="468"/>
      <c r="M228" s="468"/>
      <c r="N228" s="468"/>
      <c r="O228" s="468"/>
    </row>
    <row r="229" spans="1:15" ht="23.25" customHeight="1" x14ac:dyDescent="0.2">
      <c r="A229" s="468"/>
      <c r="B229" s="469"/>
      <c r="C229" s="469"/>
      <c r="D229" s="469"/>
      <c r="E229" s="469"/>
      <c r="F229" s="469"/>
      <c r="G229" s="469"/>
      <c r="H229" s="468"/>
      <c r="I229" s="468"/>
      <c r="J229" s="468"/>
      <c r="K229" s="468"/>
      <c r="L229" s="468"/>
      <c r="M229" s="468"/>
      <c r="N229" s="468"/>
      <c r="O229" s="468"/>
    </row>
    <row r="230" spans="1:15" ht="23.25" customHeight="1" x14ac:dyDescent="0.2">
      <c r="A230" s="468"/>
      <c r="B230" s="469"/>
      <c r="C230" s="469"/>
      <c r="D230" s="469"/>
      <c r="E230" s="469"/>
      <c r="F230" s="469"/>
      <c r="G230" s="469"/>
      <c r="H230" s="468"/>
      <c r="I230" s="468"/>
      <c r="J230" s="468"/>
      <c r="K230" s="468"/>
      <c r="L230" s="468"/>
      <c r="M230" s="468"/>
      <c r="N230" s="468"/>
      <c r="O230" s="468"/>
    </row>
    <row r="231" spans="1:15" ht="23.25" customHeight="1" x14ac:dyDescent="0.2">
      <c r="A231" s="468"/>
      <c r="B231" s="469"/>
      <c r="C231" s="469"/>
      <c r="D231" s="469"/>
      <c r="E231" s="469"/>
      <c r="F231" s="469"/>
      <c r="G231" s="469"/>
      <c r="H231" s="468"/>
      <c r="I231" s="468"/>
      <c r="J231" s="468"/>
      <c r="K231" s="468"/>
      <c r="L231" s="468"/>
      <c r="M231" s="468"/>
      <c r="N231" s="468"/>
      <c r="O231" s="468"/>
    </row>
    <row r="232" spans="1:15" ht="23.25" customHeight="1" x14ac:dyDescent="0.2">
      <c r="A232" s="468"/>
      <c r="B232" s="469"/>
      <c r="C232" s="469"/>
      <c r="D232" s="469"/>
      <c r="E232" s="469"/>
      <c r="F232" s="469"/>
      <c r="G232" s="469"/>
      <c r="H232" s="468"/>
      <c r="I232" s="468"/>
      <c r="J232" s="468"/>
      <c r="K232" s="468"/>
      <c r="L232" s="468"/>
      <c r="M232" s="468"/>
      <c r="N232" s="468"/>
      <c r="O232" s="468"/>
    </row>
    <row r="233" spans="1:15" ht="23.25" customHeight="1" x14ac:dyDescent="0.2">
      <c r="A233" s="468"/>
      <c r="B233" s="469"/>
      <c r="C233" s="469"/>
      <c r="D233" s="469"/>
      <c r="E233" s="469"/>
      <c r="F233" s="469"/>
      <c r="G233" s="469"/>
      <c r="H233" s="468"/>
      <c r="I233" s="468"/>
      <c r="J233" s="468"/>
      <c r="K233" s="468"/>
      <c r="L233" s="468"/>
      <c r="M233" s="468"/>
      <c r="N233" s="468"/>
      <c r="O233" s="468"/>
    </row>
    <row r="234" spans="1:15" ht="23.25" customHeight="1" x14ac:dyDescent="0.2">
      <c r="A234" s="468"/>
      <c r="B234" s="469"/>
      <c r="C234" s="469"/>
      <c r="D234" s="469"/>
      <c r="E234" s="469"/>
      <c r="F234" s="469"/>
      <c r="G234" s="469"/>
      <c r="H234" s="468"/>
      <c r="I234" s="468"/>
      <c r="J234" s="468"/>
      <c r="K234" s="468"/>
      <c r="L234" s="468"/>
      <c r="M234" s="468"/>
      <c r="N234" s="468"/>
      <c r="O234" s="468"/>
    </row>
    <row r="235" spans="1:15" ht="23.25" customHeight="1" x14ac:dyDescent="0.2">
      <c r="A235" s="468"/>
      <c r="B235" s="469"/>
      <c r="C235" s="469"/>
      <c r="D235" s="469"/>
      <c r="E235" s="469"/>
      <c r="F235" s="469"/>
      <c r="G235" s="469"/>
      <c r="H235" s="468"/>
      <c r="I235" s="468"/>
      <c r="J235" s="468"/>
      <c r="K235" s="468"/>
      <c r="L235" s="468"/>
      <c r="M235" s="468"/>
      <c r="N235" s="468"/>
      <c r="O235" s="468"/>
    </row>
    <row r="236" spans="1:15" ht="23.25" customHeight="1" x14ac:dyDescent="0.2">
      <c r="A236" s="468"/>
      <c r="B236" s="469"/>
      <c r="C236" s="469"/>
      <c r="D236" s="469"/>
      <c r="E236" s="469"/>
      <c r="F236" s="469"/>
      <c r="G236" s="469"/>
      <c r="H236" s="468"/>
      <c r="I236" s="468"/>
      <c r="J236" s="468"/>
      <c r="K236" s="468"/>
      <c r="L236" s="468"/>
      <c r="M236" s="468"/>
      <c r="N236" s="468"/>
      <c r="O236" s="468"/>
    </row>
    <row r="237" spans="1:15" ht="23.25" customHeight="1" x14ac:dyDescent="0.2">
      <c r="A237" s="468"/>
      <c r="B237" s="469"/>
      <c r="C237" s="469"/>
      <c r="D237" s="469"/>
      <c r="E237" s="469"/>
      <c r="F237" s="469"/>
      <c r="G237" s="469"/>
      <c r="H237" s="468"/>
      <c r="I237" s="468"/>
      <c r="J237" s="468"/>
      <c r="K237" s="468"/>
      <c r="L237" s="468"/>
      <c r="M237" s="468"/>
      <c r="N237" s="468"/>
      <c r="O237" s="468"/>
    </row>
    <row r="238" spans="1:15" ht="23.25" customHeight="1" x14ac:dyDescent="0.2">
      <c r="A238" s="468"/>
      <c r="B238" s="469"/>
      <c r="C238" s="469"/>
      <c r="D238" s="469"/>
      <c r="E238" s="469"/>
      <c r="F238" s="469"/>
      <c r="G238" s="469"/>
      <c r="H238" s="468"/>
      <c r="I238" s="468"/>
      <c r="J238" s="468"/>
      <c r="K238" s="468"/>
      <c r="L238" s="468"/>
      <c r="M238" s="468"/>
      <c r="N238" s="468"/>
      <c r="O238" s="468"/>
    </row>
    <row r="239" spans="1:15" ht="23.25" customHeight="1" x14ac:dyDescent="0.2">
      <c r="A239" s="468"/>
      <c r="B239" s="469"/>
      <c r="C239" s="469"/>
      <c r="D239" s="469"/>
      <c r="E239" s="469"/>
      <c r="F239" s="469"/>
      <c r="G239" s="469"/>
      <c r="H239" s="468"/>
      <c r="I239" s="468"/>
      <c r="J239" s="468"/>
      <c r="K239" s="468"/>
      <c r="L239" s="468"/>
      <c r="M239" s="468"/>
      <c r="N239" s="468"/>
      <c r="O239" s="468"/>
    </row>
    <row r="240" spans="1:15" ht="23.25" customHeight="1" x14ac:dyDescent="0.2">
      <c r="A240" s="468"/>
      <c r="B240" s="469"/>
      <c r="C240" s="469"/>
      <c r="D240" s="469"/>
      <c r="E240" s="469"/>
      <c r="F240" s="469"/>
      <c r="G240" s="469"/>
      <c r="H240" s="468"/>
      <c r="I240" s="468"/>
      <c r="J240" s="468"/>
      <c r="K240" s="468"/>
      <c r="L240" s="468"/>
      <c r="M240" s="468"/>
      <c r="N240" s="468"/>
      <c r="O240" s="468"/>
    </row>
    <row r="241" spans="1:15" ht="23.25" customHeight="1" x14ac:dyDescent="0.2">
      <c r="A241" s="468"/>
      <c r="B241" s="469"/>
      <c r="C241" s="469"/>
      <c r="D241" s="469"/>
      <c r="E241" s="469"/>
      <c r="F241" s="469"/>
      <c r="G241" s="469"/>
      <c r="H241" s="468"/>
      <c r="I241" s="468"/>
      <c r="J241" s="468"/>
      <c r="K241" s="468"/>
      <c r="L241" s="468"/>
      <c r="M241" s="468"/>
      <c r="N241" s="468"/>
      <c r="O241" s="468"/>
    </row>
    <row r="242" spans="1:15" ht="23.25" customHeight="1" x14ac:dyDescent="0.2">
      <c r="A242" s="468"/>
      <c r="B242" s="469"/>
      <c r="C242" s="469"/>
      <c r="D242" s="469"/>
      <c r="E242" s="469"/>
      <c r="F242" s="469"/>
      <c r="G242" s="469"/>
      <c r="H242" s="468"/>
      <c r="I242" s="468"/>
      <c r="J242" s="468"/>
      <c r="K242" s="468"/>
      <c r="L242" s="468"/>
      <c r="M242" s="468"/>
      <c r="N242" s="468"/>
      <c r="O242" s="468"/>
    </row>
    <row r="243" spans="1:15" ht="23.25" customHeight="1" x14ac:dyDescent="0.2">
      <c r="A243" s="468"/>
      <c r="B243" s="469"/>
      <c r="C243" s="469"/>
      <c r="D243" s="469"/>
      <c r="E243" s="469"/>
      <c r="F243" s="469"/>
      <c r="G243" s="469"/>
      <c r="H243" s="468"/>
      <c r="I243" s="468"/>
      <c r="J243" s="468"/>
      <c r="K243" s="468"/>
      <c r="L243" s="468"/>
      <c r="M243" s="468"/>
      <c r="N243" s="468"/>
      <c r="O243" s="468"/>
    </row>
    <row r="244" spans="1:15" ht="23.25" customHeight="1" x14ac:dyDescent="0.2">
      <c r="A244" s="468"/>
      <c r="B244" s="469"/>
      <c r="C244" s="469"/>
      <c r="D244" s="469"/>
      <c r="E244" s="469"/>
      <c r="F244" s="469"/>
      <c r="G244" s="469"/>
      <c r="H244" s="468"/>
      <c r="I244" s="468"/>
      <c r="J244" s="468"/>
      <c r="K244" s="468"/>
      <c r="L244" s="468"/>
      <c r="M244" s="468"/>
      <c r="N244" s="468"/>
      <c r="O244" s="468"/>
    </row>
    <row r="245" spans="1:15" ht="23.25" customHeight="1" x14ac:dyDescent="0.2">
      <c r="A245" s="468"/>
      <c r="B245" s="469"/>
      <c r="C245" s="469"/>
      <c r="D245" s="469"/>
      <c r="E245" s="469"/>
      <c r="F245" s="469"/>
      <c r="G245" s="469"/>
      <c r="H245" s="468"/>
      <c r="I245" s="468"/>
      <c r="J245" s="468"/>
      <c r="K245" s="468"/>
      <c r="L245" s="468"/>
      <c r="M245" s="468"/>
      <c r="N245" s="468"/>
      <c r="O245" s="468"/>
    </row>
    <row r="246" spans="1:15" ht="23.25" customHeight="1" x14ac:dyDescent="0.2">
      <c r="A246" s="468"/>
      <c r="B246" s="469"/>
      <c r="C246" s="469"/>
      <c r="D246" s="469"/>
      <c r="E246" s="469"/>
      <c r="F246" s="469"/>
      <c r="G246" s="469"/>
      <c r="H246" s="468"/>
      <c r="I246" s="468"/>
      <c r="J246" s="468"/>
      <c r="K246" s="468"/>
      <c r="L246" s="468"/>
      <c r="M246" s="468"/>
      <c r="N246" s="468"/>
      <c r="O246" s="468"/>
    </row>
    <row r="247" spans="1:15" ht="23.25" customHeight="1" x14ac:dyDescent="0.2">
      <c r="A247" s="468"/>
      <c r="B247" s="469"/>
      <c r="C247" s="469"/>
      <c r="D247" s="469"/>
      <c r="E247" s="469"/>
      <c r="F247" s="469"/>
      <c r="G247" s="469"/>
      <c r="H247" s="468"/>
      <c r="I247" s="468"/>
      <c r="J247" s="468"/>
      <c r="K247" s="468"/>
      <c r="L247" s="468"/>
      <c r="M247" s="468"/>
      <c r="N247" s="468"/>
      <c r="O247" s="468"/>
    </row>
    <row r="248" spans="1:15" ht="23.25" customHeight="1" x14ac:dyDescent="0.2">
      <c r="A248" s="468"/>
      <c r="B248" s="469"/>
      <c r="C248" s="469"/>
      <c r="D248" s="469"/>
      <c r="E248" s="469"/>
      <c r="F248" s="469"/>
      <c r="G248" s="469"/>
      <c r="H248" s="468"/>
      <c r="I248" s="468"/>
      <c r="J248" s="468"/>
      <c r="K248" s="468"/>
      <c r="L248" s="468"/>
      <c r="M248" s="468"/>
      <c r="N248" s="468"/>
      <c r="O248" s="468"/>
    </row>
    <row r="249" spans="1:15" ht="23.25" customHeight="1" x14ac:dyDescent="0.2">
      <c r="A249" s="468"/>
      <c r="B249" s="469"/>
      <c r="C249" s="469"/>
      <c r="D249" s="469"/>
      <c r="E249" s="469"/>
      <c r="F249" s="469"/>
      <c r="G249" s="469"/>
      <c r="H249" s="468"/>
      <c r="I249" s="468"/>
      <c r="J249" s="468"/>
      <c r="K249" s="468"/>
      <c r="L249" s="468"/>
      <c r="M249" s="468"/>
      <c r="N249" s="468"/>
      <c r="O249" s="468"/>
    </row>
    <row r="250" spans="1:15" ht="23.25" customHeight="1" x14ac:dyDescent="0.2">
      <c r="A250" s="468"/>
      <c r="B250" s="469"/>
      <c r="C250" s="469"/>
      <c r="D250" s="469"/>
      <c r="E250" s="469"/>
      <c r="F250" s="469"/>
      <c r="G250" s="469"/>
      <c r="H250" s="468"/>
      <c r="I250" s="468"/>
      <c r="J250" s="468"/>
      <c r="K250" s="468"/>
      <c r="L250" s="468"/>
      <c r="M250" s="468"/>
      <c r="N250" s="468"/>
      <c r="O250" s="468"/>
    </row>
    <row r="251" spans="1:15" ht="23.25" customHeight="1" x14ac:dyDescent="0.2">
      <c r="A251" s="468"/>
      <c r="B251" s="469"/>
      <c r="C251" s="469"/>
      <c r="D251" s="469"/>
      <c r="E251" s="469"/>
      <c r="F251" s="469"/>
      <c r="G251" s="469"/>
      <c r="H251" s="468"/>
      <c r="I251" s="468"/>
      <c r="J251" s="468"/>
      <c r="K251" s="468"/>
      <c r="L251" s="468"/>
      <c r="M251" s="468"/>
      <c r="N251" s="468"/>
      <c r="O251" s="468"/>
    </row>
    <row r="252" spans="1:15" ht="23.25" customHeight="1" x14ac:dyDescent="0.2">
      <c r="A252" s="468"/>
      <c r="B252" s="469"/>
      <c r="C252" s="469"/>
      <c r="D252" s="469"/>
      <c r="E252" s="469"/>
      <c r="F252" s="469"/>
      <c r="G252" s="469"/>
      <c r="H252" s="468"/>
      <c r="I252" s="468"/>
      <c r="J252" s="468"/>
      <c r="K252" s="468"/>
      <c r="L252" s="468"/>
      <c r="M252" s="468"/>
      <c r="N252" s="468"/>
      <c r="O252" s="468"/>
    </row>
    <row r="253" spans="1:15" ht="23.25" customHeight="1" x14ac:dyDescent="0.2">
      <c r="A253" s="468"/>
      <c r="B253" s="469"/>
      <c r="C253" s="469"/>
      <c r="D253" s="469"/>
      <c r="E253" s="469"/>
      <c r="F253" s="469"/>
      <c r="G253" s="469"/>
      <c r="H253" s="468"/>
      <c r="I253" s="468"/>
      <c r="J253" s="468"/>
      <c r="K253" s="468"/>
      <c r="L253" s="468"/>
      <c r="M253" s="468"/>
      <c r="N253" s="468"/>
      <c r="O253" s="468"/>
    </row>
    <row r="254" spans="1:15" ht="23.25" customHeight="1" x14ac:dyDescent="0.2">
      <c r="A254" s="468"/>
      <c r="B254" s="469"/>
      <c r="C254" s="469"/>
      <c r="D254" s="469"/>
      <c r="E254" s="469"/>
      <c r="F254" s="469"/>
      <c r="G254" s="469"/>
      <c r="H254" s="468"/>
      <c r="I254" s="468"/>
      <c r="J254" s="468"/>
      <c r="K254" s="468"/>
      <c r="L254" s="468"/>
      <c r="M254" s="468"/>
      <c r="N254" s="468"/>
      <c r="O254" s="468"/>
    </row>
    <row r="255" spans="1:15" ht="23.25" customHeight="1" x14ac:dyDescent="0.2">
      <c r="A255" s="468"/>
      <c r="B255" s="469"/>
      <c r="C255" s="469"/>
      <c r="D255" s="469"/>
      <c r="E255" s="469"/>
      <c r="F255" s="469"/>
      <c r="G255" s="469"/>
      <c r="H255" s="468"/>
      <c r="I255" s="468"/>
      <c r="J255" s="468"/>
      <c r="K255" s="468"/>
      <c r="L255" s="468"/>
      <c r="M255" s="468"/>
      <c r="N255" s="468"/>
      <c r="O255" s="468"/>
    </row>
    <row r="256" spans="1:15" ht="23.25" customHeight="1" x14ac:dyDescent="0.2">
      <c r="A256" s="468"/>
      <c r="B256" s="469"/>
      <c r="C256" s="469"/>
      <c r="D256" s="469"/>
      <c r="E256" s="469"/>
      <c r="F256" s="469"/>
      <c r="G256" s="469"/>
      <c r="H256" s="468"/>
      <c r="I256" s="468"/>
      <c r="J256" s="468"/>
      <c r="K256" s="468"/>
      <c r="L256" s="468"/>
      <c r="M256" s="468"/>
      <c r="N256" s="468"/>
      <c r="O256" s="468"/>
    </row>
    <row r="257" spans="1:15" ht="23.25" customHeight="1" x14ac:dyDescent="0.2">
      <c r="A257" s="468"/>
      <c r="B257" s="469"/>
      <c r="C257" s="469"/>
      <c r="D257" s="469"/>
      <c r="E257" s="469"/>
      <c r="F257" s="469"/>
      <c r="G257" s="469"/>
      <c r="H257" s="468"/>
      <c r="I257" s="468"/>
      <c r="J257" s="468"/>
      <c r="K257" s="468"/>
      <c r="L257" s="468"/>
      <c r="M257" s="468"/>
      <c r="N257" s="468"/>
      <c r="O257" s="468"/>
    </row>
    <row r="258" spans="1:15" ht="23.25" customHeight="1" x14ac:dyDescent="0.2">
      <c r="A258" s="468"/>
      <c r="B258" s="469"/>
      <c r="C258" s="469"/>
      <c r="D258" s="469"/>
      <c r="E258" s="469"/>
      <c r="F258" s="469"/>
      <c r="G258" s="469"/>
      <c r="H258" s="468"/>
      <c r="I258" s="468"/>
      <c r="J258" s="468"/>
      <c r="K258" s="468"/>
      <c r="L258" s="468"/>
      <c r="M258" s="468"/>
      <c r="N258" s="468"/>
      <c r="O258" s="468"/>
    </row>
    <row r="259" spans="1:15" ht="23.25" customHeight="1" x14ac:dyDescent="0.2">
      <c r="A259" s="468"/>
      <c r="B259" s="469"/>
      <c r="C259" s="469"/>
      <c r="D259" s="469"/>
      <c r="E259" s="469"/>
      <c r="F259" s="469"/>
      <c r="G259" s="469"/>
      <c r="H259" s="468"/>
      <c r="I259" s="468"/>
      <c r="J259" s="468"/>
      <c r="K259" s="468"/>
      <c r="L259" s="468"/>
      <c r="M259" s="468"/>
      <c r="N259" s="468"/>
      <c r="O259" s="468"/>
    </row>
    <row r="260" spans="1:15" ht="23.25" customHeight="1" x14ac:dyDescent="0.2">
      <c r="A260" s="468"/>
      <c r="B260" s="469"/>
      <c r="C260" s="469"/>
      <c r="D260" s="469"/>
      <c r="E260" s="469"/>
      <c r="F260" s="469"/>
      <c r="G260" s="469"/>
      <c r="H260" s="468"/>
      <c r="I260" s="468"/>
      <c r="J260" s="468"/>
      <c r="K260" s="468"/>
      <c r="L260" s="468"/>
      <c r="M260" s="468"/>
      <c r="N260" s="468"/>
      <c r="O260" s="468"/>
    </row>
    <row r="261" spans="1:15" ht="23.25" customHeight="1" x14ac:dyDescent="0.2">
      <c r="A261" s="468"/>
      <c r="B261" s="469"/>
      <c r="C261" s="469"/>
      <c r="D261" s="469"/>
      <c r="E261" s="469"/>
      <c r="F261" s="469"/>
      <c r="G261" s="469"/>
      <c r="H261" s="468"/>
      <c r="I261" s="468"/>
      <c r="J261" s="468"/>
      <c r="K261" s="468"/>
      <c r="L261" s="468"/>
      <c r="M261" s="468"/>
      <c r="N261" s="468"/>
      <c r="O261" s="468"/>
    </row>
    <row r="262" spans="1:15" ht="23.25" customHeight="1" x14ac:dyDescent="0.2">
      <c r="A262" s="468"/>
      <c r="B262" s="469"/>
      <c r="C262" s="469"/>
      <c r="D262" s="469"/>
      <c r="E262" s="469"/>
      <c r="F262" s="469"/>
      <c r="G262" s="469"/>
      <c r="H262" s="468"/>
      <c r="I262" s="468"/>
      <c r="J262" s="468"/>
      <c r="K262" s="468"/>
      <c r="L262" s="468"/>
      <c r="M262" s="468"/>
      <c r="N262" s="468"/>
      <c r="O262" s="468"/>
    </row>
    <row r="263" spans="1:15" ht="23.25" customHeight="1" x14ac:dyDescent="0.2">
      <c r="A263" s="468"/>
      <c r="B263" s="469"/>
      <c r="C263" s="469"/>
      <c r="D263" s="469"/>
      <c r="E263" s="469"/>
      <c r="F263" s="469"/>
      <c r="G263" s="469"/>
      <c r="H263" s="468"/>
      <c r="I263" s="468"/>
      <c r="J263" s="468"/>
      <c r="K263" s="468"/>
      <c r="L263" s="468"/>
      <c r="M263" s="468"/>
      <c r="N263" s="468"/>
      <c r="O263" s="468"/>
    </row>
    <row r="264" spans="1:15" ht="23.25" customHeight="1" x14ac:dyDescent="0.2">
      <c r="A264" s="468"/>
      <c r="B264" s="469"/>
      <c r="C264" s="469"/>
      <c r="D264" s="469"/>
      <c r="E264" s="469"/>
      <c r="F264" s="469"/>
      <c r="G264" s="469"/>
      <c r="H264" s="468"/>
      <c r="I264" s="468"/>
      <c r="J264" s="468"/>
      <c r="K264" s="468"/>
      <c r="L264" s="468"/>
      <c r="M264" s="468"/>
      <c r="N264" s="468"/>
      <c r="O264" s="468"/>
    </row>
    <row r="265" spans="1:15" ht="23.25" customHeight="1" x14ac:dyDescent="0.2">
      <c r="A265" s="468"/>
      <c r="B265" s="469"/>
      <c r="C265" s="469"/>
      <c r="D265" s="469"/>
      <c r="E265" s="469"/>
      <c r="F265" s="469"/>
      <c r="G265" s="469"/>
      <c r="H265" s="468"/>
      <c r="I265" s="468"/>
      <c r="J265" s="468"/>
      <c r="K265" s="468"/>
      <c r="L265" s="468"/>
      <c r="M265" s="468"/>
      <c r="N265" s="468"/>
      <c r="O265" s="468"/>
    </row>
    <row r="266" spans="1:15" ht="23.25" customHeight="1" x14ac:dyDescent="0.2">
      <c r="A266" s="468"/>
      <c r="B266" s="469"/>
      <c r="C266" s="469"/>
      <c r="D266" s="469"/>
      <c r="E266" s="469"/>
      <c r="F266" s="469"/>
      <c r="G266" s="469"/>
      <c r="H266" s="468"/>
      <c r="I266" s="468"/>
      <c r="J266" s="468"/>
      <c r="K266" s="468"/>
      <c r="L266" s="468"/>
      <c r="M266" s="468"/>
      <c r="N266" s="468"/>
      <c r="O266" s="468"/>
    </row>
    <row r="267" spans="1:15" ht="23.25" customHeight="1" x14ac:dyDescent="0.2">
      <c r="A267" s="468"/>
      <c r="B267" s="469"/>
      <c r="C267" s="469"/>
      <c r="D267" s="469"/>
      <c r="E267" s="469"/>
      <c r="F267" s="469"/>
      <c r="G267" s="469"/>
      <c r="H267" s="468"/>
      <c r="I267" s="468"/>
      <c r="J267" s="468"/>
      <c r="K267" s="468"/>
      <c r="L267" s="468"/>
      <c r="M267" s="468"/>
      <c r="N267" s="468"/>
      <c r="O267" s="468"/>
    </row>
    <row r="268" spans="1:15" ht="23.25" customHeight="1" x14ac:dyDescent="0.2">
      <c r="A268" s="468"/>
      <c r="B268" s="469"/>
      <c r="C268" s="469"/>
      <c r="D268" s="469"/>
      <c r="E268" s="469"/>
      <c r="F268" s="469"/>
      <c r="G268" s="469"/>
      <c r="H268" s="468"/>
      <c r="I268" s="468"/>
      <c r="J268" s="468"/>
      <c r="K268" s="468"/>
      <c r="L268" s="468"/>
      <c r="M268" s="468"/>
      <c r="N268" s="468"/>
      <c r="O268" s="468"/>
    </row>
    <row r="269" spans="1:15" ht="23.25" customHeight="1" x14ac:dyDescent="0.2">
      <c r="A269" s="468"/>
      <c r="B269" s="469"/>
      <c r="C269" s="469"/>
      <c r="D269" s="469"/>
      <c r="E269" s="469"/>
      <c r="F269" s="469"/>
      <c r="G269" s="469"/>
      <c r="H269" s="468"/>
      <c r="I269" s="468"/>
      <c r="J269" s="468"/>
      <c r="K269" s="468"/>
      <c r="L269" s="468"/>
      <c r="M269" s="468"/>
      <c r="N269" s="468"/>
      <c r="O269" s="468"/>
    </row>
    <row r="270" spans="1:15" ht="23.25" customHeight="1" x14ac:dyDescent="0.2">
      <c r="A270" s="468"/>
      <c r="B270" s="469"/>
      <c r="C270" s="469"/>
      <c r="D270" s="469"/>
      <c r="E270" s="469"/>
      <c r="F270" s="469"/>
      <c r="G270" s="469"/>
      <c r="H270" s="468"/>
      <c r="I270" s="468"/>
      <c r="J270" s="468"/>
      <c r="K270" s="468"/>
      <c r="L270" s="468"/>
      <c r="M270" s="468"/>
      <c r="N270" s="468"/>
      <c r="O270" s="468"/>
    </row>
    <row r="271" spans="1:15" ht="23.25" customHeight="1" x14ac:dyDescent="0.2">
      <c r="A271" s="468"/>
      <c r="B271" s="469"/>
      <c r="C271" s="469"/>
      <c r="D271" s="469"/>
      <c r="E271" s="469"/>
      <c r="F271" s="469"/>
      <c r="G271" s="469"/>
      <c r="H271" s="468"/>
      <c r="I271" s="468"/>
      <c r="J271" s="468"/>
      <c r="K271" s="468"/>
      <c r="L271" s="468"/>
      <c r="M271" s="468"/>
      <c r="N271" s="468"/>
      <c r="O271" s="468"/>
    </row>
    <row r="272" spans="1:15" ht="23.25" customHeight="1" x14ac:dyDescent="0.2">
      <c r="A272" s="468"/>
      <c r="B272" s="469"/>
      <c r="C272" s="469"/>
      <c r="D272" s="469"/>
      <c r="E272" s="469"/>
      <c r="F272" s="469"/>
      <c r="G272" s="469"/>
      <c r="H272" s="468"/>
      <c r="I272" s="468"/>
      <c r="J272" s="468"/>
      <c r="K272" s="468"/>
      <c r="L272" s="468"/>
      <c r="M272" s="468"/>
      <c r="N272" s="468"/>
      <c r="O272" s="468"/>
    </row>
    <row r="273" spans="1:15" ht="23.25" customHeight="1" x14ac:dyDescent="0.2">
      <c r="A273" s="468"/>
      <c r="B273" s="469"/>
      <c r="C273" s="469"/>
      <c r="D273" s="469"/>
      <c r="E273" s="469"/>
      <c r="F273" s="469"/>
      <c r="G273" s="469"/>
      <c r="H273" s="468"/>
      <c r="I273" s="468"/>
      <c r="J273" s="468"/>
      <c r="K273" s="468"/>
      <c r="L273" s="468"/>
      <c r="M273" s="468"/>
      <c r="N273" s="468"/>
      <c r="O273" s="468"/>
    </row>
    <row r="274" spans="1:15" ht="23.25" customHeight="1" x14ac:dyDescent="0.2">
      <c r="A274" s="468"/>
      <c r="B274" s="469"/>
      <c r="C274" s="469"/>
      <c r="D274" s="469"/>
      <c r="E274" s="469"/>
      <c r="F274" s="469"/>
      <c r="G274" s="469"/>
      <c r="H274" s="468"/>
      <c r="I274" s="468"/>
      <c r="J274" s="468"/>
      <c r="K274" s="468"/>
      <c r="L274" s="468"/>
      <c r="M274" s="468"/>
      <c r="N274" s="468"/>
      <c r="O274" s="468"/>
    </row>
    <row r="275" spans="1:15" ht="23.25" customHeight="1" x14ac:dyDescent="0.2">
      <c r="A275" s="468"/>
      <c r="B275" s="469"/>
      <c r="C275" s="469"/>
      <c r="D275" s="469"/>
      <c r="E275" s="469"/>
      <c r="F275" s="469"/>
      <c r="G275" s="469"/>
      <c r="H275" s="468"/>
      <c r="I275" s="468"/>
      <c r="J275" s="468"/>
      <c r="K275" s="468"/>
      <c r="L275" s="468"/>
      <c r="M275" s="468"/>
      <c r="N275" s="468"/>
      <c r="O275" s="468"/>
    </row>
    <row r="276" spans="1:15" ht="23.25" customHeight="1" x14ac:dyDescent="0.2">
      <c r="A276" s="468"/>
      <c r="B276" s="469"/>
      <c r="C276" s="469"/>
      <c r="D276" s="469"/>
      <c r="E276" s="469"/>
      <c r="F276" s="469"/>
      <c r="G276" s="469"/>
      <c r="H276" s="468"/>
      <c r="I276" s="468"/>
      <c r="J276" s="468"/>
      <c r="K276" s="468"/>
      <c r="L276" s="468"/>
      <c r="M276" s="468"/>
      <c r="N276" s="468"/>
      <c r="O276" s="468"/>
    </row>
    <row r="277" spans="1:15" ht="23.25" customHeight="1" x14ac:dyDescent="0.2">
      <c r="A277" s="468"/>
      <c r="B277" s="469"/>
      <c r="C277" s="469"/>
      <c r="D277" s="469"/>
      <c r="E277" s="469"/>
      <c r="F277" s="469"/>
      <c r="G277" s="469"/>
      <c r="H277" s="468"/>
      <c r="I277" s="468"/>
      <c r="J277" s="468"/>
      <c r="K277" s="468"/>
      <c r="L277" s="468"/>
      <c r="M277" s="468"/>
      <c r="N277" s="468"/>
      <c r="O277" s="468"/>
    </row>
    <row r="278" spans="1:15" ht="23.25" customHeight="1" x14ac:dyDescent="0.2">
      <c r="A278" s="468"/>
      <c r="B278" s="469"/>
      <c r="C278" s="469"/>
      <c r="D278" s="469"/>
      <c r="E278" s="469"/>
      <c r="F278" s="469"/>
      <c r="G278" s="469"/>
      <c r="H278" s="468"/>
      <c r="I278" s="468"/>
      <c r="J278" s="468"/>
      <c r="K278" s="468"/>
      <c r="L278" s="468"/>
      <c r="M278" s="468"/>
      <c r="N278" s="468"/>
      <c r="O278" s="468"/>
    </row>
    <row r="279" spans="1:15" ht="23.25" customHeight="1" x14ac:dyDescent="0.2">
      <c r="A279" s="468"/>
      <c r="B279" s="469"/>
      <c r="C279" s="469"/>
      <c r="D279" s="469"/>
      <c r="E279" s="469"/>
      <c r="F279" s="469"/>
      <c r="G279" s="469"/>
      <c r="H279" s="468"/>
      <c r="I279" s="468"/>
      <c r="J279" s="468"/>
      <c r="K279" s="468"/>
      <c r="L279" s="468"/>
      <c r="M279" s="468"/>
      <c r="N279" s="468"/>
      <c r="O279" s="468"/>
    </row>
    <row r="280" spans="1:15" ht="23.25" customHeight="1" x14ac:dyDescent="0.2">
      <c r="A280" s="468"/>
      <c r="B280" s="469"/>
      <c r="C280" s="469"/>
      <c r="D280" s="469"/>
      <c r="E280" s="469"/>
      <c r="F280" s="469"/>
      <c r="G280" s="469"/>
      <c r="H280" s="468"/>
      <c r="I280" s="468"/>
      <c r="J280" s="468"/>
      <c r="K280" s="468"/>
      <c r="L280" s="468"/>
      <c r="M280" s="468"/>
      <c r="N280" s="468"/>
      <c r="O280" s="468"/>
    </row>
    <row r="281" spans="1:15" ht="23.25" customHeight="1" x14ac:dyDescent="0.2">
      <c r="A281" s="468"/>
      <c r="B281" s="469"/>
      <c r="C281" s="469"/>
      <c r="D281" s="469"/>
      <c r="E281" s="469"/>
      <c r="F281" s="469"/>
      <c r="G281" s="469"/>
      <c r="H281" s="468"/>
      <c r="I281" s="468"/>
      <c r="J281" s="468"/>
      <c r="K281" s="468"/>
      <c r="L281" s="468"/>
      <c r="M281" s="468"/>
      <c r="N281" s="468"/>
      <c r="O281" s="468"/>
    </row>
    <row r="282" spans="1:15" ht="23.25" customHeight="1" x14ac:dyDescent="0.2">
      <c r="A282" s="468"/>
      <c r="B282" s="469"/>
      <c r="C282" s="469"/>
      <c r="D282" s="469"/>
      <c r="E282" s="469"/>
      <c r="F282" s="469"/>
      <c r="G282" s="469"/>
      <c r="H282" s="468"/>
      <c r="I282" s="468"/>
      <c r="J282" s="468"/>
      <c r="K282" s="468"/>
      <c r="L282" s="468"/>
      <c r="M282" s="468"/>
      <c r="N282" s="468"/>
      <c r="O282" s="468"/>
    </row>
    <row r="283" spans="1:15" ht="23.25" customHeight="1" x14ac:dyDescent="0.2">
      <c r="A283" s="468"/>
      <c r="B283" s="469"/>
      <c r="C283" s="469"/>
      <c r="D283" s="469"/>
      <c r="E283" s="469"/>
      <c r="F283" s="469"/>
      <c r="G283" s="469"/>
      <c r="H283" s="468"/>
      <c r="I283" s="468"/>
      <c r="J283" s="468"/>
      <c r="K283" s="468"/>
      <c r="L283" s="468"/>
      <c r="M283" s="468"/>
      <c r="N283" s="468"/>
      <c r="O283" s="468"/>
    </row>
    <row r="284" spans="1:15" ht="23.25" customHeight="1" x14ac:dyDescent="0.2">
      <c r="A284" s="468"/>
      <c r="B284" s="469"/>
      <c r="C284" s="469"/>
      <c r="D284" s="469"/>
      <c r="E284" s="469"/>
      <c r="F284" s="469"/>
      <c r="G284" s="469"/>
      <c r="H284" s="468"/>
      <c r="I284" s="468"/>
      <c r="J284" s="468"/>
      <c r="K284" s="468"/>
      <c r="L284" s="468"/>
      <c r="M284" s="468"/>
      <c r="N284" s="468"/>
      <c r="O284" s="468"/>
    </row>
    <row r="285" spans="1:15" ht="23.25" customHeight="1" x14ac:dyDescent="0.2">
      <c r="A285" s="468"/>
      <c r="B285" s="469"/>
      <c r="C285" s="469"/>
      <c r="D285" s="469"/>
      <c r="E285" s="469"/>
      <c r="F285" s="469"/>
      <c r="G285" s="469"/>
      <c r="H285" s="468"/>
      <c r="I285" s="468"/>
      <c r="J285" s="468"/>
      <c r="K285" s="468"/>
      <c r="L285" s="468"/>
      <c r="M285" s="468"/>
      <c r="N285" s="468"/>
      <c r="O285" s="468"/>
    </row>
    <row r="286" spans="1:15" ht="23.25" customHeight="1" x14ac:dyDescent="0.2">
      <c r="A286" s="468"/>
      <c r="B286" s="469"/>
      <c r="C286" s="469"/>
      <c r="D286" s="469"/>
      <c r="E286" s="469"/>
      <c r="F286" s="469"/>
      <c r="G286" s="469"/>
      <c r="H286" s="468"/>
      <c r="I286" s="468"/>
      <c r="J286" s="468"/>
      <c r="K286" s="468"/>
      <c r="L286" s="468"/>
      <c r="M286" s="468"/>
      <c r="N286" s="468"/>
      <c r="O286" s="468"/>
    </row>
    <row r="287" spans="1:15" ht="23.25" customHeight="1" x14ac:dyDescent="0.2">
      <c r="A287" s="468"/>
      <c r="B287" s="469"/>
      <c r="C287" s="469"/>
      <c r="D287" s="469"/>
      <c r="E287" s="469"/>
      <c r="F287" s="469"/>
      <c r="G287" s="469"/>
      <c r="H287" s="468"/>
      <c r="I287" s="468"/>
      <c r="J287" s="468"/>
      <c r="K287" s="468"/>
      <c r="L287" s="468"/>
      <c r="M287" s="468"/>
      <c r="N287" s="468"/>
      <c r="O287" s="468"/>
    </row>
    <row r="288" spans="1:15" ht="23.25" customHeight="1" x14ac:dyDescent="0.2">
      <c r="A288" s="468"/>
      <c r="B288" s="469"/>
      <c r="C288" s="469"/>
      <c r="D288" s="469"/>
      <c r="E288" s="469"/>
      <c r="F288" s="469"/>
      <c r="G288" s="469"/>
      <c r="H288" s="468"/>
      <c r="I288" s="468"/>
      <c r="J288" s="468"/>
      <c r="K288" s="468"/>
      <c r="L288" s="468"/>
      <c r="M288" s="468"/>
      <c r="N288" s="468"/>
      <c r="O288" s="468"/>
    </row>
    <row r="289" spans="1:15" ht="23.25" customHeight="1" x14ac:dyDescent="0.2">
      <c r="A289" s="468"/>
      <c r="B289" s="469"/>
      <c r="C289" s="469"/>
      <c r="D289" s="469"/>
      <c r="E289" s="469"/>
      <c r="F289" s="469"/>
      <c r="G289" s="469"/>
      <c r="H289" s="468"/>
      <c r="I289" s="468"/>
      <c r="J289" s="468"/>
      <c r="K289" s="468"/>
      <c r="L289" s="468"/>
      <c r="M289" s="468"/>
      <c r="N289" s="468"/>
      <c r="O289" s="468"/>
    </row>
    <row r="290" spans="1:15" ht="23.25" customHeight="1" x14ac:dyDescent="0.2">
      <c r="A290" s="468"/>
      <c r="B290" s="469"/>
      <c r="C290" s="469"/>
      <c r="D290" s="469"/>
      <c r="E290" s="469"/>
      <c r="F290" s="469"/>
      <c r="G290" s="469"/>
      <c r="H290" s="468"/>
      <c r="I290" s="468"/>
      <c r="J290" s="468"/>
      <c r="K290" s="468"/>
      <c r="L290" s="468"/>
      <c r="M290" s="468"/>
      <c r="N290" s="468"/>
      <c r="O290" s="468"/>
    </row>
    <row r="291" spans="1:15" ht="23.25" customHeight="1" x14ac:dyDescent="0.2">
      <c r="A291" s="468"/>
      <c r="B291" s="469"/>
      <c r="C291" s="469"/>
      <c r="D291" s="469"/>
      <c r="E291" s="469"/>
      <c r="F291" s="469"/>
      <c r="G291" s="469"/>
      <c r="H291" s="468"/>
      <c r="I291" s="468"/>
      <c r="J291" s="468"/>
      <c r="K291" s="468"/>
      <c r="L291" s="468"/>
      <c r="M291" s="468"/>
      <c r="N291" s="468"/>
      <c r="O291" s="468"/>
    </row>
    <row r="292" spans="1:15" ht="23.25" customHeight="1" x14ac:dyDescent="0.2">
      <c r="A292" s="468"/>
      <c r="B292" s="469"/>
      <c r="C292" s="469"/>
      <c r="D292" s="469"/>
      <c r="E292" s="469"/>
      <c r="F292" s="469"/>
      <c r="G292" s="469"/>
      <c r="H292" s="468"/>
      <c r="I292" s="468"/>
      <c r="J292" s="468"/>
      <c r="K292" s="468"/>
      <c r="L292" s="468"/>
      <c r="M292" s="468"/>
      <c r="N292" s="468"/>
      <c r="O292" s="468"/>
    </row>
    <row r="293" spans="1:15" ht="23.25" customHeight="1" x14ac:dyDescent="0.2">
      <c r="A293" s="468"/>
      <c r="B293" s="469"/>
      <c r="C293" s="469"/>
      <c r="D293" s="469"/>
      <c r="E293" s="469"/>
      <c r="F293" s="469"/>
      <c r="G293" s="469"/>
      <c r="H293" s="468"/>
      <c r="I293" s="468"/>
      <c r="J293" s="468"/>
      <c r="K293" s="468"/>
      <c r="L293" s="468"/>
      <c r="M293" s="468"/>
      <c r="N293" s="468"/>
      <c r="O293" s="468"/>
    </row>
    <row r="294" spans="1:15" ht="23.25" customHeight="1" x14ac:dyDescent="0.2">
      <c r="A294" s="468"/>
      <c r="B294" s="469"/>
      <c r="C294" s="469"/>
      <c r="D294" s="469"/>
      <c r="E294" s="469"/>
      <c r="F294" s="469"/>
      <c r="G294" s="469"/>
      <c r="H294" s="468"/>
      <c r="I294" s="468"/>
      <c r="J294" s="468"/>
      <c r="K294" s="468"/>
      <c r="L294" s="468"/>
      <c r="M294" s="468"/>
      <c r="N294" s="468"/>
      <c r="O294" s="468"/>
    </row>
    <row r="295" spans="1:15" ht="23.25" customHeight="1" x14ac:dyDescent="0.2">
      <c r="A295" s="468"/>
      <c r="B295" s="469"/>
      <c r="C295" s="469"/>
      <c r="D295" s="469"/>
      <c r="E295" s="469"/>
      <c r="F295" s="469"/>
      <c r="G295" s="469"/>
      <c r="H295" s="468"/>
      <c r="I295" s="468"/>
      <c r="J295" s="468"/>
      <c r="K295" s="468"/>
      <c r="L295" s="468"/>
      <c r="M295" s="468"/>
      <c r="N295" s="468"/>
      <c r="O295" s="468"/>
    </row>
    <row r="296" spans="1:15" ht="23.25" customHeight="1" x14ac:dyDescent="0.2">
      <c r="A296" s="468"/>
      <c r="B296" s="469"/>
      <c r="C296" s="469"/>
      <c r="D296" s="469"/>
      <c r="E296" s="469"/>
      <c r="F296" s="469"/>
      <c r="G296" s="469"/>
      <c r="H296" s="468"/>
      <c r="I296" s="468"/>
      <c r="J296" s="468"/>
      <c r="K296" s="468"/>
      <c r="L296" s="468"/>
      <c r="M296" s="468"/>
      <c r="N296" s="468"/>
      <c r="O296" s="468"/>
    </row>
    <row r="297" spans="1:15" ht="23.25" customHeight="1" x14ac:dyDescent="0.2">
      <c r="A297" s="468"/>
      <c r="B297" s="469"/>
      <c r="C297" s="469"/>
      <c r="D297" s="469"/>
      <c r="E297" s="469"/>
      <c r="F297" s="469"/>
      <c r="G297" s="469"/>
      <c r="H297" s="468"/>
      <c r="I297" s="468"/>
      <c r="J297" s="468"/>
      <c r="K297" s="468"/>
      <c r="L297" s="468"/>
      <c r="M297" s="468"/>
      <c r="N297" s="468"/>
      <c r="O297" s="468"/>
    </row>
    <row r="298" spans="1:15" ht="23.25" customHeight="1" x14ac:dyDescent="0.2">
      <c r="A298" s="468"/>
      <c r="B298" s="469"/>
      <c r="C298" s="469"/>
      <c r="D298" s="469"/>
      <c r="E298" s="469"/>
      <c r="F298" s="469"/>
      <c r="G298" s="469"/>
      <c r="H298" s="468"/>
      <c r="I298" s="468"/>
      <c r="J298" s="468"/>
      <c r="K298" s="468"/>
      <c r="L298" s="468"/>
      <c r="M298" s="468"/>
      <c r="N298" s="468"/>
      <c r="O298" s="468"/>
    </row>
    <row r="299" spans="1:15" ht="23.25" customHeight="1" x14ac:dyDescent="0.2">
      <c r="A299" s="468"/>
      <c r="B299" s="469"/>
      <c r="C299" s="469"/>
      <c r="D299" s="469"/>
      <c r="E299" s="469"/>
      <c r="F299" s="469"/>
      <c r="G299" s="469"/>
      <c r="H299" s="468"/>
      <c r="I299" s="468"/>
      <c r="J299" s="468"/>
      <c r="K299" s="468"/>
      <c r="L299" s="468"/>
      <c r="M299" s="468"/>
      <c r="N299" s="468"/>
      <c r="O299" s="468"/>
    </row>
    <row r="300" spans="1:15" ht="23.25" customHeight="1" x14ac:dyDescent="0.2">
      <c r="A300" s="468"/>
      <c r="B300" s="469"/>
      <c r="C300" s="469"/>
      <c r="D300" s="469"/>
      <c r="E300" s="469"/>
      <c r="F300" s="469"/>
      <c r="G300" s="469"/>
      <c r="H300" s="468"/>
      <c r="I300" s="468"/>
      <c r="J300" s="468"/>
      <c r="K300" s="468"/>
      <c r="L300" s="468"/>
      <c r="M300" s="468"/>
      <c r="N300" s="468"/>
      <c r="O300" s="468"/>
    </row>
    <row r="301" spans="1:15" ht="23.25" customHeight="1" x14ac:dyDescent="0.2">
      <c r="A301" s="468"/>
      <c r="B301" s="469"/>
      <c r="C301" s="469"/>
      <c r="D301" s="469"/>
      <c r="E301" s="469"/>
      <c r="F301" s="469"/>
      <c r="G301" s="469"/>
      <c r="H301" s="468"/>
      <c r="I301" s="468"/>
      <c r="J301" s="468"/>
      <c r="K301" s="468"/>
      <c r="L301" s="468"/>
      <c r="M301" s="468"/>
      <c r="N301" s="468"/>
      <c r="O301" s="468"/>
    </row>
    <row r="302" spans="1:15" ht="23.25" customHeight="1" x14ac:dyDescent="0.2">
      <c r="A302" s="468"/>
      <c r="B302" s="469"/>
      <c r="C302" s="469"/>
      <c r="D302" s="469"/>
      <c r="E302" s="469"/>
      <c r="F302" s="469"/>
      <c r="G302" s="469"/>
      <c r="H302" s="468"/>
      <c r="I302" s="468"/>
      <c r="J302" s="468"/>
      <c r="K302" s="468"/>
      <c r="L302" s="468"/>
      <c r="M302" s="468"/>
      <c r="N302" s="468"/>
      <c r="O302" s="468"/>
    </row>
    <row r="303" spans="1:15" ht="23.25" customHeight="1" x14ac:dyDescent="0.2">
      <c r="A303" s="468"/>
      <c r="B303" s="469"/>
      <c r="C303" s="469"/>
      <c r="D303" s="469"/>
      <c r="E303" s="469"/>
      <c r="F303" s="469"/>
      <c r="G303" s="469"/>
      <c r="H303" s="468"/>
      <c r="I303" s="468"/>
      <c r="J303" s="468"/>
      <c r="K303" s="468"/>
      <c r="L303" s="468"/>
      <c r="M303" s="468"/>
      <c r="N303" s="468"/>
      <c r="O303" s="468"/>
    </row>
    <row r="304" spans="1:15" ht="23.25" customHeight="1" x14ac:dyDescent="0.2">
      <c r="A304" s="468"/>
      <c r="B304" s="469"/>
      <c r="C304" s="469"/>
      <c r="D304" s="469"/>
      <c r="E304" s="469"/>
      <c r="F304" s="469"/>
      <c r="G304" s="469"/>
      <c r="H304" s="468"/>
      <c r="I304" s="468"/>
      <c r="J304" s="468"/>
      <c r="K304" s="468"/>
      <c r="L304" s="468"/>
      <c r="M304" s="468"/>
      <c r="N304" s="468"/>
      <c r="O304" s="468"/>
    </row>
    <row r="305" spans="1:15" ht="23.25" customHeight="1" x14ac:dyDescent="0.2">
      <c r="A305" s="468"/>
      <c r="B305" s="469"/>
      <c r="C305" s="469"/>
      <c r="D305" s="469"/>
      <c r="E305" s="469"/>
      <c r="F305" s="469"/>
      <c r="G305" s="469"/>
      <c r="H305" s="468"/>
      <c r="I305" s="468"/>
      <c r="J305" s="468"/>
      <c r="K305" s="468"/>
      <c r="L305" s="468"/>
      <c r="M305" s="468"/>
      <c r="N305" s="468"/>
      <c r="O305" s="468"/>
    </row>
    <row r="306" spans="1:15" ht="23.25" customHeight="1" x14ac:dyDescent="0.2">
      <c r="A306" s="468"/>
      <c r="B306" s="469"/>
      <c r="C306" s="469"/>
      <c r="D306" s="469"/>
      <c r="E306" s="469"/>
      <c r="F306" s="469"/>
      <c r="G306" s="469"/>
      <c r="H306" s="468"/>
      <c r="I306" s="468"/>
      <c r="J306" s="468"/>
      <c r="K306" s="468"/>
      <c r="L306" s="468"/>
      <c r="M306" s="468"/>
      <c r="N306" s="468"/>
      <c r="O306" s="468"/>
    </row>
    <row r="307" spans="1:15" ht="23.25" customHeight="1" x14ac:dyDescent="0.2">
      <c r="A307" s="468"/>
      <c r="B307" s="469"/>
      <c r="C307" s="469"/>
      <c r="D307" s="469"/>
      <c r="E307" s="469"/>
      <c r="F307" s="469"/>
      <c r="G307" s="469"/>
      <c r="H307" s="468"/>
      <c r="I307" s="468"/>
      <c r="J307" s="468"/>
      <c r="K307" s="468"/>
      <c r="L307" s="468"/>
      <c r="M307" s="468"/>
      <c r="N307" s="468"/>
      <c r="O307" s="468"/>
    </row>
    <row r="308" spans="1:15" ht="23.25" customHeight="1" x14ac:dyDescent="0.2">
      <c r="A308" s="468"/>
      <c r="B308" s="469"/>
      <c r="C308" s="469"/>
      <c r="D308" s="469"/>
      <c r="E308" s="469"/>
      <c r="F308" s="469"/>
      <c r="G308" s="469"/>
      <c r="H308" s="468"/>
      <c r="I308" s="468"/>
      <c r="J308" s="468"/>
      <c r="K308" s="468"/>
      <c r="L308" s="468"/>
      <c r="M308" s="468"/>
      <c r="N308" s="468"/>
      <c r="O308" s="468"/>
    </row>
    <row r="309" spans="1:15" ht="23.25" customHeight="1" x14ac:dyDescent="0.2">
      <c r="A309" s="468"/>
      <c r="B309" s="469"/>
      <c r="C309" s="469"/>
      <c r="D309" s="469"/>
      <c r="E309" s="469"/>
      <c r="F309" s="469"/>
      <c r="G309" s="469"/>
      <c r="H309" s="468"/>
      <c r="I309" s="468"/>
      <c r="J309" s="468"/>
      <c r="K309" s="468"/>
      <c r="L309" s="468"/>
      <c r="M309" s="468"/>
      <c r="N309" s="468"/>
      <c r="O309" s="468"/>
    </row>
    <row r="310" spans="1:15" ht="23.25" customHeight="1" x14ac:dyDescent="0.2">
      <c r="A310" s="468"/>
      <c r="B310" s="469"/>
      <c r="C310" s="469"/>
      <c r="D310" s="469"/>
      <c r="E310" s="469"/>
      <c r="F310" s="469"/>
      <c r="G310" s="469"/>
      <c r="H310" s="468"/>
      <c r="I310" s="468"/>
      <c r="J310" s="468"/>
      <c r="K310" s="468"/>
      <c r="L310" s="468"/>
      <c r="M310" s="468"/>
      <c r="N310" s="468"/>
      <c r="O310" s="468"/>
    </row>
    <row r="311" spans="1:15" ht="23.25" customHeight="1" x14ac:dyDescent="0.2">
      <c r="A311" s="468"/>
      <c r="B311" s="469"/>
      <c r="C311" s="469"/>
      <c r="D311" s="469"/>
      <c r="E311" s="469"/>
      <c r="F311" s="469"/>
      <c r="G311" s="469"/>
      <c r="H311" s="468"/>
      <c r="I311" s="468"/>
      <c r="J311" s="468"/>
      <c r="K311" s="468"/>
      <c r="L311" s="468"/>
      <c r="M311" s="468"/>
      <c r="N311" s="468"/>
      <c r="O311" s="468"/>
    </row>
    <row r="312" spans="1:15" ht="23.25" customHeight="1" x14ac:dyDescent="0.2">
      <c r="A312" s="468"/>
      <c r="B312" s="469"/>
      <c r="C312" s="469"/>
      <c r="D312" s="469"/>
      <c r="E312" s="469"/>
      <c r="F312" s="469"/>
      <c r="G312" s="469"/>
      <c r="H312" s="468"/>
      <c r="I312" s="468"/>
      <c r="J312" s="468"/>
      <c r="K312" s="468"/>
      <c r="L312" s="468"/>
      <c r="M312" s="468"/>
      <c r="N312" s="468"/>
      <c r="O312" s="468"/>
    </row>
    <row r="313" spans="1:15" ht="23.25" customHeight="1" x14ac:dyDescent="0.2">
      <c r="A313" s="468"/>
      <c r="B313" s="469"/>
      <c r="C313" s="469"/>
      <c r="D313" s="469"/>
      <c r="E313" s="469"/>
      <c r="F313" s="469"/>
      <c r="G313" s="469"/>
      <c r="H313" s="468"/>
      <c r="I313" s="468"/>
      <c r="J313" s="468"/>
      <c r="K313" s="468"/>
      <c r="L313" s="468"/>
      <c r="M313" s="468"/>
      <c r="N313" s="468"/>
      <c r="O313" s="468"/>
    </row>
    <row r="314" spans="1:15" ht="23.25" customHeight="1" x14ac:dyDescent="0.2">
      <c r="A314" s="468"/>
      <c r="B314" s="469"/>
      <c r="C314" s="469"/>
      <c r="D314" s="469"/>
      <c r="E314" s="469"/>
      <c r="F314" s="469"/>
      <c r="G314" s="469"/>
      <c r="H314" s="468"/>
      <c r="I314" s="468"/>
      <c r="J314" s="468"/>
      <c r="K314" s="468"/>
      <c r="L314" s="468"/>
      <c r="M314" s="468"/>
      <c r="N314" s="468"/>
      <c r="O314" s="468"/>
    </row>
    <row r="315" spans="1:15" ht="23.25" customHeight="1" x14ac:dyDescent="0.2">
      <c r="A315" s="468"/>
      <c r="B315" s="469"/>
      <c r="C315" s="469"/>
      <c r="D315" s="469"/>
      <c r="E315" s="469"/>
      <c r="F315" s="469"/>
      <c r="G315" s="469"/>
      <c r="H315" s="468"/>
      <c r="I315" s="468"/>
      <c r="J315" s="468"/>
      <c r="K315" s="468"/>
      <c r="L315" s="468"/>
      <c r="M315" s="468"/>
      <c r="N315" s="468"/>
      <c r="O315" s="468"/>
    </row>
    <row r="316" spans="1:15" ht="23.25" customHeight="1" x14ac:dyDescent="0.2">
      <c r="A316" s="468"/>
      <c r="B316" s="469"/>
      <c r="C316" s="469"/>
      <c r="D316" s="469"/>
      <c r="E316" s="469"/>
      <c r="F316" s="469"/>
      <c r="G316" s="469"/>
      <c r="H316" s="468"/>
      <c r="I316" s="468"/>
      <c r="J316" s="468"/>
      <c r="K316" s="468"/>
      <c r="L316" s="468"/>
      <c r="M316" s="468"/>
      <c r="N316" s="468"/>
      <c r="O316" s="468"/>
    </row>
    <row r="317" spans="1:15" ht="23.25" customHeight="1" x14ac:dyDescent="0.2">
      <c r="A317" s="468"/>
      <c r="B317" s="469"/>
      <c r="C317" s="469"/>
      <c r="D317" s="469"/>
      <c r="E317" s="469"/>
      <c r="F317" s="469"/>
      <c r="G317" s="469"/>
      <c r="H317" s="468"/>
      <c r="I317" s="468"/>
      <c r="J317" s="468"/>
      <c r="K317" s="468"/>
      <c r="L317" s="468"/>
      <c r="M317" s="468"/>
      <c r="N317" s="468"/>
      <c r="O317" s="468"/>
    </row>
    <row r="318" spans="1:15" ht="23.25" customHeight="1" x14ac:dyDescent="0.2">
      <c r="A318" s="468"/>
      <c r="B318" s="469"/>
      <c r="C318" s="469"/>
      <c r="D318" s="469"/>
      <c r="E318" s="469"/>
      <c r="F318" s="469"/>
      <c r="G318" s="469"/>
      <c r="H318" s="468"/>
      <c r="I318" s="468"/>
      <c r="J318" s="468"/>
      <c r="K318" s="468"/>
      <c r="L318" s="468"/>
      <c r="M318" s="468"/>
      <c r="N318" s="468"/>
      <c r="O318" s="468"/>
    </row>
    <row r="319" spans="1:15" ht="23.25" customHeight="1" x14ac:dyDescent="0.2">
      <c r="A319" s="468"/>
      <c r="B319" s="469"/>
      <c r="C319" s="469"/>
      <c r="D319" s="469"/>
      <c r="E319" s="469"/>
      <c r="F319" s="469"/>
      <c r="G319" s="469"/>
      <c r="H319" s="468"/>
      <c r="I319" s="468"/>
      <c r="J319" s="468"/>
      <c r="K319" s="468"/>
      <c r="L319" s="468"/>
      <c r="M319" s="468"/>
      <c r="N319" s="468"/>
      <c r="O319" s="468"/>
    </row>
    <row r="320" spans="1:15" ht="23.25" customHeight="1" x14ac:dyDescent="0.2">
      <c r="A320" s="468"/>
      <c r="B320" s="469"/>
      <c r="C320" s="469"/>
      <c r="D320" s="469"/>
      <c r="E320" s="469"/>
      <c r="F320" s="469"/>
      <c r="G320" s="469"/>
      <c r="H320" s="468"/>
      <c r="I320" s="468"/>
      <c r="J320" s="468"/>
      <c r="K320" s="468"/>
      <c r="L320" s="468"/>
      <c r="M320" s="468"/>
      <c r="N320" s="468"/>
      <c r="O320" s="468"/>
    </row>
    <row r="321" spans="1:15" ht="23.25" customHeight="1" x14ac:dyDescent="0.2">
      <c r="A321" s="468"/>
      <c r="B321" s="469"/>
      <c r="C321" s="469"/>
      <c r="D321" s="469"/>
      <c r="E321" s="469"/>
      <c r="F321" s="469"/>
      <c r="G321" s="469"/>
      <c r="H321" s="468"/>
      <c r="I321" s="468"/>
      <c r="J321" s="468"/>
      <c r="K321" s="468"/>
      <c r="L321" s="468"/>
      <c r="M321" s="468"/>
      <c r="N321" s="468"/>
      <c r="O321" s="468"/>
    </row>
    <row r="322" spans="1:15" ht="23.25" customHeight="1" x14ac:dyDescent="0.2">
      <c r="A322" s="468"/>
      <c r="B322" s="469"/>
      <c r="C322" s="469"/>
      <c r="D322" s="469"/>
      <c r="E322" s="469"/>
      <c r="F322" s="469"/>
      <c r="G322" s="469"/>
      <c r="H322" s="468"/>
      <c r="I322" s="468"/>
      <c r="J322" s="468"/>
      <c r="K322" s="468"/>
      <c r="L322" s="468"/>
      <c r="M322" s="468"/>
      <c r="N322" s="468"/>
      <c r="O322" s="468"/>
    </row>
    <row r="323" spans="1:15" ht="23.25" customHeight="1" x14ac:dyDescent="0.2">
      <c r="A323" s="468"/>
      <c r="B323" s="469"/>
      <c r="C323" s="469"/>
      <c r="D323" s="469"/>
      <c r="E323" s="469"/>
      <c r="F323" s="469"/>
      <c r="G323" s="469"/>
      <c r="H323" s="468"/>
      <c r="I323" s="468"/>
      <c r="J323" s="468"/>
      <c r="K323" s="468"/>
      <c r="L323" s="468"/>
      <c r="M323" s="468"/>
      <c r="N323" s="468"/>
      <c r="O323" s="468"/>
    </row>
    <row r="324" spans="1:15" ht="23.25" customHeight="1" x14ac:dyDescent="0.2">
      <c r="A324" s="468"/>
      <c r="B324" s="469"/>
      <c r="C324" s="469"/>
      <c r="D324" s="469"/>
      <c r="E324" s="469"/>
      <c r="F324" s="469"/>
      <c r="G324" s="469"/>
      <c r="H324" s="468"/>
      <c r="I324" s="468"/>
      <c r="J324" s="468"/>
      <c r="K324" s="468"/>
      <c r="L324" s="468"/>
      <c r="M324" s="468"/>
      <c r="N324" s="468"/>
      <c r="O324" s="468"/>
    </row>
    <row r="325" spans="1:15" ht="23.25" customHeight="1" x14ac:dyDescent="0.2">
      <c r="A325" s="468"/>
      <c r="B325" s="469"/>
      <c r="C325" s="469"/>
      <c r="D325" s="469"/>
      <c r="E325" s="469"/>
      <c r="F325" s="469"/>
      <c r="G325" s="469"/>
      <c r="H325" s="468"/>
      <c r="I325" s="468"/>
      <c r="J325" s="468"/>
      <c r="K325" s="468"/>
      <c r="L325" s="468"/>
      <c r="M325" s="468"/>
      <c r="N325" s="468"/>
      <c r="O325" s="468"/>
    </row>
    <row r="326" spans="1:15" ht="23.25" customHeight="1" x14ac:dyDescent="0.2">
      <c r="A326" s="468"/>
      <c r="B326" s="469"/>
      <c r="C326" s="469"/>
      <c r="D326" s="469"/>
      <c r="E326" s="469"/>
      <c r="F326" s="469"/>
      <c r="G326" s="469"/>
      <c r="H326" s="468"/>
      <c r="I326" s="468"/>
      <c r="J326" s="468"/>
      <c r="K326" s="468"/>
      <c r="L326" s="468"/>
      <c r="M326" s="468"/>
      <c r="N326" s="468"/>
      <c r="O326" s="468"/>
    </row>
    <row r="327" spans="1:15" ht="23.25" customHeight="1" x14ac:dyDescent="0.2">
      <c r="A327" s="468"/>
      <c r="B327" s="469"/>
      <c r="C327" s="469"/>
      <c r="D327" s="469"/>
      <c r="E327" s="469"/>
      <c r="F327" s="469"/>
      <c r="G327" s="469"/>
      <c r="H327" s="468"/>
      <c r="I327" s="468"/>
      <c r="J327" s="468"/>
      <c r="K327" s="468"/>
      <c r="L327" s="468"/>
      <c r="M327" s="468"/>
      <c r="N327" s="468"/>
      <c r="O327" s="468"/>
    </row>
    <row r="328" spans="1:15" ht="23.25" customHeight="1" x14ac:dyDescent="0.2">
      <c r="A328" s="468"/>
      <c r="B328" s="469"/>
      <c r="C328" s="469"/>
      <c r="D328" s="469"/>
      <c r="E328" s="469"/>
      <c r="F328" s="469"/>
      <c r="G328" s="469"/>
      <c r="H328" s="468"/>
      <c r="I328" s="468"/>
      <c r="J328" s="468"/>
      <c r="K328" s="468"/>
      <c r="L328" s="468"/>
      <c r="M328" s="468"/>
      <c r="N328" s="468"/>
      <c r="O328" s="468"/>
    </row>
    <row r="329" spans="1:15" ht="23.25" customHeight="1" x14ac:dyDescent="0.2">
      <c r="A329" s="468"/>
      <c r="B329" s="469"/>
      <c r="C329" s="469"/>
      <c r="D329" s="469"/>
      <c r="E329" s="469"/>
      <c r="F329" s="469"/>
      <c r="G329" s="469"/>
      <c r="H329" s="468"/>
      <c r="I329" s="468"/>
      <c r="J329" s="468"/>
      <c r="K329" s="468"/>
      <c r="L329" s="468"/>
      <c r="M329" s="468"/>
      <c r="N329" s="468"/>
      <c r="O329" s="468"/>
    </row>
    <row r="330" spans="1:15" ht="23.25" customHeight="1" x14ac:dyDescent="0.2">
      <c r="A330" s="468"/>
      <c r="B330" s="469"/>
      <c r="C330" s="469"/>
      <c r="D330" s="469"/>
      <c r="E330" s="469"/>
      <c r="F330" s="469"/>
      <c r="G330" s="469"/>
      <c r="H330" s="468"/>
      <c r="I330" s="468"/>
      <c r="J330" s="468"/>
      <c r="K330" s="468"/>
      <c r="L330" s="468"/>
      <c r="M330" s="468"/>
      <c r="N330" s="468"/>
      <c r="O330" s="468"/>
    </row>
    <row r="331" spans="1:15" ht="23.25" customHeight="1" x14ac:dyDescent="0.2">
      <c r="A331" s="468"/>
      <c r="B331" s="469"/>
      <c r="C331" s="469"/>
      <c r="D331" s="469"/>
      <c r="E331" s="469"/>
      <c r="F331" s="469"/>
      <c r="G331" s="469"/>
      <c r="H331" s="468"/>
      <c r="I331" s="468"/>
      <c r="J331" s="468"/>
      <c r="K331" s="468"/>
      <c r="L331" s="468"/>
      <c r="M331" s="468"/>
      <c r="N331" s="468"/>
      <c r="O331" s="468"/>
    </row>
    <row r="332" spans="1:15" ht="23.25" customHeight="1" x14ac:dyDescent="0.2">
      <c r="A332" s="468"/>
      <c r="B332" s="469"/>
      <c r="C332" s="469"/>
      <c r="D332" s="469"/>
      <c r="E332" s="469"/>
      <c r="F332" s="469"/>
      <c r="G332" s="469"/>
      <c r="H332" s="468"/>
      <c r="I332" s="468"/>
      <c r="J332" s="468"/>
      <c r="K332" s="468"/>
      <c r="L332" s="468"/>
      <c r="M332" s="468"/>
      <c r="N332" s="468"/>
      <c r="O332" s="468"/>
    </row>
    <row r="333" spans="1:15" ht="23.25" customHeight="1" x14ac:dyDescent="0.2">
      <c r="A333" s="468"/>
      <c r="B333" s="469"/>
      <c r="C333" s="469"/>
      <c r="D333" s="469"/>
      <c r="E333" s="469"/>
      <c r="F333" s="469"/>
      <c r="G333" s="469"/>
      <c r="H333" s="468"/>
      <c r="I333" s="468"/>
      <c r="J333" s="468"/>
      <c r="K333" s="468"/>
      <c r="L333" s="468"/>
      <c r="M333" s="468"/>
      <c r="N333" s="468"/>
      <c r="O333" s="468"/>
    </row>
    <row r="334" spans="1:15" ht="23.25" customHeight="1" x14ac:dyDescent="0.2">
      <c r="A334" s="468"/>
      <c r="B334" s="469"/>
      <c r="C334" s="469"/>
      <c r="D334" s="469"/>
      <c r="E334" s="469"/>
      <c r="F334" s="469"/>
      <c r="G334" s="469"/>
      <c r="H334" s="468"/>
      <c r="I334" s="468"/>
      <c r="J334" s="468"/>
      <c r="K334" s="468"/>
      <c r="L334" s="468"/>
      <c r="M334" s="468"/>
      <c r="N334" s="468"/>
      <c r="O334" s="468"/>
    </row>
    <row r="335" spans="1:15" ht="23.25" customHeight="1" x14ac:dyDescent="0.2">
      <c r="A335" s="468"/>
      <c r="B335" s="469"/>
      <c r="C335" s="469"/>
      <c r="D335" s="469"/>
      <c r="E335" s="469"/>
      <c r="F335" s="469"/>
      <c r="G335" s="469"/>
      <c r="H335" s="468"/>
      <c r="I335" s="468"/>
      <c r="J335" s="468"/>
      <c r="K335" s="468"/>
      <c r="L335" s="468"/>
      <c r="M335" s="468"/>
      <c r="N335" s="468"/>
      <c r="O335" s="468"/>
    </row>
    <row r="336" spans="1:15" ht="23.25" customHeight="1" x14ac:dyDescent="0.2">
      <c r="A336" s="468"/>
      <c r="B336" s="469"/>
      <c r="C336" s="469"/>
      <c r="D336" s="469"/>
      <c r="E336" s="469"/>
      <c r="F336" s="469"/>
      <c r="G336" s="469"/>
      <c r="H336" s="468"/>
      <c r="I336" s="468"/>
      <c r="J336" s="468"/>
      <c r="K336" s="468"/>
      <c r="L336" s="468"/>
      <c r="M336" s="468"/>
      <c r="N336" s="468"/>
      <c r="O336" s="468"/>
    </row>
    <row r="337" spans="1:15" ht="23.25" customHeight="1" x14ac:dyDescent="0.2">
      <c r="A337" s="468"/>
      <c r="B337" s="469"/>
      <c r="C337" s="469"/>
      <c r="D337" s="469"/>
      <c r="E337" s="469"/>
      <c r="F337" s="469"/>
      <c r="G337" s="469"/>
      <c r="H337" s="468"/>
      <c r="I337" s="468"/>
      <c r="J337" s="468"/>
      <c r="K337" s="468"/>
      <c r="L337" s="468"/>
      <c r="M337" s="468"/>
      <c r="N337" s="468"/>
      <c r="O337" s="468"/>
    </row>
    <row r="338" spans="1:15" ht="23.25" customHeight="1" x14ac:dyDescent="0.2">
      <c r="A338" s="468"/>
      <c r="B338" s="469"/>
      <c r="C338" s="469"/>
      <c r="D338" s="469"/>
      <c r="E338" s="469"/>
      <c r="F338" s="469"/>
      <c r="G338" s="469"/>
      <c r="H338" s="468"/>
      <c r="I338" s="468"/>
      <c r="J338" s="468"/>
      <c r="K338" s="468"/>
      <c r="L338" s="468"/>
      <c r="M338" s="468"/>
      <c r="N338" s="468"/>
      <c r="O338" s="468"/>
    </row>
    <row r="339" spans="1:15" ht="23.25" customHeight="1" x14ac:dyDescent="0.2">
      <c r="A339" s="468"/>
      <c r="B339" s="469"/>
      <c r="C339" s="469"/>
      <c r="D339" s="469"/>
      <c r="E339" s="469"/>
      <c r="F339" s="469"/>
      <c r="G339" s="469"/>
      <c r="H339" s="468"/>
      <c r="I339" s="468"/>
      <c r="J339" s="468"/>
      <c r="K339" s="468"/>
      <c r="L339" s="468"/>
      <c r="M339" s="468"/>
      <c r="N339" s="468"/>
      <c r="O339" s="468"/>
    </row>
    <row r="340" spans="1:15" ht="23.25" customHeight="1" x14ac:dyDescent="0.2">
      <c r="A340" s="468"/>
      <c r="B340" s="469"/>
      <c r="C340" s="469"/>
      <c r="D340" s="469"/>
      <c r="E340" s="469"/>
      <c r="F340" s="469"/>
      <c r="G340" s="469"/>
      <c r="H340" s="468"/>
      <c r="I340" s="468"/>
      <c r="J340" s="468"/>
      <c r="K340" s="468"/>
      <c r="L340" s="468"/>
      <c r="M340" s="468"/>
      <c r="N340" s="468"/>
      <c r="O340" s="468"/>
    </row>
    <row r="341" spans="1:15" ht="23.25" customHeight="1" x14ac:dyDescent="0.2">
      <c r="A341" s="468"/>
      <c r="B341" s="469"/>
      <c r="C341" s="469"/>
      <c r="D341" s="469"/>
      <c r="E341" s="469"/>
      <c r="F341" s="469"/>
      <c r="G341" s="469"/>
      <c r="H341" s="468"/>
      <c r="I341" s="468"/>
      <c r="J341" s="468"/>
      <c r="K341" s="468"/>
      <c r="L341" s="468"/>
      <c r="M341" s="468"/>
      <c r="N341" s="468"/>
      <c r="O341" s="468"/>
    </row>
    <row r="342" spans="1:15" ht="23.25" customHeight="1" x14ac:dyDescent="0.2">
      <c r="A342" s="468"/>
      <c r="B342" s="469"/>
      <c r="C342" s="469"/>
      <c r="D342" s="469"/>
      <c r="E342" s="469"/>
      <c r="F342" s="469"/>
      <c r="G342" s="469"/>
      <c r="H342" s="468"/>
      <c r="I342" s="468"/>
      <c r="J342" s="468"/>
      <c r="K342" s="468"/>
      <c r="L342" s="468"/>
      <c r="M342" s="468"/>
      <c r="N342" s="468"/>
      <c r="O342" s="468"/>
    </row>
    <row r="343" spans="1:15" ht="23.25" customHeight="1" x14ac:dyDescent="0.2">
      <c r="A343" s="468"/>
      <c r="B343" s="469"/>
      <c r="C343" s="469"/>
      <c r="D343" s="469"/>
      <c r="E343" s="469"/>
      <c r="F343" s="469"/>
      <c r="G343" s="469"/>
      <c r="H343" s="468"/>
      <c r="I343" s="468"/>
      <c r="J343" s="468"/>
      <c r="K343" s="468"/>
      <c r="L343" s="468"/>
      <c r="M343" s="468"/>
      <c r="N343" s="468"/>
      <c r="O343" s="468"/>
    </row>
    <row r="344" spans="1:15" ht="23.25" customHeight="1" x14ac:dyDescent="0.2">
      <c r="A344" s="468"/>
      <c r="B344" s="469"/>
      <c r="C344" s="469"/>
      <c r="D344" s="469"/>
      <c r="E344" s="469"/>
      <c r="F344" s="469"/>
      <c r="G344" s="469"/>
      <c r="H344" s="468"/>
      <c r="I344" s="468"/>
      <c r="J344" s="468"/>
      <c r="K344" s="468"/>
      <c r="L344" s="468"/>
      <c r="M344" s="468"/>
      <c r="N344" s="468"/>
      <c r="O344" s="468"/>
    </row>
    <row r="345" spans="1:15" ht="23.25" customHeight="1" x14ac:dyDescent="0.2">
      <c r="A345" s="468"/>
      <c r="B345" s="469"/>
      <c r="C345" s="469"/>
      <c r="D345" s="469"/>
      <c r="E345" s="469"/>
      <c r="F345" s="469"/>
      <c r="G345" s="469"/>
      <c r="H345" s="468"/>
      <c r="I345" s="468"/>
      <c r="J345" s="468"/>
      <c r="K345" s="468"/>
      <c r="L345" s="468"/>
      <c r="M345" s="468"/>
      <c r="N345" s="468"/>
      <c r="O345" s="468"/>
    </row>
    <row r="346" spans="1:15" ht="23.25" customHeight="1" x14ac:dyDescent="0.2">
      <c r="A346" s="468"/>
      <c r="B346" s="469"/>
      <c r="C346" s="469"/>
      <c r="D346" s="469"/>
      <c r="E346" s="469"/>
      <c r="F346" s="469"/>
      <c r="G346" s="469"/>
      <c r="H346" s="468"/>
      <c r="I346" s="468"/>
      <c r="J346" s="468"/>
      <c r="K346" s="468"/>
      <c r="L346" s="468"/>
      <c r="M346" s="468"/>
      <c r="N346" s="468"/>
      <c r="O346" s="468"/>
    </row>
    <row r="347" spans="1:15" ht="23.25" customHeight="1" x14ac:dyDescent="0.2">
      <c r="A347" s="468"/>
      <c r="B347" s="469"/>
      <c r="C347" s="469"/>
      <c r="D347" s="469"/>
      <c r="E347" s="469"/>
      <c r="F347" s="469"/>
      <c r="G347" s="469"/>
      <c r="H347" s="468"/>
      <c r="I347" s="468"/>
      <c r="J347" s="468"/>
      <c r="K347" s="468"/>
      <c r="L347" s="468"/>
      <c r="M347" s="468"/>
      <c r="N347" s="468"/>
      <c r="O347" s="468"/>
    </row>
    <row r="348" spans="1:15" ht="23.25" customHeight="1" x14ac:dyDescent="0.2">
      <c r="A348" s="468"/>
      <c r="B348" s="469"/>
      <c r="C348" s="469"/>
      <c r="D348" s="469"/>
      <c r="E348" s="469"/>
      <c r="F348" s="469"/>
      <c r="G348" s="469"/>
      <c r="H348" s="468"/>
      <c r="I348" s="468"/>
      <c r="J348" s="468"/>
      <c r="K348" s="468"/>
      <c r="L348" s="468"/>
      <c r="M348" s="468"/>
      <c r="N348" s="468"/>
      <c r="O348" s="468"/>
    </row>
    <row r="349" spans="1:15" ht="23.25" customHeight="1" x14ac:dyDescent="0.2">
      <c r="A349" s="468"/>
      <c r="B349" s="469"/>
      <c r="C349" s="469"/>
      <c r="D349" s="469"/>
      <c r="E349" s="469"/>
      <c r="F349" s="469"/>
      <c r="G349" s="469"/>
      <c r="H349" s="468"/>
      <c r="I349" s="468"/>
      <c r="J349" s="468"/>
      <c r="K349" s="468"/>
      <c r="L349" s="468"/>
      <c r="M349" s="468"/>
      <c r="N349" s="468"/>
      <c r="O349" s="468"/>
    </row>
    <row r="350" spans="1:15" ht="23.25" customHeight="1" x14ac:dyDescent="0.2">
      <c r="A350" s="468"/>
      <c r="B350" s="469"/>
      <c r="C350" s="469"/>
      <c r="D350" s="469"/>
      <c r="E350" s="469"/>
      <c r="F350" s="469"/>
      <c r="G350" s="469"/>
      <c r="H350" s="468"/>
      <c r="I350" s="468"/>
      <c r="J350" s="468"/>
      <c r="K350" s="468"/>
      <c r="L350" s="468"/>
      <c r="M350" s="468"/>
      <c r="N350" s="468"/>
      <c r="O350" s="468"/>
    </row>
    <row r="351" spans="1:15" ht="23.25" customHeight="1" x14ac:dyDescent="0.2">
      <c r="A351" s="468"/>
      <c r="B351" s="469"/>
      <c r="C351" s="469"/>
      <c r="D351" s="469"/>
      <c r="E351" s="469"/>
      <c r="F351" s="469"/>
      <c r="G351" s="469"/>
      <c r="H351" s="468"/>
      <c r="I351" s="468"/>
      <c r="J351" s="468"/>
      <c r="K351" s="468"/>
      <c r="L351" s="468"/>
      <c r="M351" s="468"/>
      <c r="N351" s="468"/>
      <c r="O351" s="468"/>
    </row>
    <row r="352" spans="1:15" ht="23.25" customHeight="1" x14ac:dyDescent="0.2">
      <c r="A352" s="468"/>
      <c r="B352" s="469"/>
      <c r="C352" s="469"/>
      <c r="D352" s="469"/>
      <c r="E352" s="469"/>
      <c r="F352" s="469"/>
      <c r="G352" s="469"/>
      <c r="H352" s="468"/>
      <c r="I352" s="468"/>
      <c r="J352" s="468"/>
      <c r="K352" s="468"/>
      <c r="L352" s="468"/>
      <c r="M352" s="468"/>
      <c r="N352" s="468"/>
      <c r="O352" s="468"/>
    </row>
    <row r="353" spans="1:15" ht="23.25" customHeight="1" x14ac:dyDescent="0.2">
      <c r="A353" s="468"/>
      <c r="B353" s="469"/>
      <c r="C353" s="469"/>
      <c r="D353" s="469"/>
      <c r="E353" s="469"/>
      <c r="F353" s="469"/>
      <c r="G353" s="469"/>
      <c r="H353" s="468"/>
      <c r="I353" s="468"/>
      <c r="J353" s="468"/>
      <c r="K353" s="468"/>
      <c r="L353" s="468"/>
      <c r="M353" s="468"/>
      <c r="N353" s="468"/>
      <c r="O353" s="468"/>
    </row>
    <row r="354" spans="1:15" ht="23.25" customHeight="1" x14ac:dyDescent="0.2">
      <c r="A354" s="468"/>
      <c r="B354" s="469"/>
      <c r="C354" s="469"/>
      <c r="D354" s="469"/>
      <c r="E354" s="469"/>
      <c r="F354" s="469"/>
      <c r="G354" s="469"/>
      <c r="H354" s="468"/>
      <c r="I354" s="468"/>
      <c r="J354" s="468"/>
      <c r="K354" s="468"/>
      <c r="L354" s="468"/>
      <c r="M354" s="468"/>
      <c r="N354" s="468"/>
      <c r="O354" s="468"/>
    </row>
    <row r="355" spans="1:15" ht="23.25" customHeight="1" x14ac:dyDescent="0.2">
      <c r="A355" s="468"/>
      <c r="B355" s="469"/>
      <c r="C355" s="469"/>
      <c r="D355" s="469"/>
      <c r="E355" s="469"/>
      <c r="F355" s="469"/>
      <c r="G355" s="469"/>
      <c r="H355" s="468"/>
      <c r="I355" s="468"/>
      <c r="J355" s="468"/>
      <c r="K355" s="468"/>
      <c r="L355" s="468"/>
      <c r="M355" s="468"/>
      <c r="N355" s="468"/>
      <c r="O355" s="468"/>
    </row>
    <row r="356" spans="1:15" ht="23.25" customHeight="1" x14ac:dyDescent="0.2">
      <c r="A356" s="468"/>
      <c r="B356" s="469"/>
      <c r="C356" s="469"/>
      <c r="D356" s="469"/>
      <c r="E356" s="469"/>
      <c r="F356" s="469"/>
      <c r="G356" s="469"/>
      <c r="H356" s="468"/>
      <c r="I356" s="468"/>
      <c r="J356" s="468"/>
      <c r="K356" s="468"/>
      <c r="L356" s="468"/>
      <c r="M356" s="468"/>
      <c r="N356" s="468"/>
      <c r="O356" s="468"/>
    </row>
    <row r="357" spans="1:15" ht="23.25" customHeight="1" x14ac:dyDescent="0.2">
      <c r="A357" s="468"/>
      <c r="B357" s="469"/>
      <c r="C357" s="469"/>
      <c r="D357" s="469"/>
      <c r="E357" s="469"/>
      <c r="F357" s="469"/>
      <c r="G357" s="469"/>
      <c r="H357" s="468"/>
      <c r="I357" s="468"/>
      <c r="J357" s="468"/>
      <c r="K357" s="468"/>
      <c r="L357" s="468"/>
      <c r="M357" s="468"/>
      <c r="N357" s="468"/>
      <c r="O357" s="468"/>
    </row>
    <row r="358" spans="1:15" ht="23.25" customHeight="1" x14ac:dyDescent="0.2">
      <c r="A358" s="468"/>
      <c r="B358" s="469"/>
      <c r="C358" s="469"/>
      <c r="D358" s="469"/>
      <c r="E358" s="469"/>
      <c r="F358" s="469"/>
      <c r="G358" s="469"/>
      <c r="H358" s="468"/>
      <c r="I358" s="468"/>
      <c r="J358" s="468"/>
      <c r="K358" s="468"/>
      <c r="L358" s="468"/>
      <c r="M358" s="468"/>
      <c r="N358" s="468"/>
      <c r="O358" s="468"/>
    </row>
    <row r="359" spans="1:15" ht="23.25" customHeight="1" x14ac:dyDescent="0.2">
      <c r="A359" s="468"/>
      <c r="B359" s="469"/>
      <c r="C359" s="469"/>
      <c r="D359" s="469"/>
      <c r="E359" s="469"/>
      <c r="F359" s="469"/>
      <c r="G359" s="469"/>
      <c r="H359" s="468"/>
      <c r="I359" s="468"/>
      <c r="J359" s="468"/>
      <c r="K359" s="468"/>
      <c r="L359" s="468"/>
      <c r="M359" s="468"/>
      <c r="N359" s="468"/>
      <c r="O359" s="468"/>
    </row>
    <row r="360" spans="1:15" ht="23.25" customHeight="1" x14ac:dyDescent="0.2">
      <c r="A360" s="468"/>
      <c r="B360" s="469"/>
      <c r="C360" s="469"/>
      <c r="D360" s="469"/>
      <c r="E360" s="469"/>
      <c r="F360" s="469"/>
      <c r="G360" s="469"/>
      <c r="H360" s="468"/>
      <c r="I360" s="468"/>
      <c r="J360" s="468"/>
      <c r="K360" s="468"/>
      <c r="L360" s="468"/>
      <c r="M360" s="468"/>
      <c r="N360" s="468"/>
      <c r="O360" s="468"/>
    </row>
    <row r="361" spans="1:15" ht="23.25" customHeight="1" x14ac:dyDescent="0.2">
      <c r="A361" s="468"/>
      <c r="B361" s="469"/>
      <c r="C361" s="469"/>
      <c r="D361" s="469"/>
      <c r="E361" s="469"/>
      <c r="F361" s="469"/>
      <c r="G361" s="469"/>
      <c r="H361" s="468"/>
      <c r="I361" s="468"/>
      <c r="J361" s="468"/>
      <c r="K361" s="468"/>
      <c r="L361" s="468"/>
      <c r="M361" s="468"/>
      <c r="N361" s="468"/>
      <c r="O361" s="468"/>
    </row>
    <row r="362" spans="1:15" ht="23.25" customHeight="1" x14ac:dyDescent="0.2">
      <c r="A362" s="468"/>
      <c r="B362" s="469"/>
      <c r="C362" s="469"/>
      <c r="D362" s="469"/>
      <c r="E362" s="469"/>
      <c r="F362" s="469"/>
      <c r="G362" s="469"/>
      <c r="H362" s="468"/>
      <c r="I362" s="468"/>
      <c r="J362" s="468"/>
      <c r="K362" s="468"/>
      <c r="L362" s="468"/>
      <c r="M362" s="468"/>
      <c r="N362" s="468"/>
      <c r="O362" s="468"/>
    </row>
    <row r="363" spans="1:15" ht="23.25" customHeight="1" x14ac:dyDescent="0.2">
      <c r="A363" s="468"/>
      <c r="B363" s="469"/>
      <c r="C363" s="469"/>
      <c r="D363" s="469"/>
      <c r="E363" s="469"/>
      <c r="F363" s="469"/>
      <c r="G363" s="469"/>
      <c r="H363" s="468"/>
      <c r="I363" s="468"/>
      <c r="J363" s="468"/>
      <c r="K363" s="468"/>
      <c r="L363" s="468"/>
      <c r="M363" s="468"/>
      <c r="N363" s="468"/>
      <c r="O363" s="468"/>
    </row>
    <row r="364" spans="1:15" ht="23.25" customHeight="1" x14ac:dyDescent="0.2">
      <c r="A364" s="468"/>
      <c r="B364" s="469"/>
      <c r="C364" s="469"/>
      <c r="D364" s="469"/>
      <c r="E364" s="469"/>
      <c r="F364" s="469"/>
      <c r="G364" s="469"/>
      <c r="H364" s="468"/>
      <c r="I364" s="468"/>
      <c r="J364" s="468"/>
      <c r="K364" s="468"/>
      <c r="L364" s="468"/>
      <c r="M364" s="468"/>
      <c r="N364" s="468"/>
      <c r="O364" s="468"/>
    </row>
    <row r="365" spans="1:15" ht="23.25" customHeight="1" x14ac:dyDescent="0.2">
      <c r="A365" s="468"/>
      <c r="B365" s="469"/>
      <c r="C365" s="469"/>
      <c r="D365" s="469"/>
      <c r="E365" s="469"/>
      <c r="F365" s="469"/>
      <c r="G365" s="469"/>
      <c r="H365" s="468"/>
      <c r="I365" s="468"/>
      <c r="J365" s="468"/>
      <c r="K365" s="468"/>
      <c r="L365" s="468"/>
      <c r="M365" s="468"/>
      <c r="N365" s="468"/>
      <c r="O365" s="468"/>
    </row>
    <row r="366" spans="1:15" ht="23.25" customHeight="1" x14ac:dyDescent="0.2">
      <c r="A366" s="468"/>
      <c r="B366" s="469"/>
      <c r="C366" s="469"/>
      <c r="D366" s="469"/>
      <c r="E366" s="469"/>
      <c r="F366" s="469"/>
      <c r="G366" s="469"/>
      <c r="H366" s="468"/>
      <c r="I366" s="468"/>
      <c r="J366" s="468"/>
      <c r="K366" s="468"/>
      <c r="L366" s="468"/>
      <c r="M366" s="468"/>
      <c r="N366" s="468"/>
      <c r="O366" s="468"/>
    </row>
    <row r="367" spans="1:15" ht="23.25" customHeight="1" x14ac:dyDescent="0.2">
      <c r="A367" s="468"/>
      <c r="B367" s="469"/>
      <c r="C367" s="469"/>
      <c r="D367" s="469"/>
      <c r="E367" s="469"/>
      <c r="F367" s="469"/>
      <c r="G367" s="469"/>
      <c r="H367" s="468"/>
      <c r="I367" s="468"/>
      <c r="J367" s="468"/>
      <c r="K367" s="468"/>
      <c r="L367" s="468"/>
      <c r="M367" s="468"/>
      <c r="N367" s="468"/>
      <c r="O367" s="468"/>
    </row>
    <row r="368" spans="1:15" ht="23.25" customHeight="1" x14ac:dyDescent="0.2">
      <c r="A368" s="468"/>
      <c r="B368" s="469"/>
      <c r="C368" s="469"/>
      <c r="D368" s="469"/>
      <c r="E368" s="469"/>
      <c r="F368" s="469"/>
      <c r="G368" s="469"/>
      <c r="H368" s="468"/>
      <c r="I368" s="468"/>
      <c r="J368" s="468"/>
      <c r="K368" s="468"/>
      <c r="L368" s="468"/>
      <c r="M368" s="468"/>
      <c r="N368" s="468"/>
      <c r="O368" s="468"/>
    </row>
    <row r="369" spans="1:15" ht="23.25" customHeight="1" x14ac:dyDescent="0.2">
      <c r="A369" s="468"/>
      <c r="B369" s="469"/>
      <c r="C369" s="469"/>
      <c r="D369" s="469"/>
      <c r="E369" s="469"/>
      <c r="F369" s="469"/>
      <c r="G369" s="469"/>
      <c r="H369" s="468"/>
      <c r="I369" s="468"/>
      <c r="J369" s="468"/>
      <c r="K369" s="468"/>
      <c r="L369" s="468"/>
      <c r="M369" s="468"/>
      <c r="N369" s="468"/>
      <c r="O369" s="468"/>
    </row>
    <row r="370" spans="1:15" ht="23.25" customHeight="1" x14ac:dyDescent="0.2">
      <c r="A370" s="468"/>
      <c r="B370" s="469"/>
      <c r="C370" s="469"/>
      <c r="D370" s="469"/>
      <c r="E370" s="469"/>
      <c r="F370" s="469"/>
      <c r="G370" s="469"/>
      <c r="H370" s="468"/>
      <c r="I370" s="468"/>
      <c r="J370" s="468"/>
      <c r="K370" s="468"/>
      <c r="L370" s="468"/>
      <c r="M370" s="468"/>
      <c r="N370" s="468"/>
      <c r="O370" s="468"/>
    </row>
    <row r="371" spans="1:15" ht="23.25" customHeight="1" x14ac:dyDescent="0.2">
      <c r="A371" s="468"/>
      <c r="B371" s="469"/>
      <c r="C371" s="469"/>
      <c r="D371" s="469"/>
      <c r="E371" s="469"/>
      <c r="F371" s="469"/>
      <c r="G371" s="469"/>
      <c r="H371" s="468"/>
      <c r="I371" s="468"/>
      <c r="J371" s="468"/>
      <c r="K371" s="468"/>
      <c r="L371" s="468"/>
      <c r="M371" s="468"/>
      <c r="N371" s="468"/>
      <c r="O371" s="468"/>
    </row>
    <row r="372" spans="1:15" ht="23.25" customHeight="1" x14ac:dyDescent="0.2">
      <c r="A372" s="468"/>
      <c r="B372" s="469"/>
      <c r="C372" s="469"/>
      <c r="D372" s="469"/>
      <c r="E372" s="469"/>
      <c r="F372" s="469"/>
      <c r="G372" s="469"/>
      <c r="H372" s="468"/>
      <c r="I372" s="468"/>
      <c r="J372" s="468"/>
      <c r="K372" s="468"/>
      <c r="L372" s="468"/>
      <c r="M372" s="468"/>
      <c r="N372" s="468"/>
      <c r="O372" s="468"/>
    </row>
    <row r="373" spans="1:15" ht="23.25" customHeight="1" x14ac:dyDescent="0.2">
      <c r="A373" s="468"/>
      <c r="B373" s="469"/>
      <c r="C373" s="469"/>
      <c r="D373" s="469"/>
      <c r="E373" s="469"/>
      <c r="F373" s="469"/>
      <c r="G373" s="469"/>
      <c r="H373" s="468"/>
      <c r="I373" s="468"/>
      <c r="J373" s="468"/>
      <c r="K373" s="468"/>
      <c r="L373" s="468"/>
      <c r="M373" s="468"/>
      <c r="N373" s="468"/>
      <c r="O373" s="468"/>
    </row>
    <row r="374" spans="1:15" ht="23.25" customHeight="1" x14ac:dyDescent="0.2">
      <c r="A374" s="468"/>
      <c r="B374" s="469"/>
      <c r="C374" s="469"/>
      <c r="D374" s="469"/>
      <c r="E374" s="469"/>
      <c r="F374" s="469"/>
      <c r="G374" s="469"/>
      <c r="H374" s="468"/>
      <c r="I374" s="468"/>
      <c r="J374" s="468"/>
      <c r="K374" s="468"/>
      <c r="L374" s="468"/>
      <c r="M374" s="468"/>
      <c r="N374" s="468"/>
      <c r="O374" s="468"/>
    </row>
    <row r="375" spans="1:15" ht="23.25" customHeight="1" x14ac:dyDescent="0.2">
      <c r="A375" s="468"/>
      <c r="B375" s="469"/>
      <c r="C375" s="469"/>
      <c r="D375" s="469"/>
      <c r="E375" s="469"/>
      <c r="F375" s="469"/>
      <c r="G375" s="469"/>
      <c r="H375" s="468"/>
      <c r="I375" s="468"/>
      <c r="J375" s="468"/>
      <c r="K375" s="468"/>
      <c r="L375" s="468"/>
      <c r="M375" s="468"/>
      <c r="N375" s="468"/>
      <c r="O375" s="468"/>
    </row>
    <row r="376" spans="1:15" ht="23.25" customHeight="1" x14ac:dyDescent="0.2">
      <c r="A376" s="468"/>
      <c r="B376" s="469"/>
      <c r="C376" s="469"/>
      <c r="D376" s="469"/>
      <c r="E376" s="469"/>
      <c r="F376" s="469"/>
      <c r="G376" s="469"/>
      <c r="H376" s="468"/>
      <c r="I376" s="468"/>
      <c r="J376" s="468"/>
      <c r="K376" s="468"/>
      <c r="L376" s="468"/>
      <c r="M376" s="468"/>
      <c r="N376" s="468"/>
      <c r="O376" s="468"/>
    </row>
    <row r="377" spans="1:15" ht="23.25" customHeight="1" x14ac:dyDescent="0.2">
      <c r="A377" s="468"/>
      <c r="B377" s="469"/>
      <c r="C377" s="469"/>
      <c r="D377" s="469"/>
      <c r="E377" s="469"/>
      <c r="F377" s="469"/>
      <c r="G377" s="469"/>
      <c r="H377" s="468"/>
      <c r="I377" s="468"/>
      <c r="J377" s="468"/>
      <c r="K377" s="468"/>
      <c r="L377" s="468"/>
      <c r="M377" s="468"/>
      <c r="N377" s="468"/>
      <c r="O377" s="468"/>
    </row>
    <row r="378" spans="1:15" ht="23.25" customHeight="1" x14ac:dyDescent="0.2">
      <c r="A378" s="468"/>
      <c r="B378" s="469"/>
      <c r="C378" s="469"/>
      <c r="D378" s="469"/>
      <c r="E378" s="469"/>
      <c r="F378" s="469"/>
      <c r="G378" s="469"/>
      <c r="H378" s="468"/>
      <c r="I378" s="468"/>
      <c r="J378" s="468"/>
      <c r="K378" s="468"/>
      <c r="L378" s="468"/>
      <c r="M378" s="468"/>
      <c r="N378" s="468"/>
      <c r="O378" s="468"/>
    </row>
    <row r="379" spans="1:15" ht="23.25" customHeight="1" x14ac:dyDescent="0.2">
      <c r="A379" s="468"/>
      <c r="B379" s="469"/>
      <c r="C379" s="469"/>
      <c r="D379" s="469"/>
      <c r="E379" s="469"/>
      <c r="F379" s="469"/>
      <c r="G379" s="469"/>
      <c r="H379" s="468"/>
      <c r="I379" s="468"/>
      <c r="J379" s="468"/>
      <c r="K379" s="468"/>
      <c r="L379" s="468"/>
      <c r="M379" s="468"/>
      <c r="N379" s="468"/>
      <c r="O379" s="468"/>
    </row>
    <row r="380" spans="1:15" ht="23.25" customHeight="1" x14ac:dyDescent="0.2">
      <c r="A380" s="468"/>
      <c r="B380" s="469"/>
      <c r="C380" s="469"/>
      <c r="D380" s="469"/>
      <c r="E380" s="469"/>
      <c r="F380" s="469"/>
      <c r="G380" s="469"/>
      <c r="H380" s="468"/>
      <c r="I380" s="468"/>
      <c r="J380" s="468"/>
      <c r="K380" s="468"/>
      <c r="L380" s="468"/>
      <c r="M380" s="468"/>
      <c r="N380" s="468"/>
      <c r="O380" s="468"/>
    </row>
    <row r="381" spans="1:15" ht="23.25" customHeight="1" x14ac:dyDescent="0.2">
      <c r="A381" s="468"/>
      <c r="B381" s="469"/>
      <c r="C381" s="469"/>
      <c r="D381" s="469"/>
      <c r="E381" s="469"/>
      <c r="F381" s="469"/>
      <c r="G381" s="469"/>
      <c r="H381" s="468"/>
      <c r="I381" s="468"/>
      <c r="J381" s="468"/>
      <c r="K381" s="468"/>
      <c r="L381" s="468"/>
      <c r="M381" s="468"/>
      <c r="N381" s="468"/>
      <c r="O381" s="468"/>
    </row>
    <row r="382" spans="1:15" ht="23.25" customHeight="1" x14ac:dyDescent="0.2">
      <c r="A382" s="468"/>
      <c r="B382" s="469"/>
      <c r="C382" s="469"/>
      <c r="D382" s="469"/>
      <c r="E382" s="469"/>
      <c r="F382" s="469"/>
      <c r="G382" s="469"/>
      <c r="H382" s="468"/>
      <c r="I382" s="468"/>
      <c r="J382" s="468"/>
      <c r="K382" s="468"/>
      <c r="L382" s="468"/>
      <c r="M382" s="468"/>
      <c r="N382" s="468"/>
      <c r="O382" s="468"/>
    </row>
    <row r="383" spans="1:15" ht="23.25" customHeight="1" x14ac:dyDescent="0.2">
      <c r="A383" s="468"/>
      <c r="B383" s="469"/>
      <c r="C383" s="469"/>
      <c r="D383" s="469"/>
      <c r="E383" s="469"/>
      <c r="F383" s="469"/>
      <c r="G383" s="469"/>
      <c r="H383" s="468"/>
      <c r="I383" s="468"/>
      <c r="J383" s="468"/>
      <c r="K383" s="468"/>
      <c r="L383" s="468"/>
      <c r="M383" s="468"/>
      <c r="N383" s="468"/>
      <c r="O383" s="468"/>
    </row>
    <row r="384" spans="1:15" ht="23.25" customHeight="1" x14ac:dyDescent="0.2">
      <c r="A384" s="468"/>
      <c r="B384" s="469"/>
      <c r="C384" s="469"/>
      <c r="D384" s="469"/>
      <c r="E384" s="469"/>
      <c r="F384" s="469"/>
      <c r="G384" s="469"/>
      <c r="H384" s="468"/>
      <c r="I384" s="468"/>
      <c r="J384" s="468"/>
      <c r="K384" s="468"/>
      <c r="L384" s="468"/>
      <c r="M384" s="468"/>
      <c r="N384" s="468"/>
      <c r="O384" s="468"/>
    </row>
    <row r="385" spans="1:15" ht="23.25" customHeight="1" x14ac:dyDescent="0.2">
      <c r="A385" s="468"/>
      <c r="B385" s="469"/>
      <c r="C385" s="469"/>
      <c r="D385" s="469"/>
      <c r="E385" s="469"/>
      <c r="F385" s="469"/>
      <c r="G385" s="469"/>
      <c r="H385" s="468"/>
      <c r="I385" s="468"/>
      <c r="J385" s="468"/>
      <c r="K385" s="468"/>
      <c r="L385" s="468"/>
      <c r="M385" s="468"/>
      <c r="N385" s="468"/>
      <c r="O385" s="468"/>
    </row>
    <row r="386" spans="1:15" ht="23.25" customHeight="1" x14ac:dyDescent="0.2">
      <c r="A386" s="468"/>
      <c r="B386" s="469"/>
      <c r="C386" s="469"/>
      <c r="D386" s="469"/>
      <c r="E386" s="469"/>
      <c r="F386" s="469"/>
      <c r="G386" s="469"/>
      <c r="H386" s="468"/>
      <c r="I386" s="468"/>
      <c r="J386" s="468"/>
      <c r="K386" s="468"/>
      <c r="L386" s="468"/>
      <c r="M386" s="468"/>
      <c r="N386" s="468"/>
      <c r="O386" s="468"/>
    </row>
    <row r="387" spans="1:15" ht="23.25" customHeight="1" x14ac:dyDescent="0.2">
      <c r="A387" s="468"/>
      <c r="B387" s="469"/>
      <c r="C387" s="469"/>
      <c r="D387" s="469"/>
      <c r="E387" s="469"/>
      <c r="F387" s="469"/>
      <c r="G387" s="469"/>
      <c r="H387" s="468"/>
      <c r="I387" s="468"/>
      <c r="J387" s="468"/>
      <c r="K387" s="468"/>
      <c r="L387" s="468"/>
      <c r="M387" s="468"/>
      <c r="N387" s="468"/>
      <c r="O387" s="468"/>
    </row>
    <row r="388" spans="1:15" ht="23.25" customHeight="1" x14ac:dyDescent="0.2">
      <c r="A388" s="468"/>
      <c r="B388" s="469"/>
      <c r="C388" s="469"/>
      <c r="D388" s="469"/>
      <c r="E388" s="469"/>
      <c r="F388" s="469"/>
      <c r="G388" s="469"/>
      <c r="H388" s="468"/>
      <c r="I388" s="468"/>
      <c r="J388" s="468"/>
      <c r="K388" s="468"/>
      <c r="L388" s="468"/>
      <c r="M388" s="468"/>
      <c r="N388" s="468"/>
      <c r="O388" s="468"/>
    </row>
    <row r="389" spans="1:15" ht="23.25" customHeight="1" x14ac:dyDescent="0.2">
      <c r="A389" s="468"/>
      <c r="B389" s="469"/>
      <c r="C389" s="469"/>
      <c r="D389" s="469"/>
      <c r="E389" s="469"/>
      <c r="F389" s="469"/>
      <c r="G389" s="469"/>
      <c r="H389" s="468"/>
      <c r="I389" s="468"/>
      <c r="J389" s="468"/>
      <c r="K389" s="468"/>
      <c r="L389" s="468"/>
      <c r="M389" s="468"/>
      <c r="N389" s="468"/>
      <c r="O389" s="468"/>
    </row>
    <row r="390" spans="1:15" ht="23.25" customHeight="1" x14ac:dyDescent="0.2">
      <c r="A390" s="468"/>
      <c r="B390" s="469"/>
      <c r="C390" s="469"/>
      <c r="D390" s="469"/>
      <c r="E390" s="469"/>
      <c r="F390" s="469"/>
      <c r="G390" s="469"/>
      <c r="H390" s="468"/>
      <c r="I390" s="468"/>
      <c r="J390" s="468"/>
      <c r="K390" s="468"/>
      <c r="L390" s="468"/>
      <c r="M390" s="468"/>
      <c r="N390" s="468"/>
      <c r="O390" s="468"/>
    </row>
    <row r="391" spans="1:15" ht="23.25" customHeight="1" x14ac:dyDescent="0.2">
      <c r="A391" s="468"/>
      <c r="B391" s="469"/>
      <c r="C391" s="469"/>
      <c r="D391" s="469"/>
      <c r="E391" s="469"/>
      <c r="F391" s="469"/>
      <c r="G391" s="469"/>
      <c r="H391" s="468"/>
      <c r="I391" s="468"/>
      <c r="J391" s="468"/>
      <c r="K391" s="468"/>
      <c r="L391" s="468"/>
      <c r="M391" s="468"/>
      <c r="N391" s="468"/>
      <c r="O391" s="468"/>
    </row>
    <row r="392" spans="1:15" ht="23.25" customHeight="1" x14ac:dyDescent="0.2">
      <c r="A392" s="468"/>
      <c r="B392" s="469"/>
      <c r="C392" s="469"/>
      <c r="D392" s="469"/>
      <c r="E392" s="469"/>
      <c r="F392" s="469"/>
      <c r="G392" s="469"/>
      <c r="H392" s="468"/>
      <c r="I392" s="468"/>
      <c r="J392" s="468"/>
      <c r="K392" s="468"/>
      <c r="L392" s="468"/>
      <c r="M392" s="468"/>
      <c r="N392" s="468"/>
      <c r="O392" s="468"/>
    </row>
    <row r="393" spans="1:15" ht="23.25" customHeight="1" x14ac:dyDescent="0.2">
      <c r="A393" s="468"/>
      <c r="B393" s="469"/>
      <c r="C393" s="469"/>
      <c r="D393" s="469"/>
      <c r="E393" s="469"/>
      <c r="F393" s="469"/>
      <c r="G393" s="469"/>
      <c r="H393" s="468"/>
      <c r="I393" s="468"/>
      <c r="J393" s="468"/>
      <c r="K393" s="468"/>
      <c r="L393" s="468"/>
      <c r="M393" s="468"/>
      <c r="N393" s="468"/>
      <c r="O393" s="468"/>
    </row>
    <row r="394" spans="1:15" ht="23.25" customHeight="1" x14ac:dyDescent="0.2">
      <c r="A394" s="468"/>
      <c r="B394" s="469"/>
      <c r="C394" s="469"/>
      <c r="D394" s="469"/>
      <c r="E394" s="469"/>
      <c r="F394" s="469"/>
      <c r="G394" s="469"/>
      <c r="H394" s="468"/>
      <c r="I394" s="468"/>
      <c r="J394" s="468"/>
      <c r="K394" s="468"/>
      <c r="L394" s="468"/>
      <c r="M394" s="468"/>
      <c r="N394" s="468"/>
      <c r="O394" s="468"/>
    </row>
    <row r="395" spans="1:15" ht="23.25" customHeight="1" x14ac:dyDescent="0.2">
      <c r="A395" s="468"/>
      <c r="B395" s="469"/>
      <c r="C395" s="469"/>
      <c r="D395" s="469"/>
      <c r="E395" s="469"/>
      <c r="F395" s="469"/>
      <c r="G395" s="469"/>
      <c r="H395" s="468"/>
      <c r="I395" s="468"/>
      <c r="J395" s="468"/>
      <c r="K395" s="468"/>
      <c r="L395" s="468"/>
      <c r="M395" s="468"/>
      <c r="N395" s="468"/>
      <c r="O395" s="468"/>
    </row>
    <row r="396" spans="1:15" ht="23.25" customHeight="1" x14ac:dyDescent="0.2">
      <c r="A396" s="468"/>
      <c r="B396" s="469"/>
      <c r="C396" s="469"/>
      <c r="D396" s="469"/>
      <c r="E396" s="469"/>
      <c r="F396" s="469"/>
      <c r="G396" s="469"/>
      <c r="H396" s="468"/>
      <c r="I396" s="468"/>
      <c r="J396" s="468"/>
      <c r="K396" s="468"/>
      <c r="L396" s="468"/>
      <c r="M396" s="468"/>
      <c r="N396" s="468"/>
      <c r="O396" s="468"/>
    </row>
    <row r="397" spans="1:15" ht="23.25" customHeight="1" x14ac:dyDescent="0.2">
      <c r="A397" s="468"/>
      <c r="B397" s="469"/>
      <c r="C397" s="469"/>
      <c r="D397" s="469"/>
      <c r="E397" s="469"/>
      <c r="F397" s="469"/>
      <c r="G397" s="469"/>
      <c r="H397" s="468"/>
      <c r="I397" s="468"/>
      <c r="J397" s="468"/>
      <c r="K397" s="468"/>
      <c r="L397" s="468"/>
      <c r="M397" s="468"/>
      <c r="N397" s="468"/>
      <c r="O397" s="468"/>
    </row>
    <row r="398" spans="1:15" ht="23.25" customHeight="1" x14ac:dyDescent="0.2">
      <c r="A398" s="468"/>
      <c r="B398" s="469"/>
      <c r="C398" s="469"/>
      <c r="D398" s="469"/>
      <c r="E398" s="469"/>
      <c r="F398" s="469"/>
      <c r="G398" s="469"/>
      <c r="H398" s="468"/>
      <c r="I398" s="468"/>
      <c r="J398" s="468"/>
      <c r="K398" s="468"/>
      <c r="L398" s="468"/>
      <c r="M398" s="468"/>
      <c r="N398" s="468"/>
      <c r="O398" s="468"/>
    </row>
    <row r="399" spans="1:15" ht="23.25" customHeight="1" x14ac:dyDescent="0.2">
      <c r="A399" s="468"/>
      <c r="B399" s="469"/>
      <c r="C399" s="469"/>
      <c r="D399" s="469"/>
      <c r="E399" s="469"/>
      <c r="F399" s="469"/>
      <c r="G399" s="469"/>
      <c r="H399" s="468"/>
      <c r="I399" s="468"/>
      <c r="J399" s="468"/>
      <c r="K399" s="468"/>
      <c r="L399" s="468"/>
      <c r="M399" s="468"/>
      <c r="N399" s="468"/>
      <c r="O399" s="468"/>
    </row>
    <row r="400" spans="1:15" ht="23.25" customHeight="1" x14ac:dyDescent="0.2">
      <c r="A400" s="468"/>
      <c r="B400" s="469"/>
      <c r="C400" s="469"/>
      <c r="D400" s="469"/>
      <c r="E400" s="469"/>
      <c r="F400" s="469"/>
      <c r="G400" s="469"/>
      <c r="H400" s="468"/>
      <c r="I400" s="468"/>
      <c r="J400" s="468"/>
      <c r="K400" s="468"/>
      <c r="L400" s="468"/>
      <c r="M400" s="468"/>
      <c r="N400" s="468"/>
      <c r="O400" s="468"/>
    </row>
    <row r="401" spans="1:15" ht="23.25" customHeight="1" x14ac:dyDescent="0.2">
      <c r="A401" s="468"/>
      <c r="B401" s="469"/>
      <c r="C401" s="469"/>
      <c r="D401" s="469"/>
      <c r="E401" s="469"/>
      <c r="F401" s="469"/>
      <c r="G401" s="469"/>
      <c r="H401" s="468"/>
      <c r="I401" s="468"/>
      <c r="J401" s="468"/>
      <c r="K401" s="468"/>
      <c r="L401" s="468"/>
      <c r="M401" s="468"/>
      <c r="N401" s="468"/>
      <c r="O401" s="468"/>
    </row>
    <row r="402" spans="1:15" ht="23.25" customHeight="1" x14ac:dyDescent="0.2">
      <c r="A402" s="468"/>
      <c r="B402" s="469"/>
      <c r="C402" s="469"/>
      <c r="D402" s="469"/>
      <c r="E402" s="469"/>
      <c r="F402" s="469"/>
      <c r="G402" s="469"/>
      <c r="H402" s="468"/>
      <c r="I402" s="468"/>
      <c r="J402" s="468"/>
      <c r="K402" s="468"/>
      <c r="L402" s="468"/>
      <c r="M402" s="468"/>
      <c r="N402" s="468"/>
      <c r="O402" s="468"/>
    </row>
    <row r="403" spans="1:15" ht="23.25" customHeight="1" x14ac:dyDescent="0.2">
      <c r="A403" s="468"/>
      <c r="B403" s="469"/>
      <c r="C403" s="469"/>
      <c r="D403" s="469"/>
      <c r="E403" s="469"/>
      <c r="F403" s="469"/>
      <c r="G403" s="469"/>
      <c r="H403" s="468"/>
      <c r="I403" s="468"/>
      <c r="J403" s="468"/>
      <c r="K403" s="468"/>
      <c r="L403" s="468"/>
      <c r="M403" s="468"/>
      <c r="N403" s="468"/>
      <c r="O403" s="468"/>
    </row>
    <row r="404" spans="1:15" ht="23.25" customHeight="1" x14ac:dyDescent="0.2">
      <c r="A404" s="468"/>
      <c r="B404" s="469"/>
      <c r="C404" s="469"/>
      <c r="D404" s="469"/>
      <c r="E404" s="469"/>
      <c r="F404" s="469"/>
      <c r="G404" s="469"/>
      <c r="H404" s="468"/>
      <c r="I404" s="468"/>
      <c r="J404" s="468"/>
      <c r="K404" s="468"/>
      <c r="L404" s="468"/>
      <c r="M404" s="468"/>
      <c r="N404" s="468"/>
      <c r="O404" s="468"/>
    </row>
    <row r="405" spans="1:15" ht="23.25" customHeight="1" x14ac:dyDescent="0.2">
      <c r="A405" s="468"/>
      <c r="B405" s="469"/>
      <c r="C405" s="469"/>
      <c r="D405" s="469"/>
      <c r="E405" s="469"/>
      <c r="F405" s="469"/>
      <c r="G405" s="469"/>
      <c r="H405" s="468"/>
      <c r="I405" s="468"/>
      <c r="J405" s="468"/>
      <c r="K405" s="468"/>
      <c r="L405" s="468"/>
      <c r="M405" s="468"/>
      <c r="N405" s="468"/>
      <c r="O405" s="468"/>
    </row>
    <row r="406" spans="1:15" ht="23.25" customHeight="1" x14ac:dyDescent="0.2">
      <c r="A406" s="468"/>
      <c r="B406" s="469"/>
      <c r="C406" s="469"/>
      <c r="D406" s="469"/>
      <c r="E406" s="469"/>
      <c r="F406" s="469"/>
      <c r="G406" s="469"/>
      <c r="H406" s="468"/>
      <c r="I406" s="468"/>
      <c r="J406" s="468"/>
      <c r="K406" s="468"/>
      <c r="L406" s="468"/>
      <c r="M406" s="468"/>
      <c r="N406" s="468"/>
      <c r="O406" s="468"/>
    </row>
    <row r="407" spans="1:15" ht="23.25" customHeight="1" x14ac:dyDescent="0.2">
      <c r="A407" s="468"/>
      <c r="B407" s="469"/>
      <c r="C407" s="469"/>
      <c r="D407" s="469"/>
      <c r="E407" s="469"/>
      <c r="F407" s="469"/>
      <c r="G407" s="469"/>
      <c r="H407" s="468"/>
      <c r="I407" s="468"/>
      <c r="J407" s="468"/>
      <c r="K407" s="468"/>
      <c r="L407" s="468"/>
      <c r="M407" s="468"/>
      <c r="N407" s="468"/>
      <c r="O407" s="468"/>
    </row>
    <row r="408" spans="1:15" ht="23.25" customHeight="1" x14ac:dyDescent="0.2">
      <c r="A408" s="468"/>
      <c r="B408" s="469"/>
      <c r="C408" s="469"/>
      <c r="D408" s="469"/>
      <c r="E408" s="469"/>
      <c r="F408" s="469"/>
      <c r="G408" s="469"/>
      <c r="H408" s="468"/>
      <c r="I408" s="468"/>
      <c r="J408" s="468"/>
      <c r="K408" s="468"/>
      <c r="L408" s="468"/>
      <c r="M408" s="468"/>
      <c r="N408" s="468"/>
      <c r="O408" s="468"/>
    </row>
    <row r="409" spans="1:15" ht="23.25" customHeight="1" x14ac:dyDescent="0.2">
      <c r="A409" s="468"/>
      <c r="B409" s="469"/>
      <c r="C409" s="469"/>
      <c r="D409" s="469"/>
      <c r="E409" s="469"/>
      <c r="F409" s="469"/>
      <c r="G409" s="469"/>
      <c r="H409" s="468"/>
      <c r="I409" s="468"/>
      <c r="J409" s="468"/>
      <c r="K409" s="468"/>
      <c r="L409" s="468"/>
      <c r="M409" s="468"/>
      <c r="N409" s="468"/>
      <c r="O409" s="468"/>
    </row>
    <row r="410" spans="1:15" ht="23.25" customHeight="1" x14ac:dyDescent="0.2">
      <c r="A410" s="468"/>
      <c r="B410" s="469"/>
      <c r="C410" s="469"/>
      <c r="D410" s="469"/>
      <c r="E410" s="469"/>
      <c r="F410" s="469"/>
      <c r="G410" s="469"/>
      <c r="H410" s="468"/>
      <c r="I410" s="468"/>
      <c r="J410" s="468"/>
      <c r="K410" s="468"/>
      <c r="L410" s="468"/>
      <c r="M410" s="468"/>
      <c r="N410" s="468"/>
      <c r="O410" s="468"/>
    </row>
    <row r="411" spans="1:15" ht="23.25" customHeight="1" x14ac:dyDescent="0.2">
      <c r="A411" s="468"/>
      <c r="B411" s="469"/>
      <c r="C411" s="469"/>
      <c r="D411" s="469"/>
      <c r="E411" s="469"/>
      <c r="F411" s="469"/>
      <c r="G411" s="469"/>
      <c r="H411" s="468"/>
      <c r="I411" s="468"/>
      <c r="J411" s="468"/>
      <c r="K411" s="468"/>
      <c r="L411" s="468"/>
      <c r="M411" s="468"/>
      <c r="N411" s="468"/>
      <c r="O411" s="468"/>
    </row>
    <row r="412" spans="1:15" ht="23.25" customHeight="1" x14ac:dyDescent="0.2">
      <c r="A412" s="468"/>
      <c r="B412" s="469"/>
      <c r="C412" s="469"/>
      <c r="D412" s="469"/>
      <c r="E412" s="469"/>
      <c r="F412" s="469"/>
      <c r="G412" s="469"/>
      <c r="H412" s="468"/>
      <c r="I412" s="468"/>
      <c r="J412" s="468"/>
      <c r="K412" s="468"/>
      <c r="L412" s="468"/>
      <c r="M412" s="468"/>
      <c r="N412" s="468"/>
      <c r="O412" s="468"/>
    </row>
    <row r="413" spans="1:15" ht="23.25" customHeight="1" x14ac:dyDescent="0.2">
      <c r="A413" s="468"/>
      <c r="B413" s="469"/>
      <c r="C413" s="469"/>
      <c r="D413" s="469"/>
      <c r="E413" s="469"/>
      <c r="F413" s="469"/>
      <c r="G413" s="469"/>
      <c r="H413" s="468"/>
      <c r="I413" s="468"/>
      <c r="J413" s="468"/>
      <c r="K413" s="468"/>
      <c r="L413" s="468"/>
      <c r="M413" s="468"/>
      <c r="N413" s="468"/>
      <c r="O413" s="468"/>
    </row>
    <row r="414" spans="1:15" ht="23.25" customHeight="1" x14ac:dyDescent="0.2">
      <c r="A414" s="468"/>
      <c r="B414" s="469"/>
      <c r="C414" s="469"/>
      <c r="D414" s="469"/>
      <c r="E414" s="469"/>
      <c r="F414" s="469"/>
      <c r="G414" s="469"/>
      <c r="H414" s="468"/>
      <c r="I414" s="468"/>
      <c r="J414" s="468"/>
      <c r="K414" s="468"/>
      <c r="L414" s="468"/>
      <c r="M414" s="468"/>
      <c r="N414" s="468"/>
      <c r="O414" s="468"/>
    </row>
    <row r="415" spans="1:15" ht="23.25" customHeight="1" x14ac:dyDescent="0.2">
      <c r="A415" s="468"/>
      <c r="B415" s="469"/>
      <c r="C415" s="469"/>
      <c r="D415" s="469"/>
      <c r="E415" s="469"/>
      <c r="F415" s="469"/>
      <c r="G415" s="469"/>
      <c r="H415" s="468"/>
      <c r="I415" s="468"/>
      <c r="J415" s="468"/>
      <c r="K415" s="468"/>
      <c r="L415" s="468"/>
      <c r="M415" s="468"/>
      <c r="N415" s="468"/>
      <c r="O415" s="468"/>
    </row>
    <row r="416" spans="1:15" ht="23.25" customHeight="1" x14ac:dyDescent="0.2">
      <c r="A416" s="468"/>
      <c r="B416" s="469"/>
      <c r="C416" s="469"/>
      <c r="D416" s="469"/>
      <c r="E416" s="469"/>
      <c r="F416" s="469"/>
      <c r="G416" s="469"/>
      <c r="H416" s="468"/>
      <c r="I416" s="468"/>
      <c r="J416" s="468"/>
      <c r="K416" s="468"/>
      <c r="L416" s="468"/>
      <c r="M416" s="468"/>
      <c r="N416" s="468"/>
      <c r="O416" s="468"/>
    </row>
    <row r="417" spans="1:15" ht="23.25" customHeight="1" x14ac:dyDescent="0.2">
      <c r="A417" s="468"/>
      <c r="B417" s="469"/>
      <c r="C417" s="469"/>
      <c r="D417" s="469"/>
      <c r="E417" s="469"/>
      <c r="F417" s="469"/>
      <c r="G417" s="469"/>
      <c r="H417" s="468"/>
      <c r="I417" s="468"/>
      <c r="J417" s="468"/>
      <c r="K417" s="468"/>
      <c r="L417" s="468"/>
      <c r="M417" s="468"/>
      <c r="N417" s="468"/>
      <c r="O417" s="468"/>
    </row>
    <row r="418" spans="1:15" ht="23.25" customHeight="1" x14ac:dyDescent="0.2">
      <c r="A418" s="468"/>
      <c r="B418" s="469"/>
      <c r="C418" s="469"/>
      <c r="D418" s="469"/>
      <c r="E418" s="469"/>
      <c r="F418" s="469"/>
      <c r="G418" s="469"/>
      <c r="H418" s="468"/>
      <c r="I418" s="468"/>
      <c r="J418" s="468"/>
      <c r="K418" s="468"/>
      <c r="L418" s="468"/>
      <c r="M418" s="468"/>
      <c r="N418" s="468"/>
      <c r="O418" s="468"/>
    </row>
    <row r="419" spans="1:15" ht="23.25" customHeight="1" x14ac:dyDescent="0.2">
      <c r="A419" s="468"/>
      <c r="B419" s="469"/>
      <c r="C419" s="469"/>
      <c r="D419" s="469"/>
      <c r="E419" s="469"/>
      <c r="F419" s="469"/>
      <c r="G419" s="469"/>
      <c r="H419" s="468"/>
      <c r="I419" s="468"/>
      <c r="J419" s="468"/>
      <c r="K419" s="468"/>
      <c r="L419" s="468"/>
      <c r="M419" s="468"/>
      <c r="N419" s="468"/>
      <c r="O419" s="468"/>
    </row>
    <row r="420" spans="1:15" ht="23.25" customHeight="1" x14ac:dyDescent="0.2">
      <c r="A420" s="468"/>
      <c r="B420" s="469"/>
      <c r="C420" s="469"/>
      <c r="D420" s="469"/>
      <c r="E420" s="469"/>
      <c r="F420" s="469"/>
      <c r="G420" s="469"/>
      <c r="H420" s="468"/>
      <c r="I420" s="468"/>
      <c r="J420" s="468"/>
      <c r="K420" s="468"/>
      <c r="L420" s="468"/>
      <c r="M420" s="468"/>
      <c r="N420" s="468"/>
      <c r="O420" s="468"/>
    </row>
    <row r="421" spans="1:15" ht="23.25" customHeight="1" x14ac:dyDescent="0.2">
      <c r="A421" s="468"/>
      <c r="B421" s="469"/>
      <c r="C421" s="469"/>
      <c r="D421" s="469"/>
      <c r="E421" s="469"/>
      <c r="F421" s="469"/>
      <c r="G421" s="469"/>
      <c r="H421" s="468"/>
      <c r="I421" s="468"/>
      <c r="J421" s="468"/>
      <c r="K421" s="468"/>
      <c r="L421" s="468"/>
      <c r="M421" s="468"/>
      <c r="N421" s="468"/>
      <c r="O421" s="468"/>
    </row>
    <row r="422" spans="1:15" ht="23.25" customHeight="1" x14ac:dyDescent="0.2">
      <c r="A422" s="468"/>
      <c r="B422" s="469"/>
      <c r="C422" s="469"/>
      <c r="D422" s="469"/>
      <c r="E422" s="469"/>
      <c r="F422" s="469"/>
      <c r="G422" s="469"/>
      <c r="H422" s="468"/>
      <c r="I422" s="468"/>
      <c r="J422" s="468"/>
      <c r="K422" s="468"/>
      <c r="L422" s="468"/>
      <c r="M422" s="468"/>
      <c r="N422" s="468"/>
      <c r="O422" s="468"/>
    </row>
    <row r="423" spans="1:15" ht="23.25" customHeight="1" x14ac:dyDescent="0.2">
      <c r="A423" s="468"/>
      <c r="B423" s="469"/>
      <c r="C423" s="469"/>
      <c r="D423" s="469"/>
      <c r="E423" s="469"/>
      <c r="F423" s="469"/>
      <c r="G423" s="469"/>
      <c r="H423" s="468"/>
      <c r="I423" s="468"/>
      <c r="J423" s="468"/>
      <c r="K423" s="468"/>
      <c r="L423" s="468"/>
      <c r="M423" s="468"/>
      <c r="N423" s="468"/>
      <c r="O423" s="468"/>
    </row>
    <row r="424" spans="1:15" ht="23.25" customHeight="1" x14ac:dyDescent="0.2">
      <c r="A424" s="468"/>
      <c r="B424" s="469"/>
      <c r="C424" s="469"/>
      <c r="D424" s="469"/>
      <c r="E424" s="469"/>
      <c r="F424" s="469"/>
      <c r="G424" s="469"/>
      <c r="H424" s="468"/>
      <c r="I424" s="468"/>
      <c r="J424" s="468"/>
      <c r="K424" s="468"/>
      <c r="L424" s="468"/>
      <c r="M424" s="468"/>
      <c r="N424" s="468"/>
      <c r="O424" s="468"/>
    </row>
    <row r="425" spans="1:15" ht="23.25" customHeight="1" x14ac:dyDescent="0.2">
      <c r="A425" s="468"/>
      <c r="B425" s="469"/>
      <c r="C425" s="469"/>
      <c r="D425" s="469"/>
      <c r="E425" s="469"/>
      <c r="F425" s="469"/>
      <c r="G425" s="469"/>
      <c r="H425" s="468"/>
      <c r="I425" s="468"/>
      <c r="J425" s="468"/>
      <c r="K425" s="468"/>
      <c r="L425" s="468"/>
      <c r="M425" s="468"/>
      <c r="N425" s="468"/>
      <c r="O425" s="468"/>
    </row>
    <row r="426" spans="1:15" ht="23.25" customHeight="1" x14ac:dyDescent="0.2">
      <c r="A426" s="468"/>
      <c r="B426" s="469"/>
      <c r="C426" s="469"/>
      <c r="D426" s="469"/>
      <c r="E426" s="469"/>
      <c r="F426" s="469"/>
      <c r="G426" s="469"/>
      <c r="H426" s="468"/>
      <c r="I426" s="468"/>
      <c r="J426" s="468"/>
      <c r="K426" s="468"/>
      <c r="L426" s="468"/>
      <c r="M426" s="468"/>
      <c r="N426" s="468"/>
      <c r="O426" s="468"/>
    </row>
    <row r="427" spans="1:15" ht="23.25" customHeight="1" x14ac:dyDescent="0.2">
      <c r="A427" s="468"/>
      <c r="B427" s="469"/>
      <c r="C427" s="469"/>
      <c r="D427" s="469"/>
      <c r="E427" s="469"/>
      <c r="F427" s="469"/>
      <c r="G427" s="469"/>
      <c r="H427" s="468"/>
      <c r="I427" s="468"/>
      <c r="J427" s="468"/>
      <c r="K427" s="468"/>
      <c r="L427" s="468"/>
      <c r="M427" s="468"/>
      <c r="N427" s="468"/>
      <c r="O427" s="468"/>
    </row>
    <row r="428" spans="1:15" ht="23.25" customHeight="1" x14ac:dyDescent="0.2">
      <c r="A428" s="468"/>
      <c r="B428" s="469"/>
      <c r="C428" s="469"/>
      <c r="D428" s="469"/>
      <c r="E428" s="469"/>
      <c r="F428" s="469"/>
      <c r="G428" s="469"/>
      <c r="H428" s="468"/>
      <c r="I428" s="468"/>
      <c r="J428" s="468"/>
      <c r="K428" s="468"/>
      <c r="L428" s="468"/>
      <c r="M428" s="468"/>
      <c r="N428" s="468"/>
      <c r="O428" s="468"/>
    </row>
    <row r="429" spans="1:15" ht="23.25" customHeight="1" x14ac:dyDescent="0.2">
      <c r="A429" s="468"/>
      <c r="B429" s="469"/>
      <c r="C429" s="469"/>
      <c r="D429" s="469"/>
      <c r="E429" s="469"/>
      <c r="F429" s="469"/>
      <c r="G429" s="469"/>
      <c r="H429" s="468"/>
      <c r="I429" s="468"/>
      <c r="J429" s="468"/>
      <c r="K429" s="468"/>
      <c r="L429" s="468"/>
      <c r="M429" s="468"/>
      <c r="N429" s="468"/>
      <c r="O429" s="468"/>
    </row>
    <row r="430" spans="1:15" ht="23.25" customHeight="1" x14ac:dyDescent="0.2">
      <c r="A430" s="468"/>
      <c r="B430" s="469"/>
      <c r="C430" s="469"/>
      <c r="D430" s="469"/>
      <c r="E430" s="469"/>
      <c r="F430" s="469"/>
      <c r="G430" s="469"/>
      <c r="H430" s="468"/>
      <c r="I430" s="468"/>
      <c r="J430" s="468"/>
      <c r="K430" s="468"/>
      <c r="L430" s="468"/>
      <c r="M430" s="468"/>
      <c r="N430" s="468"/>
      <c r="O430" s="468"/>
    </row>
    <row r="431" spans="1:15" ht="23.25" customHeight="1" x14ac:dyDescent="0.2">
      <c r="A431" s="468"/>
      <c r="B431" s="469"/>
      <c r="C431" s="469"/>
      <c r="D431" s="469"/>
      <c r="E431" s="469"/>
      <c r="F431" s="469"/>
      <c r="G431" s="469"/>
      <c r="H431" s="468"/>
      <c r="I431" s="468"/>
      <c r="J431" s="468"/>
      <c r="K431" s="468"/>
      <c r="L431" s="468"/>
      <c r="M431" s="468"/>
      <c r="N431" s="468"/>
      <c r="O431" s="468"/>
    </row>
    <row r="432" spans="1:15" ht="23.25" customHeight="1" x14ac:dyDescent="0.2">
      <c r="A432" s="468"/>
      <c r="B432" s="469"/>
      <c r="C432" s="469"/>
      <c r="D432" s="469"/>
      <c r="E432" s="469"/>
      <c r="F432" s="469"/>
      <c r="G432" s="469"/>
      <c r="H432" s="468"/>
      <c r="I432" s="468"/>
      <c r="J432" s="468"/>
      <c r="K432" s="468"/>
      <c r="L432" s="468"/>
      <c r="M432" s="468"/>
      <c r="N432" s="468"/>
      <c r="O432" s="468"/>
    </row>
    <row r="433" spans="1:15" ht="23.25" customHeight="1" x14ac:dyDescent="0.2">
      <c r="A433" s="468"/>
      <c r="B433" s="469"/>
      <c r="C433" s="469"/>
      <c r="D433" s="469"/>
      <c r="E433" s="469"/>
      <c r="F433" s="469"/>
      <c r="G433" s="469"/>
      <c r="H433" s="468"/>
      <c r="I433" s="468"/>
      <c r="J433" s="468"/>
      <c r="K433" s="468"/>
      <c r="L433" s="468"/>
      <c r="M433" s="468"/>
      <c r="N433" s="468"/>
      <c r="O433" s="468"/>
    </row>
    <row r="434" spans="1:15" ht="23.25" customHeight="1" x14ac:dyDescent="0.2">
      <c r="A434" s="468"/>
      <c r="B434" s="469"/>
      <c r="C434" s="469"/>
      <c r="D434" s="469"/>
      <c r="E434" s="469"/>
      <c r="F434" s="469"/>
      <c r="G434" s="469"/>
      <c r="H434" s="468"/>
      <c r="I434" s="468"/>
      <c r="J434" s="468"/>
      <c r="K434" s="468"/>
      <c r="L434" s="468"/>
      <c r="M434" s="468"/>
      <c r="N434" s="468"/>
      <c r="O434" s="468"/>
    </row>
    <row r="435" spans="1:15" ht="23.25" customHeight="1" x14ac:dyDescent="0.2">
      <c r="A435" s="468"/>
      <c r="B435" s="469"/>
      <c r="C435" s="469"/>
      <c r="D435" s="469"/>
      <c r="E435" s="469"/>
      <c r="F435" s="469"/>
      <c r="G435" s="469"/>
      <c r="H435" s="468"/>
      <c r="I435" s="468"/>
      <c r="J435" s="468"/>
      <c r="K435" s="468"/>
      <c r="L435" s="468"/>
      <c r="M435" s="468"/>
      <c r="N435" s="468"/>
      <c r="O435" s="468"/>
    </row>
    <row r="436" spans="1:15" ht="23.25" customHeight="1" x14ac:dyDescent="0.2">
      <c r="A436" s="468"/>
      <c r="B436" s="469"/>
      <c r="C436" s="469"/>
      <c r="D436" s="469"/>
      <c r="E436" s="469"/>
      <c r="F436" s="469"/>
      <c r="G436" s="469"/>
      <c r="H436" s="468"/>
      <c r="I436" s="468"/>
      <c r="J436" s="468"/>
      <c r="K436" s="468"/>
      <c r="L436" s="468"/>
      <c r="M436" s="468"/>
      <c r="N436" s="468"/>
      <c r="O436" s="468"/>
    </row>
    <row r="437" spans="1:15" ht="23.25" customHeight="1" x14ac:dyDescent="0.2">
      <c r="A437" s="468"/>
      <c r="B437" s="469"/>
      <c r="C437" s="469"/>
      <c r="D437" s="469"/>
      <c r="E437" s="469"/>
      <c r="F437" s="469"/>
      <c r="G437" s="469"/>
      <c r="H437" s="468"/>
      <c r="I437" s="468"/>
      <c r="J437" s="468"/>
      <c r="K437" s="468"/>
      <c r="L437" s="468"/>
      <c r="M437" s="468"/>
      <c r="N437" s="468"/>
      <c r="O437" s="468"/>
    </row>
    <row r="438" spans="1:15" ht="23.25" customHeight="1" x14ac:dyDescent="0.2">
      <c r="A438" s="468"/>
      <c r="B438" s="469"/>
      <c r="C438" s="469"/>
      <c r="D438" s="469"/>
      <c r="E438" s="469"/>
      <c r="F438" s="469"/>
      <c r="G438" s="469"/>
      <c r="H438" s="468"/>
      <c r="I438" s="468"/>
      <c r="J438" s="468"/>
      <c r="K438" s="468"/>
      <c r="L438" s="468"/>
      <c r="M438" s="468"/>
      <c r="N438" s="468"/>
      <c r="O438" s="468"/>
    </row>
    <row r="439" spans="1:15" ht="23.25" customHeight="1" x14ac:dyDescent="0.2">
      <c r="A439" s="468"/>
      <c r="B439" s="469"/>
      <c r="C439" s="469"/>
      <c r="D439" s="469"/>
      <c r="E439" s="469"/>
      <c r="F439" s="469"/>
      <c r="G439" s="469"/>
      <c r="H439" s="468"/>
      <c r="I439" s="468"/>
      <c r="J439" s="468"/>
      <c r="K439" s="468"/>
      <c r="L439" s="468"/>
      <c r="M439" s="468"/>
      <c r="N439" s="468"/>
      <c r="O439" s="468"/>
    </row>
    <row r="440" spans="1:15" ht="23.25" customHeight="1" x14ac:dyDescent="0.2">
      <c r="A440" s="468"/>
      <c r="B440" s="469"/>
      <c r="C440" s="469"/>
      <c r="D440" s="469"/>
      <c r="E440" s="469"/>
      <c r="F440" s="469"/>
      <c r="G440" s="469"/>
      <c r="H440" s="468"/>
      <c r="I440" s="468"/>
      <c r="J440" s="468"/>
      <c r="K440" s="468"/>
      <c r="L440" s="468"/>
      <c r="M440" s="468"/>
      <c r="N440" s="468"/>
      <c r="O440" s="468"/>
    </row>
    <row r="441" spans="1:15" ht="23.25" customHeight="1" x14ac:dyDescent="0.2">
      <c r="A441" s="468"/>
      <c r="B441" s="469"/>
      <c r="C441" s="469"/>
      <c r="D441" s="469"/>
      <c r="E441" s="469"/>
      <c r="F441" s="469"/>
      <c r="G441" s="469"/>
      <c r="H441" s="468"/>
      <c r="I441" s="468"/>
      <c r="J441" s="468"/>
      <c r="K441" s="468"/>
      <c r="L441" s="468"/>
      <c r="M441" s="468"/>
      <c r="N441" s="468"/>
      <c r="O441" s="468"/>
    </row>
    <row r="442" spans="1:15" ht="23.25" customHeight="1" x14ac:dyDescent="0.2">
      <c r="A442" s="468"/>
      <c r="B442" s="469"/>
      <c r="C442" s="469"/>
      <c r="D442" s="469"/>
      <c r="E442" s="469"/>
      <c r="F442" s="469"/>
      <c r="G442" s="469"/>
      <c r="H442" s="468"/>
      <c r="I442" s="468"/>
      <c r="J442" s="468"/>
      <c r="K442" s="468"/>
      <c r="L442" s="468"/>
      <c r="M442" s="468"/>
      <c r="N442" s="468"/>
      <c r="O442" s="468"/>
    </row>
    <row r="443" spans="1:15" ht="23.25" customHeight="1" x14ac:dyDescent="0.2">
      <c r="A443" s="468"/>
      <c r="B443" s="469"/>
      <c r="C443" s="469"/>
      <c r="D443" s="469"/>
      <c r="E443" s="469"/>
      <c r="F443" s="469"/>
      <c r="G443" s="469"/>
      <c r="H443" s="468"/>
      <c r="I443" s="468"/>
      <c r="J443" s="468"/>
      <c r="K443" s="468"/>
      <c r="L443" s="468"/>
      <c r="M443" s="468"/>
      <c r="N443" s="468"/>
      <c r="O443" s="468"/>
    </row>
    <row r="444" spans="1:15" ht="23.25" customHeight="1" x14ac:dyDescent="0.2">
      <c r="A444" s="468"/>
      <c r="B444" s="469"/>
      <c r="C444" s="469"/>
      <c r="D444" s="469"/>
      <c r="E444" s="469"/>
      <c r="F444" s="469"/>
      <c r="G444" s="469"/>
      <c r="H444" s="468"/>
      <c r="I444" s="468"/>
      <c r="J444" s="468"/>
      <c r="K444" s="468"/>
      <c r="L444" s="468"/>
      <c r="M444" s="468"/>
      <c r="N444" s="468"/>
      <c r="O444" s="468"/>
    </row>
    <row r="445" spans="1:15" ht="23.25" customHeight="1" x14ac:dyDescent="0.2">
      <c r="A445" s="468"/>
      <c r="B445" s="469"/>
      <c r="C445" s="469"/>
      <c r="D445" s="469"/>
      <c r="E445" s="469"/>
      <c r="F445" s="469"/>
      <c r="G445" s="469"/>
      <c r="H445" s="468"/>
      <c r="I445" s="468"/>
      <c r="J445" s="468"/>
      <c r="K445" s="468"/>
      <c r="L445" s="468"/>
      <c r="M445" s="468"/>
      <c r="N445" s="468"/>
      <c r="O445" s="468"/>
    </row>
    <row r="446" spans="1:15" ht="23.25" customHeight="1" x14ac:dyDescent="0.2">
      <c r="A446" s="468"/>
      <c r="B446" s="469"/>
      <c r="C446" s="469"/>
      <c r="D446" s="469"/>
      <c r="E446" s="469"/>
      <c r="F446" s="469"/>
      <c r="G446" s="469"/>
      <c r="H446" s="468"/>
      <c r="I446" s="468"/>
      <c r="J446" s="468"/>
      <c r="K446" s="468"/>
      <c r="L446" s="468"/>
      <c r="M446" s="468"/>
      <c r="N446" s="468"/>
      <c r="O446" s="468"/>
    </row>
    <row r="447" spans="1:15" ht="23.25" customHeight="1" x14ac:dyDescent="0.2">
      <c r="A447" s="468"/>
      <c r="B447" s="469"/>
      <c r="C447" s="469"/>
      <c r="D447" s="469"/>
      <c r="E447" s="469"/>
      <c r="F447" s="469"/>
      <c r="G447" s="469"/>
      <c r="H447" s="468"/>
      <c r="I447" s="468"/>
      <c r="J447" s="468"/>
      <c r="K447" s="468"/>
      <c r="L447" s="468"/>
      <c r="M447" s="468"/>
      <c r="N447" s="468"/>
      <c r="O447" s="468"/>
    </row>
    <row r="448" spans="1:15" ht="23.25" customHeight="1" x14ac:dyDescent="0.2">
      <c r="A448" s="468"/>
      <c r="B448" s="469"/>
      <c r="C448" s="469"/>
      <c r="D448" s="469"/>
      <c r="E448" s="469"/>
      <c r="F448" s="469"/>
      <c r="G448" s="469"/>
      <c r="H448" s="468"/>
      <c r="I448" s="468"/>
      <c r="J448" s="468"/>
      <c r="K448" s="468"/>
      <c r="L448" s="468"/>
      <c r="M448" s="468"/>
      <c r="N448" s="468"/>
      <c r="O448" s="468"/>
    </row>
    <row r="449" spans="1:15" ht="23.25" customHeight="1" x14ac:dyDescent="0.2">
      <c r="A449" s="468"/>
      <c r="B449" s="469"/>
      <c r="C449" s="469"/>
      <c r="D449" s="469"/>
      <c r="E449" s="469"/>
      <c r="F449" s="469"/>
      <c r="G449" s="469"/>
      <c r="H449" s="468"/>
      <c r="I449" s="468"/>
      <c r="J449" s="468"/>
      <c r="K449" s="468"/>
      <c r="L449" s="468"/>
      <c r="M449" s="468"/>
      <c r="N449" s="468"/>
      <c r="O449" s="468"/>
    </row>
    <row r="450" spans="1:15" ht="23.25" customHeight="1" x14ac:dyDescent="0.2">
      <c r="A450" s="468"/>
      <c r="B450" s="469"/>
      <c r="C450" s="469"/>
      <c r="D450" s="469"/>
      <c r="E450" s="469"/>
      <c r="F450" s="469"/>
      <c r="G450" s="469"/>
      <c r="H450" s="468"/>
      <c r="I450" s="468"/>
      <c r="J450" s="468"/>
      <c r="K450" s="468"/>
      <c r="L450" s="468"/>
      <c r="M450" s="468"/>
      <c r="N450" s="468"/>
      <c r="O450" s="468"/>
    </row>
    <row r="451" spans="1:15" ht="23.25" customHeight="1" x14ac:dyDescent="0.2">
      <c r="A451" s="468"/>
      <c r="B451" s="469"/>
      <c r="C451" s="469"/>
      <c r="D451" s="469"/>
      <c r="E451" s="469"/>
      <c r="F451" s="469"/>
      <c r="G451" s="469"/>
      <c r="H451" s="468"/>
      <c r="I451" s="468"/>
      <c r="J451" s="468"/>
      <c r="K451" s="468"/>
      <c r="L451" s="468"/>
      <c r="M451" s="468"/>
      <c r="N451" s="468"/>
      <c r="O451" s="468"/>
    </row>
    <row r="452" spans="1:15" ht="23.25" customHeight="1" x14ac:dyDescent="0.2">
      <c r="A452" s="468"/>
      <c r="B452" s="469"/>
      <c r="C452" s="469"/>
      <c r="D452" s="469"/>
      <c r="E452" s="469"/>
      <c r="F452" s="469"/>
      <c r="G452" s="469"/>
      <c r="H452" s="468"/>
      <c r="I452" s="468"/>
      <c r="J452" s="468"/>
      <c r="K452" s="468"/>
      <c r="L452" s="468"/>
      <c r="M452" s="468"/>
      <c r="N452" s="468"/>
      <c r="O452" s="468"/>
    </row>
    <row r="453" spans="1:15" ht="23.25" customHeight="1" x14ac:dyDescent="0.2">
      <c r="A453" s="468"/>
      <c r="B453" s="469"/>
      <c r="C453" s="469"/>
      <c r="D453" s="469"/>
      <c r="E453" s="469"/>
      <c r="F453" s="469"/>
      <c r="G453" s="469"/>
      <c r="H453" s="468"/>
      <c r="I453" s="468"/>
      <c r="J453" s="468"/>
      <c r="K453" s="468"/>
      <c r="L453" s="468"/>
      <c r="M453" s="468"/>
      <c r="N453" s="468"/>
      <c r="O453" s="468"/>
    </row>
    <row r="454" spans="1:15" ht="23.25" customHeight="1" x14ac:dyDescent="0.2">
      <c r="A454" s="468"/>
      <c r="B454" s="469"/>
      <c r="C454" s="469"/>
      <c r="D454" s="469"/>
      <c r="E454" s="469"/>
      <c r="F454" s="469"/>
      <c r="G454" s="469"/>
      <c r="H454" s="468"/>
      <c r="I454" s="468"/>
      <c r="J454" s="468"/>
      <c r="K454" s="468"/>
      <c r="L454" s="468"/>
      <c r="M454" s="468"/>
      <c r="N454" s="468"/>
      <c r="O454" s="468"/>
    </row>
    <row r="455" spans="1:15" ht="23.25" customHeight="1" x14ac:dyDescent="0.2">
      <c r="A455" s="468"/>
      <c r="B455" s="469"/>
      <c r="C455" s="469"/>
      <c r="D455" s="469"/>
      <c r="E455" s="469"/>
      <c r="F455" s="469"/>
      <c r="G455" s="469"/>
      <c r="H455" s="468"/>
      <c r="I455" s="468"/>
      <c r="J455" s="468"/>
      <c r="K455" s="468"/>
      <c r="L455" s="468"/>
      <c r="M455" s="468"/>
      <c r="N455" s="468"/>
      <c r="O455" s="468"/>
    </row>
    <row r="456" spans="1:15" ht="23.25" customHeight="1" x14ac:dyDescent="0.2">
      <c r="A456" s="468"/>
      <c r="B456" s="469"/>
      <c r="C456" s="469"/>
      <c r="D456" s="469"/>
      <c r="E456" s="469"/>
      <c r="F456" s="469"/>
      <c r="G456" s="469"/>
      <c r="H456" s="468"/>
      <c r="I456" s="468"/>
      <c r="J456" s="468"/>
      <c r="K456" s="468"/>
      <c r="L456" s="468"/>
      <c r="M456" s="468"/>
      <c r="N456" s="468"/>
      <c r="O456" s="468"/>
    </row>
    <row r="457" spans="1:15" ht="23.25" customHeight="1" x14ac:dyDescent="0.2">
      <c r="A457" s="468"/>
      <c r="B457" s="469"/>
      <c r="C457" s="469"/>
      <c r="D457" s="469"/>
      <c r="E457" s="469"/>
      <c r="F457" s="469"/>
      <c r="G457" s="469"/>
      <c r="H457" s="468"/>
      <c r="I457" s="468"/>
      <c r="J457" s="468"/>
      <c r="K457" s="468"/>
      <c r="L457" s="468"/>
      <c r="M457" s="468"/>
      <c r="N457" s="468"/>
      <c r="O457" s="468"/>
    </row>
    <row r="458" spans="1:15" ht="23.25" customHeight="1" x14ac:dyDescent="0.2">
      <c r="A458" s="468"/>
      <c r="B458" s="469"/>
      <c r="C458" s="469"/>
      <c r="D458" s="469"/>
      <c r="E458" s="469"/>
      <c r="F458" s="469"/>
      <c r="G458" s="469"/>
      <c r="H458" s="468"/>
      <c r="I458" s="468"/>
      <c r="J458" s="468"/>
      <c r="K458" s="468"/>
      <c r="L458" s="468"/>
      <c r="M458" s="468"/>
      <c r="N458" s="468"/>
      <c r="O458" s="468"/>
    </row>
    <row r="459" spans="1:15" ht="23.25" customHeight="1" x14ac:dyDescent="0.2">
      <c r="A459" s="468"/>
      <c r="B459" s="469"/>
      <c r="C459" s="469"/>
      <c r="D459" s="469"/>
      <c r="E459" s="469"/>
      <c r="F459" s="469"/>
      <c r="G459" s="469"/>
      <c r="H459" s="468"/>
      <c r="I459" s="468"/>
      <c r="J459" s="468"/>
      <c r="K459" s="468"/>
      <c r="L459" s="468"/>
      <c r="M459" s="468"/>
      <c r="N459" s="468"/>
      <c r="O459" s="468"/>
    </row>
    <row r="460" spans="1:15" ht="23.25" customHeight="1" x14ac:dyDescent="0.2">
      <c r="A460" s="468"/>
      <c r="B460" s="469"/>
      <c r="C460" s="469"/>
      <c r="D460" s="469"/>
      <c r="E460" s="469"/>
      <c r="F460" s="469"/>
      <c r="G460" s="469"/>
      <c r="H460" s="468"/>
      <c r="I460" s="468"/>
      <c r="J460" s="468"/>
      <c r="K460" s="468"/>
      <c r="L460" s="468"/>
      <c r="M460" s="468"/>
      <c r="N460" s="468"/>
      <c r="O460" s="468"/>
    </row>
    <row r="461" spans="1:15" ht="23.25" customHeight="1" x14ac:dyDescent="0.2">
      <c r="A461" s="468"/>
      <c r="B461" s="469"/>
      <c r="C461" s="469"/>
      <c r="D461" s="469"/>
      <c r="E461" s="469"/>
      <c r="F461" s="469"/>
      <c r="G461" s="469"/>
      <c r="H461" s="468"/>
      <c r="I461" s="468"/>
      <c r="J461" s="468"/>
      <c r="K461" s="468"/>
      <c r="L461" s="468"/>
      <c r="M461" s="468"/>
      <c r="N461" s="468"/>
      <c r="O461" s="468"/>
    </row>
    <row r="462" spans="1:15" ht="23.25" customHeight="1" x14ac:dyDescent="0.2">
      <c r="A462" s="468"/>
      <c r="B462" s="469"/>
      <c r="C462" s="469"/>
      <c r="D462" s="469"/>
      <c r="E462" s="469"/>
      <c r="F462" s="469"/>
      <c r="G462" s="469"/>
      <c r="H462" s="468"/>
      <c r="I462" s="468"/>
      <c r="J462" s="468"/>
      <c r="K462" s="468"/>
      <c r="L462" s="468"/>
      <c r="M462" s="468"/>
      <c r="N462" s="468"/>
      <c r="O462" s="468"/>
    </row>
    <row r="463" spans="1:15" ht="23.25" customHeight="1" x14ac:dyDescent="0.2">
      <c r="A463" s="468"/>
      <c r="B463" s="469"/>
      <c r="C463" s="469"/>
      <c r="D463" s="469"/>
      <c r="E463" s="469"/>
      <c r="F463" s="469"/>
      <c r="G463" s="469"/>
      <c r="H463" s="468"/>
      <c r="I463" s="468"/>
      <c r="J463" s="468"/>
      <c r="K463" s="468"/>
      <c r="L463" s="468"/>
      <c r="M463" s="468"/>
      <c r="N463" s="468"/>
      <c r="O463" s="468"/>
    </row>
    <row r="464" spans="1:15" ht="23.25" customHeight="1" x14ac:dyDescent="0.2">
      <c r="A464" s="468"/>
      <c r="B464" s="469"/>
      <c r="C464" s="469"/>
      <c r="D464" s="469"/>
      <c r="E464" s="469"/>
      <c r="F464" s="469"/>
      <c r="G464" s="469"/>
      <c r="H464" s="468"/>
      <c r="I464" s="468"/>
      <c r="J464" s="468"/>
      <c r="K464" s="468"/>
      <c r="L464" s="468"/>
      <c r="M464" s="468"/>
      <c r="N464" s="468"/>
      <c r="O464" s="468"/>
    </row>
    <row r="465" spans="1:15" ht="23.25" customHeight="1" x14ac:dyDescent="0.2">
      <c r="A465" s="468"/>
      <c r="B465" s="469"/>
      <c r="C465" s="469"/>
      <c r="D465" s="469"/>
      <c r="E465" s="469"/>
      <c r="F465" s="469"/>
      <c r="G465" s="469"/>
      <c r="H465" s="468"/>
      <c r="I465" s="468"/>
      <c r="J465" s="468"/>
      <c r="K465" s="468"/>
      <c r="L465" s="468"/>
      <c r="M465" s="468"/>
      <c r="N465" s="468"/>
      <c r="O465" s="468"/>
    </row>
    <row r="466" spans="1:15" ht="23.25" customHeight="1" x14ac:dyDescent="0.2">
      <c r="A466" s="468"/>
      <c r="B466" s="469"/>
      <c r="C466" s="469"/>
      <c r="D466" s="469"/>
      <c r="E466" s="469"/>
      <c r="F466" s="469"/>
      <c r="G466" s="469"/>
      <c r="H466" s="468"/>
      <c r="I466" s="468"/>
      <c r="J466" s="468"/>
      <c r="K466" s="468"/>
      <c r="L466" s="468"/>
      <c r="M466" s="468"/>
      <c r="N466" s="468"/>
      <c r="O466" s="468"/>
    </row>
    <row r="467" spans="1:15" ht="23.25" customHeight="1" x14ac:dyDescent="0.2">
      <c r="A467" s="468"/>
      <c r="B467" s="469"/>
      <c r="C467" s="469"/>
      <c r="D467" s="469"/>
      <c r="E467" s="469"/>
      <c r="F467" s="469"/>
      <c r="G467" s="469"/>
      <c r="H467" s="468"/>
      <c r="I467" s="468"/>
      <c r="J467" s="468"/>
      <c r="K467" s="468"/>
      <c r="L467" s="468"/>
      <c r="M467" s="468"/>
      <c r="N467" s="468"/>
      <c r="O467" s="468"/>
    </row>
    <row r="468" spans="1:15" ht="23.25" customHeight="1" x14ac:dyDescent="0.2">
      <c r="A468" s="468"/>
      <c r="B468" s="469"/>
      <c r="C468" s="469"/>
      <c r="D468" s="469"/>
      <c r="E468" s="469"/>
      <c r="F468" s="469"/>
      <c r="G468" s="469"/>
      <c r="H468" s="468"/>
      <c r="I468" s="468"/>
      <c r="J468" s="468"/>
      <c r="K468" s="468"/>
      <c r="L468" s="468"/>
      <c r="M468" s="468"/>
      <c r="N468" s="468"/>
      <c r="O468" s="468"/>
    </row>
    <row r="469" spans="1:15" ht="23.25" customHeight="1" x14ac:dyDescent="0.2">
      <c r="A469" s="468"/>
      <c r="B469" s="469"/>
      <c r="C469" s="469"/>
      <c r="D469" s="469"/>
      <c r="E469" s="469"/>
      <c r="F469" s="469"/>
      <c r="G469" s="469"/>
      <c r="H469" s="468"/>
      <c r="I469" s="468"/>
      <c r="J469" s="468"/>
      <c r="K469" s="468"/>
      <c r="L469" s="468"/>
      <c r="M469" s="468"/>
      <c r="N469" s="468"/>
      <c r="O469" s="468"/>
    </row>
    <row r="470" spans="1:15" ht="23.25" customHeight="1" x14ac:dyDescent="0.2">
      <c r="A470" s="468"/>
      <c r="B470" s="469"/>
      <c r="C470" s="469"/>
      <c r="D470" s="469"/>
      <c r="E470" s="469"/>
      <c r="F470" s="469"/>
      <c r="G470" s="469"/>
      <c r="H470" s="468"/>
      <c r="I470" s="468"/>
      <c r="J470" s="468"/>
      <c r="K470" s="468"/>
      <c r="L470" s="468"/>
      <c r="M470" s="468"/>
      <c r="N470" s="468"/>
      <c r="O470" s="468"/>
    </row>
    <row r="471" spans="1:15" ht="23.25" customHeight="1" x14ac:dyDescent="0.2">
      <c r="A471" s="468"/>
      <c r="B471" s="469"/>
      <c r="C471" s="469"/>
      <c r="D471" s="469"/>
      <c r="E471" s="469"/>
      <c r="F471" s="469"/>
      <c r="G471" s="469"/>
      <c r="H471" s="468"/>
      <c r="I471" s="468"/>
      <c r="J471" s="468"/>
      <c r="K471" s="468"/>
      <c r="L471" s="468"/>
      <c r="M471" s="468"/>
      <c r="N471" s="468"/>
      <c r="O471" s="468"/>
    </row>
    <row r="472" spans="1:15" ht="23.25" customHeight="1" x14ac:dyDescent="0.2">
      <c r="A472" s="468"/>
      <c r="B472" s="469"/>
      <c r="C472" s="469"/>
      <c r="D472" s="469"/>
      <c r="E472" s="469"/>
      <c r="F472" s="469"/>
      <c r="G472" s="469"/>
      <c r="H472" s="468"/>
      <c r="I472" s="468"/>
      <c r="J472" s="468"/>
      <c r="K472" s="468"/>
      <c r="L472" s="468"/>
      <c r="M472" s="468"/>
      <c r="N472" s="468"/>
      <c r="O472" s="468"/>
    </row>
    <row r="473" spans="1:15" ht="23.25" customHeight="1" x14ac:dyDescent="0.2">
      <c r="A473" s="468"/>
      <c r="B473" s="469"/>
      <c r="C473" s="469"/>
      <c r="D473" s="469"/>
      <c r="E473" s="469"/>
      <c r="F473" s="469"/>
      <c r="G473" s="469"/>
      <c r="H473" s="468"/>
      <c r="I473" s="468"/>
      <c r="J473" s="468"/>
      <c r="K473" s="468"/>
      <c r="L473" s="468"/>
      <c r="M473" s="468"/>
      <c r="N473" s="468"/>
      <c r="O473" s="468"/>
    </row>
    <row r="474" spans="1:15" ht="23.25" customHeight="1" x14ac:dyDescent="0.2">
      <c r="A474" s="468"/>
      <c r="B474" s="469"/>
      <c r="C474" s="469"/>
      <c r="D474" s="469"/>
      <c r="E474" s="469"/>
      <c r="F474" s="469"/>
      <c r="G474" s="469"/>
      <c r="H474" s="468"/>
      <c r="I474" s="468"/>
      <c r="J474" s="468"/>
      <c r="K474" s="468"/>
      <c r="L474" s="468"/>
      <c r="M474" s="468"/>
      <c r="N474" s="468"/>
      <c r="O474" s="468"/>
    </row>
    <row r="475" spans="1:15" ht="23.25" customHeight="1" x14ac:dyDescent="0.2">
      <c r="A475" s="468"/>
      <c r="B475" s="469"/>
      <c r="C475" s="469"/>
      <c r="D475" s="469"/>
      <c r="E475" s="469"/>
      <c r="F475" s="469"/>
      <c r="G475" s="469"/>
      <c r="H475" s="468"/>
      <c r="I475" s="468"/>
      <c r="J475" s="468"/>
      <c r="K475" s="468"/>
      <c r="L475" s="468"/>
      <c r="M475" s="468"/>
      <c r="N475" s="468"/>
      <c r="O475" s="468"/>
    </row>
    <row r="476" spans="1:15" ht="23.25" customHeight="1" x14ac:dyDescent="0.2">
      <c r="A476" s="468"/>
      <c r="B476" s="469"/>
      <c r="C476" s="469"/>
      <c r="D476" s="469"/>
      <c r="E476" s="469"/>
      <c r="F476" s="469"/>
      <c r="G476" s="469"/>
      <c r="H476" s="468"/>
      <c r="I476" s="468"/>
      <c r="J476" s="468"/>
      <c r="K476" s="468"/>
      <c r="L476" s="468"/>
      <c r="M476" s="468"/>
      <c r="N476" s="468"/>
      <c r="O476" s="468"/>
    </row>
    <row r="477" spans="1:15" ht="23.25" customHeight="1" x14ac:dyDescent="0.2">
      <c r="A477" s="468"/>
      <c r="B477" s="469"/>
      <c r="C477" s="469"/>
      <c r="D477" s="469"/>
      <c r="E477" s="469"/>
      <c r="F477" s="469"/>
      <c r="G477" s="469"/>
      <c r="H477" s="468"/>
      <c r="I477" s="468"/>
      <c r="J477" s="468"/>
      <c r="K477" s="468"/>
      <c r="L477" s="468"/>
      <c r="M477" s="468"/>
      <c r="N477" s="468"/>
      <c r="O477" s="468"/>
    </row>
    <row r="478" spans="1:15" ht="23.25" customHeight="1" x14ac:dyDescent="0.2">
      <c r="A478" s="468"/>
      <c r="B478" s="469"/>
      <c r="C478" s="469"/>
      <c r="D478" s="469"/>
      <c r="E478" s="469"/>
      <c r="F478" s="469"/>
      <c r="G478" s="469"/>
      <c r="H478" s="468"/>
      <c r="I478" s="468"/>
      <c r="J478" s="468"/>
      <c r="K478" s="468"/>
      <c r="L478" s="468"/>
      <c r="M478" s="468"/>
      <c r="N478" s="468"/>
      <c r="O478" s="468"/>
    </row>
    <row r="479" spans="1:15" ht="23.25" customHeight="1" x14ac:dyDescent="0.2">
      <c r="A479" s="468"/>
      <c r="B479" s="469"/>
      <c r="C479" s="469"/>
      <c r="D479" s="469"/>
      <c r="E479" s="469"/>
      <c r="F479" s="469"/>
      <c r="G479" s="469"/>
      <c r="H479" s="468"/>
      <c r="I479" s="468"/>
      <c r="J479" s="468"/>
      <c r="K479" s="468"/>
      <c r="L479" s="468"/>
      <c r="M479" s="468"/>
      <c r="N479" s="468"/>
      <c r="O479" s="468"/>
    </row>
    <row r="480" spans="1:15" ht="23.25" customHeight="1" x14ac:dyDescent="0.2">
      <c r="A480" s="468"/>
      <c r="B480" s="469"/>
      <c r="C480" s="469"/>
      <c r="D480" s="469"/>
      <c r="E480" s="469"/>
      <c r="F480" s="469"/>
      <c r="G480" s="469"/>
      <c r="H480" s="468"/>
      <c r="I480" s="468"/>
      <c r="J480" s="468"/>
      <c r="K480" s="468"/>
      <c r="L480" s="468"/>
      <c r="M480" s="468"/>
      <c r="N480" s="468"/>
      <c r="O480" s="468"/>
    </row>
    <row r="481" spans="1:15" ht="23.25" customHeight="1" x14ac:dyDescent="0.2">
      <c r="A481" s="468"/>
      <c r="B481" s="469"/>
      <c r="C481" s="469"/>
      <c r="D481" s="469"/>
      <c r="E481" s="469"/>
      <c r="F481" s="469"/>
      <c r="G481" s="469"/>
      <c r="H481" s="468"/>
      <c r="I481" s="468"/>
      <c r="J481" s="468"/>
      <c r="K481" s="468"/>
      <c r="L481" s="468"/>
      <c r="M481" s="468"/>
      <c r="N481" s="468"/>
      <c r="O481" s="468"/>
    </row>
    <row r="482" spans="1:15" ht="23.25" customHeight="1" x14ac:dyDescent="0.2">
      <c r="A482" s="468"/>
      <c r="B482" s="469"/>
      <c r="C482" s="469"/>
      <c r="D482" s="469"/>
      <c r="E482" s="469"/>
      <c r="F482" s="469"/>
      <c r="G482" s="469"/>
      <c r="H482" s="468"/>
      <c r="I482" s="468"/>
      <c r="J482" s="468"/>
      <c r="K482" s="468"/>
      <c r="L482" s="468"/>
      <c r="M482" s="468"/>
      <c r="N482" s="468"/>
      <c r="O482" s="468"/>
    </row>
    <row r="483" spans="1:15" ht="23.25" customHeight="1" x14ac:dyDescent="0.2">
      <c r="A483" s="468"/>
      <c r="B483" s="469"/>
      <c r="C483" s="469"/>
      <c r="D483" s="469"/>
      <c r="E483" s="469"/>
      <c r="F483" s="469"/>
      <c r="G483" s="469"/>
      <c r="H483" s="468"/>
      <c r="I483" s="468"/>
      <c r="J483" s="468"/>
      <c r="K483" s="468"/>
      <c r="L483" s="468"/>
      <c r="M483" s="468"/>
      <c r="N483" s="468"/>
      <c r="O483" s="468"/>
    </row>
    <row r="484" spans="1:15" ht="23.25" customHeight="1" x14ac:dyDescent="0.2">
      <c r="A484" s="468"/>
      <c r="B484" s="469"/>
      <c r="C484" s="469"/>
      <c r="D484" s="469"/>
      <c r="E484" s="469"/>
      <c r="F484" s="469"/>
      <c r="G484" s="469"/>
      <c r="H484" s="468"/>
      <c r="I484" s="468"/>
      <c r="J484" s="468"/>
      <c r="K484" s="468"/>
      <c r="L484" s="468"/>
      <c r="M484" s="468"/>
      <c r="N484" s="468"/>
      <c r="O484" s="468"/>
    </row>
    <row r="485" spans="1:15" ht="23.25" customHeight="1" x14ac:dyDescent="0.2">
      <c r="A485" s="468"/>
      <c r="B485" s="469"/>
      <c r="C485" s="469"/>
      <c r="D485" s="469"/>
      <c r="E485" s="469"/>
      <c r="F485" s="469"/>
      <c r="G485" s="469"/>
      <c r="H485" s="468"/>
      <c r="I485" s="468"/>
      <c r="J485" s="468"/>
      <c r="K485" s="468"/>
      <c r="L485" s="468"/>
      <c r="M485" s="468"/>
      <c r="N485" s="468"/>
      <c r="O485" s="468"/>
    </row>
    <row r="486" spans="1:15" ht="23.25" customHeight="1" x14ac:dyDescent="0.2">
      <c r="A486" s="468"/>
      <c r="B486" s="469"/>
      <c r="C486" s="469"/>
      <c r="D486" s="469"/>
      <c r="E486" s="469"/>
      <c r="F486" s="469"/>
      <c r="G486" s="469"/>
      <c r="H486" s="468"/>
      <c r="I486" s="468"/>
      <c r="J486" s="468"/>
      <c r="K486" s="468"/>
      <c r="L486" s="468"/>
      <c r="M486" s="468"/>
      <c r="N486" s="468"/>
      <c r="O486" s="468"/>
    </row>
    <row r="487" spans="1:15" ht="23.25" customHeight="1" x14ac:dyDescent="0.2">
      <c r="A487" s="468"/>
      <c r="B487" s="469"/>
      <c r="C487" s="469"/>
      <c r="D487" s="469"/>
      <c r="E487" s="469"/>
      <c r="F487" s="469"/>
      <c r="G487" s="469"/>
      <c r="H487" s="468"/>
      <c r="I487" s="468"/>
      <c r="J487" s="468"/>
      <c r="K487" s="468"/>
      <c r="L487" s="468"/>
      <c r="M487" s="468"/>
      <c r="N487" s="468"/>
      <c r="O487" s="468"/>
    </row>
    <row r="488" spans="1:15" ht="23.25" customHeight="1" x14ac:dyDescent="0.2">
      <c r="A488" s="468"/>
      <c r="B488" s="469"/>
      <c r="C488" s="469"/>
      <c r="D488" s="469"/>
      <c r="E488" s="469"/>
      <c r="F488" s="469"/>
      <c r="G488" s="469"/>
      <c r="H488" s="468"/>
      <c r="I488" s="468"/>
      <c r="J488" s="468"/>
      <c r="K488" s="468"/>
      <c r="L488" s="468"/>
      <c r="M488" s="468"/>
      <c r="N488" s="468"/>
      <c r="O488" s="468"/>
    </row>
    <row r="489" spans="1:15" ht="23.25" customHeight="1" x14ac:dyDescent="0.2">
      <c r="A489" s="468"/>
      <c r="B489" s="469"/>
      <c r="C489" s="469"/>
      <c r="D489" s="469"/>
      <c r="E489" s="469"/>
      <c r="F489" s="469"/>
      <c r="G489" s="469"/>
      <c r="H489" s="468"/>
      <c r="I489" s="468"/>
      <c r="J489" s="468"/>
      <c r="K489" s="468"/>
      <c r="L489" s="468"/>
      <c r="M489" s="468"/>
      <c r="N489" s="468"/>
      <c r="O489" s="468"/>
    </row>
    <row r="490" spans="1:15" ht="23.25" customHeight="1" x14ac:dyDescent="0.2">
      <c r="A490" s="468"/>
      <c r="B490" s="469"/>
      <c r="C490" s="469"/>
      <c r="D490" s="469"/>
      <c r="E490" s="469"/>
      <c r="F490" s="469"/>
      <c r="G490" s="469"/>
      <c r="H490" s="468"/>
      <c r="I490" s="468"/>
      <c r="J490" s="468"/>
      <c r="K490" s="468"/>
      <c r="L490" s="468"/>
      <c r="M490" s="468"/>
      <c r="N490" s="468"/>
      <c r="O490" s="468"/>
    </row>
    <row r="491" spans="1:15" ht="23.25" customHeight="1" x14ac:dyDescent="0.2">
      <c r="A491" s="468"/>
      <c r="B491" s="469"/>
      <c r="C491" s="469"/>
      <c r="D491" s="469"/>
      <c r="E491" s="469"/>
      <c r="F491" s="469"/>
      <c r="G491" s="469"/>
      <c r="H491" s="468"/>
      <c r="I491" s="468"/>
      <c r="J491" s="468"/>
      <c r="K491" s="468"/>
      <c r="L491" s="468"/>
      <c r="M491" s="468"/>
      <c r="N491" s="468"/>
      <c r="O491" s="468"/>
    </row>
    <row r="492" spans="1:15" ht="23.25" customHeight="1" x14ac:dyDescent="0.2">
      <c r="A492" s="468"/>
      <c r="B492" s="469"/>
      <c r="C492" s="469"/>
      <c r="D492" s="469"/>
      <c r="E492" s="469"/>
      <c r="F492" s="469"/>
      <c r="G492" s="469"/>
      <c r="H492" s="468"/>
      <c r="I492" s="468"/>
      <c r="J492" s="468"/>
      <c r="K492" s="468"/>
      <c r="L492" s="468"/>
      <c r="M492" s="468"/>
      <c r="N492" s="468"/>
      <c r="O492" s="468"/>
    </row>
    <row r="493" spans="1:15" ht="23.25" customHeight="1" x14ac:dyDescent="0.2">
      <c r="A493" s="468"/>
      <c r="B493" s="469"/>
      <c r="C493" s="469"/>
      <c r="D493" s="469"/>
      <c r="E493" s="469"/>
      <c r="F493" s="469"/>
      <c r="G493" s="469"/>
      <c r="H493" s="468"/>
      <c r="I493" s="468"/>
      <c r="J493" s="468"/>
      <c r="K493" s="468"/>
      <c r="L493" s="468"/>
      <c r="M493" s="468"/>
      <c r="N493" s="468"/>
      <c r="O493" s="468"/>
    </row>
    <row r="494" spans="1:15" ht="23.25" customHeight="1" x14ac:dyDescent="0.2">
      <c r="A494" s="468"/>
      <c r="B494" s="469"/>
      <c r="C494" s="469"/>
      <c r="D494" s="469"/>
      <c r="E494" s="469"/>
      <c r="F494" s="469"/>
      <c r="G494" s="469"/>
      <c r="H494" s="468"/>
      <c r="I494" s="468"/>
      <c r="J494" s="468"/>
      <c r="K494" s="468"/>
      <c r="L494" s="468"/>
      <c r="M494" s="468"/>
      <c r="N494" s="468"/>
      <c r="O494" s="468"/>
    </row>
    <row r="495" spans="1:15" ht="23.25" customHeight="1" x14ac:dyDescent="0.2">
      <c r="A495" s="468"/>
      <c r="B495" s="469"/>
      <c r="C495" s="469"/>
      <c r="D495" s="469"/>
      <c r="E495" s="469"/>
      <c r="F495" s="469"/>
      <c r="G495" s="469"/>
      <c r="H495" s="468"/>
      <c r="I495" s="468"/>
      <c r="J495" s="468"/>
      <c r="K495" s="468"/>
      <c r="L495" s="468"/>
      <c r="M495" s="468"/>
      <c r="N495" s="468"/>
      <c r="O495" s="468"/>
    </row>
    <row r="496" spans="1:15" ht="23.25" customHeight="1" x14ac:dyDescent="0.2">
      <c r="A496" s="468"/>
      <c r="B496" s="469"/>
      <c r="C496" s="469"/>
      <c r="D496" s="469"/>
      <c r="E496" s="469"/>
      <c r="F496" s="469"/>
      <c r="G496" s="469"/>
      <c r="H496" s="468"/>
      <c r="I496" s="468"/>
      <c r="J496" s="468"/>
      <c r="K496" s="468"/>
      <c r="L496" s="468"/>
      <c r="M496" s="468"/>
      <c r="N496" s="468"/>
      <c r="O496" s="468"/>
    </row>
    <row r="497" spans="1:15" ht="23.25" customHeight="1" x14ac:dyDescent="0.2">
      <c r="A497" s="468"/>
      <c r="B497" s="469"/>
      <c r="C497" s="469"/>
      <c r="D497" s="469"/>
      <c r="E497" s="469"/>
      <c r="F497" s="469"/>
      <c r="G497" s="469"/>
      <c r="H497" s="468"/>
      <c r="I497" s="468"/>
      <c r="J497" s="468"/>
      <c r="K497" s="468"/>
      <c r="L497" s="468"/>
      <c r="M497" s="468"/>
      <c r="N497" s="468"/>
      <c r="O497" s="468"/>
    </row>
    <row r="498" spans="1:15" ht="23.25" customHeight="1" x14ac:dyDescent="0.2">
      <c r="A498" s="468"/>
      <c r="B498" s="469"/>
      <c r="C498" s="469"/>
      <c r="D498" s="469"/>
      <c r="E498" s="469"/>
      <c r="F498" s="469"/>
      <c r="G498" s="469"/>
      <c r="H498" s="468"/>
      <c r="I498" s="468"/>
      <c r="J498" s="468"/>
      <c r="K498" s="468"/>
      <c r="L498" s="468"/>
      <c r="M498" s="468"/>
      <c r="N498" s="468"/>
      <c r="O498" s="468"/>
    </row>
    <row r="499" spans="1:15" ht="23.25" customHeight="1" x14ac:dyDescent="0.2">
      <c r="A499" s="468"/>
      <c r="B499" s="469"/>
      <c r="C499" s="469"/>
      <c r="D499" s="469"/>
      <c r="E499" s="469"/>
      <c r="F499" s="469"/>
      <c r="G499" s="469"/>
      <c r="H499" s="468"/>
      <c r="I499" s="468"/>
      <c r="J499" s="468"/>
      <c r="K499" s="468"/>
      <c r="L499" s="468"/>
      <c r="M499" s="468"/>
      <c r="N499" s="468"/>
      <c r="O499" s="468"/>
    </row>
    <row r="500" spans="1:15" ht="23.25" customHeight="1" x14ac:dyDescent="0.2">
      <c r="A500" s="468"/>
      <c r="B500" s="469"/>
      <c r="C500" s="469"/>
      <c r="D500" s="469"/>
      <c r="E500" s="469"/>
      <c r="F500" s="469"/>
      <c r="G500" s="469"/>
      <c r="H500" s="468"/>
      <c r="I500" s="468"/>
      <c r="J500" s="468"/>
      <c r="K500" s="468"/>
      <c r="L500" s="468"/>
      <c r="M500" s="468"/>
      <c r="N500" s="468"/>
      <c r="O500" s="468"/>
    </row>
    <row r="501" spans="1:15" ht="23.25" customHeight="1" x14ac:dyDescent="0.2">
      <c r="A501" s="468"/>
      <c r="B501" s="469"/>
      <c r="C501" s="469"/>
      <c r="D501" s="469"/>
      <c r="E501" s="469"/>
      <c r="F501" s="469"/>
      <c r="G501" s="469"/>
      <c r="H501" s="468"/>
      <c r="I501" s="468"/>
      <c r="J501" s="468"/>
      <c r="K501" s="468"/>
      <c r="L501" s="468"/>
      <c r="M501" s="468"/>
      <c r="N501" s="468"/>
      <c r="O501" s="468"/>
    </row>
    <row r="502" spans="1:15" ht="23.25" customHeight="1" x14ac:dyDescent="0.2">
      <c r="A502" s="468"/>
      <c r="B502" s="469"/>
      <c r="C502" s="469"/>
      <c r="D502" s="469"/>
      <c r="E502" s="469"/>
      <c r="F502" s="469"/>
      <c r="G502" s="469"/>
      <c r="H502" s="468"/>
      <c r="I502" s="468"/>
      <c r="J502" s="468"/>
      <c r="K502" s="468"/>
      <c r="L502" s="468"/>
      <c r="M502" s="468"/>
      <c r="N502" s="468"/>
      <c r="O502" s="468"/>
    </row>
    <row r="503" spans="1:15" ht="23.25" customHeight="1" x14ac:dyDescent="0.2">
      <c r="A503" s="468"/>
      <c r="B503" s="469"/>
      <c r="C503" s="469"/>
      <c r="D503" s="469"/>
      <c r="E503" s="469"/>
      <c r="F503" s="469"/>
      <c r="G503" s="469"/>
      <c r="H503" s="468"/>
      <c r="I503" s="468"/>
      <c r="J503" s="468"/>
      <c r="K503" s="468"/>
      <c r="L503" s="468"/>
      <c r="M503" s="468"/>
      <c r="N503" s="468"/>
      <c r="O503" s="468"/>
    </row>
    <row r="504" spans="1:15" ht="23.25" customHeight="1" x14ac:dyDescent="0.2">
      <c r="A504" s="468"/>
      <c r="B504" s="469"/>
      <c r="C504" s="469"/>
      <c r="D504" s="469"/>
      <c r="E504" s="469"/>
      <c r="F504" s="469"/>
      <c r="G504" s="469"/>
      <c r="H504" s="468"/>
      <c r="I504" s="468"/>
      <c r="J504" s="468"/>
      <c r="K504" s="468"/>
      <c r="L504" s="468"/>
      <c r="M504" s="468"/>
      <c r="N504" s="468"/>
      <c r="O504" s="468"/>
    </row>
    <row r="505" spans="1:15" ht="23.25" customHeight="1" x14ac:dyDescent="0.2">
      <c r="A505" s="468"/>
      <c r="B505" s="469"/>
      <c r="C505" s="469"/>
      <c r="D505" s="469"/>
      <c r="E505" s="469"/>
      <c r="F505" s="469"/>
      <c r="G505" s="469"/>
      <c r="H505" s="468"/>
      <c r="I505" s="468"/>
      <c r="J505" s="468"/>
      <c r="K505" s="468"/>
      <c r="L505" s="468"/>
      <c r="M505" s="468"/>
      <c r="N505" s="468"/>
      <c r="O505" s="468"/>
    </row>
    <row r="506" spans="1:15" ht="23.25" customHeight="1" x14ac:dyDescent="0.2">
      <c r="A506" s="468"/>
      <c r="B506" s="469"/>
      <c r="C506" s="469"/>
      <c r="D506" s="469"/>
      <c r="E506" s="469"/>
      <c r="F506" s="469"/>
      <c r="G506" s="469"/>
      <c r="H506" s="468"/>
      <c r="I506" s="468"/>
      <c r="J506" s="468"/>
      <c r="K506" s="468"/>
      <c r="L506" s="468"/>
      <c r="M506" s="468"/>
      <c r="N506" s="468"/>
      <c r="O506" s="468"/>
    </row>
    <row r="507" spans="1:15" ht="23.25" customHeight="1" x14ac:dyDescent="0.2">
      <c r="A507" s="468"/>
      <c r="B507" s="469"/>
      <c r="C507" s="469"/>
      <c r="D507" s="469"/>
      <c r="E507" s="469"/>
      <c r="F507" s="469"/>
      <c r="G507" s="469"/>
      <c r="H507" s="468"/>
      <c r="I507" s="468"/>
      <c r="J507" s="468"/>
      <c r="K507" s="468"/>
      <c r="L507" s="468"/>
      <c r="M507" s="468"/>
      <c r="N507" s="468"/>
      <c r="O507" s="468"/>
    </row>
    <row r="508" spans="1:15" ht="23.25" customHeight="1" x14ac:dyDescent="0.2">
      <c r="A508" s="468"/>
      <c r="B508" s="469"/>
      <c r="C508" s="469"/>
      <c r="D508" s="469"/>
      <c r="E508" s="469"/>
      <c r="F508" s="469"/>
      <c r="G508" s="469"/>
      <c r="H508" s="468"/>
      <c r="I508" s="468"/>
      <c r="J508" s="468"/>
      <c r="K508" s="468"/>
      <c r="L508" s="468"/>
      <c r="M508" s="468"/>
      <c r="N508" s="468"/>
      <c r="O508" s="468"/>
    </row>
    <row r="509" spans="1:15" ht="23.25" customHeight="1" x14ac:dyDescent="0.2">
      <c r="A509" s="468"/>
      <c r="B509" s="469"/>
      <c r="C509" s="469"/>
      <c r="D509" s="469"/>
      <c r="E509" s="469"/>
      <c r="F509" s="469"/>
      <c r="G509" s="469"/>
      <c r="H509" s="468"/>
      <c r="I509" s="468"/>
      <c r="J509" s="468"/>
      <c r="K509" s="468"/>
      <c r="L509" s="468"/>
      <c r="M509" s="468"/>
      <c r="N509" s="468"/>
      <c r="O509" s="468"/>
    </row>
    <row r="510" spans="1:15" ht="23.25" customHeight="1" x14ac:dyDescent="0.2">
      <c r="A510" s="468"/>
      <c r="B510" s="469"/>
      <c r="C510" s="469"/>
      <c r="D510" s="469"/>
      <c r="E510" s="469"/>
      <c r="F510" s="469"/>
      <c r="G510" s="469"/>
      <c r="H510" s="468"/>
      <c r="I510" s="468"/>
      <c r="J510" s="468"/>
      <c r="K510" s="468"/>
      <c r="L510" s="468"/>
      <c r="M510" s="468"/>
      <c r="N510" s="468"/>
      <c r="O510" s="468"/>
    </row>
    <row r="511" spans="1:15" ht="23.25" customHeight="1" x14ac:dyDescent="0.2">
      <c r="A511" s="468"/>
      <c r="B511" s="469"/>
      <c r="C511" s="469"/>
      <c r="D511" s="469"/>
      <c r="E511" s="469"/>
      <c r="F511" s="469"/>
      <c r="G511" s="469"/>
      <c r="H511" s="468"/>
      <c r="I511" s="468"/>
      <c r="J511" s="468"/>
      <c r="K511" s="468"/>
      <c r="L511" s="468"/>
      <c r="M511" s="468"/>
      <c r="N511" s="468"/>
      <c r="O511" s="468"/>
    </row>
    <row r="512" spans="1:15" ht="23.25" customHeight="1" x14ac:dyDescent="0.2">
      <c r="A512" s="468"/>
      <c r="B512" s="469"/>
      <c r="C512" s="469"/>
      <c r="D512" s="469"/>
      <c r="E512" s="469"/>
      <c r="F512" s="469"/>
      <c r="G512" s="469"/>
      <c r="H512" s="468"/>
      <c r="I512" s="468"/>
      <c r="J512" s="468"/>
      <c r="K512" s="468"/>
      <c r="L512" s="468"/>
      <c r="M512" s="468"/>
      <c r="N512" s="468"/>
      <c r="O512" s="468"/>
    </row>
    <row r="513" spans="1:15" ht="23.25" customHeight="1" x14ac:dyDescent="0.2">
      <c r="A513" s="468"/>
      <c r="B513" s="469"/>
      <c r="C513" s="469"/>
      <c r="D513" s="469"/>
      <c r="E513" s="469"/>
      <c r="F513" s="469"/>
      <c r="G513" s="469"/>
      <c r="H513" s="468"/>
      <c r="I513" s="468"/>
      <c r="J513" s="468"/>
      <c r="K513" s="468"/>
      <c r="L513" s="468"/>
      <c r="M513" s="468"/>
      <c r="N513" s="468"/>
      <c r="O513" s="468"/>
    </row>
    <row r="514" spans="1:15" ht="23.25" customHeight="1" x14ac:dyDescent="0.2">
      <c r="A514" s="468"/>
      <c r="B514" s="469"/>
      <c r="C514" s="469"/>
      <c r="D514" s="469"/>
      <c r="E514" s="469"/>
      <c r="F514" s="469"/>
      <c r="G514" s="469"/>
      <c r="H514" s="468"/>
      <c r="I514" s="468"/>
      <c r="J514" s="468"/>
      <c r="K514" s="468"/>
      <c r="L514" s="468"/>
      <c r="M514" s="468"/>
      <c r="N514" s="468"/>
      <c r="O514" s="468"/>
    </row>
    <row r="515" spans="1:15" ht="23.25" customHeight="1" x14ac:dyDescent="0.2">
      <c r="A515" s="468"/>
      <c r="B515" s="469"/>
      <c r="C515" s="469"/>
      <c r="D515" s="469"/>
      <c r="E515" s="469"/>
      <c r="F515" s="469"/>
      <c r="G515" s="469"/>
      <c r="H515" s="468"/>
      <c r="I515" s="468"/>
      <c r="J515" s="468"/>
      <c r="K515" s="468"/>
      <c r="L515" s="468"/>
      <c r="M515" s="468"/>
      <c r="N515" s="468"/>
      <c r="O515" s="468"/>
    </row>
    <row r="516" spans="1:15" ht="23.25" customHeight="1" x14ac:dyDescent="0.2">
      <c r="A516" s="468"/>
      <c r="B516" s="469"/>
      <c r="C516" s="469"/>
      <c r="D516" s="469"/>
      <c r="E516" s="469"/>
      <c r="F516" s="469"/>
      <c r="G516" s="469"/>
      <c r="H516" s="468"/>
      <c r="I516" s="468"/>
      <c r="J516" s="468"/>
      <c r="K516" s="468"/>
      <c r="L516" s="468"/>
      <c r="M516" s="468"/>
      <c r="N516" s="468"/>
      <c r="O516" s="468"/>
    </row>
    <row r="517" spans="1:15" ht="23.25" customHeight="1" x14ac:dyDescent="0.2">
      <c r="A517" s="468"/>
      <c r="B517" s="469"/>
      <c r="C517" s="469"/>
      <c r="D517" s="469"/>
      <c r="E517" s="469"/>
      <c r="F517" s="469"/>
      <c r="G517" s="469"/>
      <c r="H517" s="468"/>
      <c r="I517" s="468"/>
      <c r="J517" s="468"/>
      <c r="K517" s="468"/>
      <c r="L517" s="468"/>
      <c r="M517" s="468"/>
      <c r="N517" s="468"/>
      <c r="O517" s="468"/>
    </row>
    <row r="518" spans="1:15" ht="23.25" customHeight="1" x14ac:dyDescent="0.2">
      <c r="A518" s="468"/>
      <c r="B518" s="469"/>
      <c r="C518" s="469"/>
      <c r="D518" s="469"/>
      <c r="E518" s="469"/>
      <c r="F518" s="469"/>
      <c r="G518" s="469"/>
      <c r="H518" s="468"/>
      <c r="I518" s="468"/>
      <c r="J518" s="468"/>
      <c r="K518" s="468"/>
      <c r="L518" s="468"/>
      <c r="M518" s="468"/>
      <c r="N518" s="468"/>
      <c r="O518" s="468"/>
    </row>
    <row r="519" spans="1:15" ht="23.25" customHeight="1" x14ac:dyDescent="0.2">
      <c r="A519" s="468"/>
      <c r="B519" s="469"/>
      <c r="C519" s="469"/>
      <c r="D519" s="469"/>
      <c r="E519" s="469"/>
      <c r="F519" s="469"/>
      <c r="G519" s="469"/>
      <c r="H519" s="468"/>
      <c r="I519" s="468"/>
      <c r="J519" s="468"/>
      <c r="K519" s="468"/>
      <c r="L519" s="468"/>
      <c r="M519" s="468"/>
      <c r="N519" s="468"/>
      <c r="O519" s="468"/>
    </row>
    <row r="520" spans="1:15" ht="23.25" customHeight="1" x14ac:dyDescent="0.2">
      <c r="A520" s="468"/>
      <c r="B520" s="469"/>
      <c r="C520" s="469"/>
      <c r="D520" s="469"/>
      <c r="E520" s="469"/>
      <c r="F520" s="469"/>
      <c r="G520" s="469"/>
      <c r="H520" s="468"/>
      <c r="I520" s="468"/>
      <c r="J520" s="468"/>
      <c r="K520" s="468"/>
      <c r="L520" s="468"/>
      <c r="M520" s="468"/>
      <c r="N520" s="468"/>
      <c r="O520" s="468"/>
    </row>
    <row r="521" spans="1:15" ht="23.25" customHeight="1" x14ac:dyDescent="0.2">
      <c r="A521" s="468"/>
      <c r="B521" s="469"/>
      <c r="C521" s="469"/>
      <c r="D521" s="469"/>
      <c r="E521" s="469"/>
      <c r="F521" s="469"/>
      <c r="G521" s="469"/>
      <c r="H521" s="468"/>
      <c r="I521" s="468"/>
      <c r="J521" s="468"/>
      <c r="K521" s="468"/>
      <c r="L521" s="468"/>
      <c r="M521" s="468"/>
      <c r="N521" s="468"/>
      <c r="O521" s="468"/>
    </row>
    <row r="522" spans="1:15" ht="23.25" customHeight="1" x14ac:dyDescent="0.2">
      <c r="A522" s="468"/>
      <c r="B522" s="469"/>
      <c r="C522" s="469"/>
      <c r="D522" s="469"/>
      <c r="E522" s="469"/>
      <c r="F522" s="469"/>
      <c r="G522" s="469"/>
      <c r="H522" s="468"/>
      <c r="I522" s="468"/>
      <c r="J522" s="468"/>
      <c r="K522" s="468"/>
      <c r="L522" s="468"/>
      <c r="M522" s="468"/>
      <c r="N522" s="468"/>
      <c r="O522" s="468"/>
    </row>
    <row r="523" spans="1:15" ht="23.25" customHeight="1" x14ac:dyDescent="0.2">
      <c r="A523" s="468"/>
      <c r="B523" s="469"/>
      <c r="C523" s="469"/>
      <c r="D523" s="469"/>
      <c r="E523" s="469"/>
      <c r="F523" s="469"/>
      <c r="G523" s="469"/>
      <c r="H523" s="468"/>
      <c r="I523" s="468"/>
      <c r="J523" s="468"/>
      <c r="K523" s="468"/>
      <c r="L523" s="468"/>
      <c r="M523" s="468"/>
      <c r="N523" s="468"/>
      <c r="O523" s="468"/>
    </row>
    <row r="524" spans="1:15" ht="23.25" customHeight="1" x14ac:dyDescent="0.2">
      <c r="A524" s="468"/>
      <c r="B524" s="469"/>
      <c r="C524" s="469"/>
      <c r="D524" s="469"/>
      <c r="E524" s="469"/>
      <c r="F524" s="469"/>
      <c r="G524" s="469"/>
      <c r="H524" s="468"/>
      <c r="I524" s="468"/>
      <c r="J524" s="468"/>
      <c r="K524" s="468"/>
      <c r="L524" s="468"/>
      <c r="M524" s="468"/>
      <c r="N524" s="468"/>
      <c r="O524" s="468"/>
    </row>
    <row r="525" spans="1:15" ht="23.25" customHeight="1" x14ac:dyDescent="0.2">
      <c r="A525" s="468"/>
      <c r="B525" s="469"/>
      <c r="C525" s="469"/>
      <c r="D525" s="469"/>
      <c r="E525" s="469"/>
      <c r="F525" s="469"/>
      <c r="G525" s="469"/>
      <c r="H525" s="468"/>
      <c r="I525" s="468"/>
      <c r="J525" s="468"/>
      <c r="K525" s="468"/>
      <c r="L525" s="468"/>
      <c r="M525" s="468"/>
      <c r="N525" s="468"/>
      <c r="O525" s="468"/>
    </row>
    <row r="526" spans="1:15" ht="23.25" customHeight="1" x14ac:dyDescent="0.2">
      <c r="A526" s="468"/>
      <c r="B526" s="469"/>
      <c r="C526" s="469"/>
      <c r="D526" s="469"/>
      <c r="E526" s="469"/>
      <c r="F526" s="469"/>
      <c r="G526" s="469"/>
      <c r="H526" s="468"/>
      <c r="I526" s="468"/>
      <c r="J526" s="468"/>
      <c r="K526" s="468"/>
      <c r="L526" s="468"/>
      <c r="M526" s="468"/>
      <c r="N526" s="468"/>
      <c r="O526" s="468"/>
    </row>
    <row r="527" spans="1:15" ht="23.25" customHeight="1" x14ac:dyDescent="0.2">
      <c r="A527" s="468"/>
      <c r="B527" s="469"/>
      <c r="C527" s="469"/>
      <c r="D527" s="469"/>
      <c r="E527" s="469"/>
      <c r="F527" s="469"/>
      <c r="G527" s="469"/>
      <c r="H527" s="468"/>
      <c r="I527" s="468"/>
      <c r="J527" s="468"/>
      <c r="K527" s="468"/>
      <c r="L527" s="468"/>
      <c r="M527" s="468"/>
      <c r="N527" s="468"/>
      <c r="O527" s="468"/>
    </row>
    <row r="528" spans="1:15" ht="23.25" customHeight="1" x14ac:dyDescent="0.2">
      <c r="A528" s="468"/>
      <c r="B528" s="469"/>
      <c r="C528" s="469"/>
      <c r="D528" s="469"/>
      <c r="E528" s="469"/>
      <c r="F528" s="469"/>
      <c r="G528" s="469"/>
      <c r="H528" s="468"/>
      <c r="I528" s="468"/>
      <c r="J528" s="468"/>
      <c r="K528" s="468"/>
      <c r="L528" s="468"/>
      <c r="M528" s="468"/>
      <c r="N528" s="468"/>
      <c r="O528" s="468"/>
    </row>
    <row r="529" spans="1:15" ht="23.25" customHeight="1" x14ac:dyDescent="0.2">
      <c r="A529" s="468"/>
      <c r="B529" s="469"/>
      <c r="C529" s="469"/>
      <c r="D529" s="469"/>
      <c r="E529" s="469"/>
      <c r="F529" s="469"/>
      <c r="G529" s="469"/>
      <c r="H529" s="468"/>
      <c r="I529" s="468"/>
      <c r="J529" s="468"/>
      <c r="K529" s="468"/>
      <c r="L529" s="468"/>
      <c r="M529" s="468"/>
      <c r="N529" s="468"/>
      <c r="O529" s="468"/>
    </row>
    <row r="530" spans="1:15" ht="23.25" customHeight="1" x14ac:dyDescent="0.2">
      <c r="A530" s="468"/>
      <c r="B530" s="469"/>
      <c r="C530" s="469"/>
      <c r="D530" s="469"/>
      <c r="E530" s="469"/>
      <c r="F530" s="469"/>
      <c r="G530" s="469"/>
      <c r="H530" s="468"/>
      <c r="I530" s="468"/>
      <c r="J530" s="468"/>
      <c r="K530" s="468"/>
      <c r="L530" s="468"/>
      <c r="M530" s="468"/>
      <c r="N530" s="468"/>
      <c r="O530" s="468"/>
    </row>
    <row r="531" spans="1:15" ht="23.25" customHeight="1" x14ac:dyDescent="0.2">
      <c r="A531" s="468"/>
      <c r="B531" s="469"/>
      <c r="C531" s="469"/>
      <c r="D531" s="469"/>
      <c r="E531" s="469"/>
      <c r="F531" s="469"/>
      <c r="G531" s="469"/>
      <c r="H531" s="468"/>
      <c r="I531" s="468"/>
      <c r="J531" s="468"/>
      <c r="K531" s="468"/>
      <c r="L531" s="468"/>
      <c r="M531" s="468"/>
      <c r="N531" s="468"/>
      <c r="O531" s="468"/>
    </row>
    <row r="532" spans="1:15" ht="23.25" customHeight="1" x14ac:dyDescent="0.2">
      <c r="A532" s="468"/>
      <c r="B532" s="469"/>
      <c r="C532" s="469"/>
      <c r="D532" s="469"/>
      <c r="E532" s="469"/>
      <c r="F532" s="469"/>
      <c r="G532" s="469"/>
      <c r="H532" s="468"/>
      <c r="I532" s="468"/>
      <c r="J532" s="468"/>
      <c r="K532" s="468"/>
      <c r="L532" s="468"/>
      <c r="M532" s="468"/>
      <c r="N532" s="468"/>
      <c r="O532" s="468"/>
    </row>
    <row r="533" spans="1:15" ht="23.25" customHeight="1" x14ac:dyDescent="0.2">
      <c r="A533" s="468"/>
      <c r="B533" s="469"/>
      <c r="C533" s="469"/>
      <c r="D533" s="469"/>
      <c r="E533" s="469"/>
      <c r="F533" s="469"/>
      <c r="G533" s="469"/>
      <c r="H533" s="468"/>
      <c r="I533" s="468"/>
      <c r="J533" s="468"/>
      <c r="K533" s="468"/>
      <c r="L533" s="468"/>
      <c r="M533" s="468"/>
      <c r="N533" s="468"/>
      <c r="O533" s="468"/>
    </row>
    <row r="534" spans="1:15" ht="23.25" customHeight="1" x14ac:dyDescent="0.2">
      <c r="A534" s="468"/>
      <c r="B534" s="469"/>
      <c r="C534" s="469"/>
      <c r="D534" s="469"/>
      <c r="E534" s="469"/>
      <c r="F534" s="469"/>
      <c r="G534" s="469"/>
      <c r="H534" s="468"/>
      <c r="I534" s="468"/>
      <c r="J534" s="468"/>
      <c r="K534" s="468"/>
      <c r="L534" s="468"/>
      <c r="M534" s="468"/>
      <c r="N534" s="468"/>
      <c r="O534" s="468"/>
    </row>
    <row r="535" spans="1:15" ht="23.25" customHeight="1" x14ac:dyDescent="0.2">
      <c r="A535" s="468"/>
      <c r="B535" s="469"/>
      <c r="C535" s="469"/>
      <c r="D535" s="469"/>
      <c r="E535" s="469"/>
      <c r="F535" s="469"/>
      <c r="G535" s="469"/>
      <c r="H535" s="468"/>
      <c r="I535" s="468"/>
      <c r="J535" s="468"/>
      <c r="K535" s="468"/>
      <c r="L535" s="468"/>
      <c r="M535" s="468"/>
      <c r="N535" s="468"/>
      <c r="O535" s="468"/>
    </row>
    <row r="536" spans="1:15" ht="23.25" customHeight="1" x14ac:dyDescent="0.2">
      <c r="A536" s="468"/>
      <c r="B536" s="469"/>
      <c r="C536" s="469"/>
      <c r="D536" s="469"/>
      <c r="E536" s="469"/>
      <c r="F536" s="469"/>
      <c r="G536" s="469"/>
      <c r="H536" s="468"/>
      <c r="I536" s="468"/>
      <c r="J536" s="468"/>
      <c r="K536" s="468"/>
      <c r="L536" s="468"/>
      <c r="M536" s="468"/>
      <c r="N536" s="468"/>
      <c r="O536" s="468"/>
    </row>
    <row r="537" spans="1:15" ht="23.25" customHeight="1" x14ac:dyDescent="0.2">
      <c r="A537" s="468"/>
      <c r="B537" s="469"/>
      <c r="C537" s="469"/>
      <c r="D537" s="469"/>
      <c r="E537" s="469"/>
      <c r="F537" s="469"/>
      <c r="G537" s="469"/>
      <c r="H537" s="468"/>
      <c r="I537" s="468"/>
      <c r="J537" s="468"/>
      <c r="K537" s="468"/>
      <c r="L537" s="468"/>
      <c r="M537" s="468"/>
      <c r="N537" s="468"/>
      <c r="O537" s="468"/>
    </row>
    <row r="538" spans="1:15" ht="23.25" customHeight="1" x14ac:dyDescent="0.2">
      <c r="A538" s="468"/>
      <c r="B538" s="469"/>
      <c r="C538" s="469"/>
      <c r="D538" s="469"/>
      <c r="E538" s="469"/>
      <c r="F538" s="469"/>
      <c r="G538" s="469"/>
      <c r="H538" s="468"/>
      <c r="I538" s="468"/>
      <c r="J538" s="468"/>
      <c r="K538" s="468"/>
      <c r="L538" s="468"/>
      <c r="M538" s="468"/>
      <c r="N538" s="468"/>
      <c r="O538" s="468"/>
    </row>
    <row r="539" spans="1:15" ht="23.25" customHeight="1" x14ac:dyDescent="0.2">
      <c r="A539" s="468"/>
      <c r="B539" s="469"/>
      <c r="C539" s="469"/>
      <c r="D539" s="469"/>
      <c r="E539" s="469"/>
      <c r="F539" s="469"/>
      <c r="G539" s="469"/>
      <c r="H539" s="468"/>
      <c r="I539" s="468"/>
      <c r="J539" s="468"/>
      <c r="K539" s="468"/>
      <c r="L539" s="468"/>
      <c r="M539" s="468"/>
      <c r="N539" s="468"/>
      <c r="O539" s="468"/>
    </row>
    <row r="540" spans="1:15" ht="23.25" customHeight="1" x14ac:dyDescent="0.2">
      <c r="A540" s="468"/>
      <c r="B540" s="469"/>
      <c r="C540" s="469"/>
      <c r="D540" s="469"/>
      <c r="E540" s="469"/>
      <c r="F540" s="469"/>
      <c r="G540" s="469"/>
      <c r="H540" s="468"/>
      <c r="I540" s="468"/>
      <c r="J540" s="468"/>
      <c r="K540" s="468"/>
      <c r="L540" s="468"/>
      <c r="M540" s="468"/>
      <c r="N540" s="468"/>
      <c r="O540" s="468"/>
    </row>
    <row r="541" spans="1:15" ht="23.25" customHeight="1" x14ac:dyDescent="0.2">
      <c r="A541" s="468"/>
      <c r="B541" s="469"/>
      <c r="C541" s="469"/>
      <c r="D541" s="469"/>
      <c r="E541" s="469"/>
      <c r="F541" s="469"/>
      <c r="G541" s="469"/>
      <c r="H541" s="468"/>
      <c r="I541" s="468"/>
      <c r="J541" s="468"/>
      <c r="K541" s="468"/>
      <c r="L541" s="468"/>
      <c r="M541" s="468"/>
      <c r="N541" s="468"/>
      <c r="O541" s="468"/>
    </row>
    <row r="542" spans="1:15" ht="23.25" customHeight="1" x14ac:dyDescent="0.2">
      <c r="A542" s="468"/>
      <c r="B542" s="469"/>
      <c r="C542" s="469"/>
      <c r="D542" s="469"/>
      <c r="E542" s="469"/>
      <c r="F542" s="469"/>
      <c r="G542" s="469"/>
      <c r="H542" s="468"/>
      <c r="I542" s="468"/>
      <c r="J542" s="468"/>
      <c r="K542" s="468"/>
      <c r="L542" s="468"/>
      <c r="M542" s="468"/>
      <c r="N542" s="468"/>
      <c r="O542" s="468"/>
    </row>
    <row r="543" spans="1:15" ht="23.25" customHeight="1" x14ac:dyDescent="0.2">
      <c r="A543" s="468"/>
      <c r="B543" s="469"/>
      <c r="C543" s="469"/>
      <c r="D543" s="469"/>
      <c r="E543" s="469"/>
      <c r="F543" s="469"/>
      <c r="G543" s="469"/>
      <c r="H543" s="468"/>
      <c r="I543" s="468"/>
      <c r="J543" s="468"/>
      <c r="K543" s="468"/>
      <c r="L543" s="468"/>
      <c r="M543" s="468"/>
      <c r="N543" s="468"/>
      <c r="O543" s="468"/>
    </row>
    <row r="544" spans="1:15" ht="23.25" customHeight="1" x14ac:dyDescent="0.2">
      <c r="A544" s="468"/>
      <c r="B544" s="469"/>
      <c r="C544" s="469"/>
      <c r="D544" s="469"/>
      <c r="E544" s="469"/>
      <c r="F544" s="469"/>
      <c r="G544" s="469"/>
      <c r="H544" s="468"/>
      <c r="I544" s="468"/>
      <c r="J544" s="468"/>
      <c r="K544" s="468"/>
      <c r="L544" s="468"/>
      <c r="M544" s="468"/>
      <c r="N544" s="468"/>
      <c r="O544" s="468"/>
    </row>
    <row r="545" spans="1:15" ht="23.25" customHeight="1" x14ac:dyDescent="0.2">
      <c r="A545" s="468"/>
      <c r="B545" s="469"/>
      <c r="C545" s="469"/>
      <c r="D545" s="469"/>
      <c r="E545" s="469"/>
      <c r="F545" s="469"/>
      <c r="G545" s="469"/>
      <c r="H545" s="468"/>
      <c r="I545" s="468"/>
      <c r="J545" s="468"/>
      <c r="K545" s="468"/>
      <c r="L545" s="468"/>
      <c r="M545" s="468"/>
      <c r="N545" s="468"/>
      <c r="O545" s="468"/>
    </row>
    <row r="546" spans="1:15" ht="23.25" customHeight="1" x14ac:dyDescent="0.2">
      <c r="A546" s="468"/>
      <c r="B546" s="469"/>
      <c r="C546" s="469"/>
      <c r="D546" s="469"/>
      <c r="E546" s="469"/>
      <c r="F546" s="469"/>
      <c r="G546" s="469"/>
      <c r="H546" s="468"/>
      <c r="I546" s="468"/>
      <c r="J546" s="468"/>
      <c r="K546" s="468"/>
      <c r="L546" s="468"/>
      <c r="M546" s="468"/>
      <c r="N546" s="468"/>
      <c r="O546" s="468"/>
    </row>
    <row r="547" spans="1:15" ht="23.25" customHeight="1" x14ac:dyDescent="0.2">
      <c r="A547" s="468"/>
      <c r="B547" s="469"/>
      <c r="C547" s="469"/>
      <c r="D547" s="469"/>
      <c r="E547" s="469"/>
      <c r="F547" s="469"/>
      <c r="G547" s="469"/>
      <c r="H547" s="468"/>
      <c r="I547" s="468"/>
      <c r="J547" s="468"/>
      <c r="K547" s="468"/>
      <c r="L547" s="468"/>
      <c r="M547" s="468"/>
      <c r="N547" s="468"/>
      <c r="O547" s="468"/>
    </row>
    <row r="548" spans="1:15" ht="23.25" customHeight="1" x14ac:dyDescent="0.2">
      <c r="A548" s="468"/>
      <c r="B548" s="469"/>
      <c r="C548" s="469"/>
      <c r="D548" s="469"/>
      <c r="E548" s="469"/>
      <c r="F548" s="469"/>
      <c r="G548" s="469"/>
      <c r="H548" s="468"/>
      <c r="I548" s="468"/>
      <c r="J548" s="468"/>
      <c r="K548" s="468"/>
      <c r="L548" s="468"/>
      <c r="M548" s="468"/>
      <c r="N548" s="468"/>
      <c r="O548" s="468"/>
    </row>
    <row r="549" spans="1:15" ht="23.25" customHeight="1" x14ac:dyDescent="0.2">
      <c r="A549" s="468"/>
      <c r="B549" s="469"/>
      <c r="C549" s="469"/>
      <c r="D549" s="469"/>
      <c r="E549" s="469"/>
      <c r="F549" s="469"/>
      <c r="G549" s="469"/>
      <c r="H549" s="468"/>
      <c r="I549" s="468"/>
      <c r="J549" s="468"/>
      <c r="K549" s="468"/>
      <c r="L549" s="468"/>
      <c r="M549" s="468"/>
      <c r="N549" s="468"/>
      <c r="O549" s="468"/>
    </row>
    <row r="550" spans="1:15" ht="23.25" customHeight="1" x14ac:dyDescent="0.2">
      <c r="A550" s="468"/>
      <c r="B550" s="469"/>
      <c r="C550" s="469"/>
      <c r="D550" s="469"/>
      <c r="E550" s="469"/>
      <c r="F550" s="469"/>
      <c r="G550" s="469"/>
      <c r="H550" s="468"/>
      <c r="I550" s="468"/>
      <c r="J550" s="468"/>
      <c r="K550" s="468"/>
      <c r="L550" s="468"/>
      <c r="M550" s="468"/>
      <c r="N550" s="468"/>
      <c r="O550" s="468"/>
    </row>
    <row r="551" spans="1:15" ht="23.25" customHeight="1" x14ac:dyDescent="0.2">
      <c r="A551" s="468"/>
      <c r="B551" s="469"/>
      <c r="C551" s="469"/>
      <c r="D551" s="469"/>
      <c r="E551" s="469"/>
      <c r="F551" s="469"/>
      <c r="G551" s="469"/>
      <c r="H551" s="468"/>
      <c r="I551" s="468"/>
      <c r="J551" s="468"/>
      <c r="K551" s="468"/>
      <c r="L551" s="468"/>
      <c r="M551" s="468"/>
      <c r="N551" s="468"/>
      <c r="O551" s="468"/>
    </row>
    <row r="552" spans="1:15" ht="23.25" customHeight="1" x14ac:dyDescent="0.2">
      <c r="A552" s="468"/>
      <c r="B552" s="469"/>
      <c r="C552" s="469"/>
      <c r="D552" s="469"/>
      <c r="E552" s="469"/>
      <c r="F552" s="469"/>
      <c r="G552" s="469"/>
      <c r="H552" s="468"/>
      <c r="I552" s="468"/>
      <c r="J552" s="468"/>
      <c r="K552" s="468"/>
      <c r="L552" s="468"/>
      <c r="M552" s="468"/>
      <c r="N552" s="468"/>
      <c r="O552" s="468"/>
    </row>
    <row r="553" spans="1:15" ht="23.25" customHeight="1" x14ac:dyDescent="0.2">
      <c r="A553" s="468"/>
      <c r="B553" s="469"/>
      <c r="C553" s="469"/>
      <c r="D553" s="469"/>
      <c r="E553" s="469"/>
      <c r="F553" s="469"/>
      <c r="G553" s="469"/>
      <c r="H553" s="468"/>
      <c r="I553" s="468"/>
      <c r="J553" s="468"/>
      <c r="K553" s="468"/>
      <c r="L553" s="468"/>
      <c r="M553" s="468"/>
      <c r="N553" s="468"/>
      <c r="O553" s="468"/>
    </row>
    <row r="554" spans="1:15" ht="23.25" customHeight="1" x14ac:dyDescent="0.2">
      <c r="A554" s="468"/>
      <c r="B554" s="469"/>
      <c r="C554" s="469"/>
      <c r="D554" s="469"/>
      <c r="E554" s="469"/>
      <c r="F554" s="469"/>
      <c r="G554" s="469"/>
      <c r="H554" s="468"/>
      <c r="I554" s="468"/>
      <c r="J554" s="468"/>
      <c r="K554" s="468"/>
      <c r="L554" s="468"/>
      <c r="M554" s="468"/>
      <c r="N554" s="468"/>
      <c r="O554" s="468"/>
    </row>
    <row r="555" spans="1:15" ht="23.25" customHeight="1" x14ac:dyDescent="0.2">
      <c r="A555" s="468"/>
      <c r="B555" s="469"/>
      <c r="C555" s="469"/>
      <c r="D555" s="469"/>
      <c r="E555" s="469"/>
      <c r="F555" s="469"/>
      <c r="G555" s="469"/>
      <c r="H555" s="468"/>
      <c r="I555" s="468"/>
      <c r="J555" s="468"/>
      <c r="K555" s="468"/>
      <c r="L555" s="468"/>
      <c r="M555" s="468"/>
      <c r="N555" s="468"/>
      <c r="O555" s="468"/>
    </row>
    <row r="556" spans="1:15" ht="23.25" customHeight="1" x14ac:dyDescent="0.2">
      <c r="A556" s="468"/>
      <c r="B556" s="469"/>
      <c r="C556" s="469"/>
      <c r="D556" s="469"/>
      <c r="E556" s="469"/>
      <c r="F556" s="469"/>
      <c r="G556" s="469"/>
      <c r="H556" s="468"/>
      <c r="I556" s="468"/>
      <c r="J556" s="468"/>
      <c r="K556" s="468"/>
      <c r="L556" s="468"/>
      <c r="M556" s="468"/>
      <c r="N556" s="468"/>
      <c r="O556" s="468"/>
    </row>
    <row r="557" spans="1:15" ht="23.25" customHeight="1" x14ac:dyDescent="0.2">
      <c r="A557" s="468"/>
      <c r="B557" s="469"/>
      <c r="C557" s="469"/>
      <c r="D557" s="469"/>
      <c r="E557" s="469"/>
      <c r="F557" s="469"/>
      <c r="G557" s="469"/>
      <c r="H557" s="468"/>
      <c r="I557" s="468"/>
      <c r="J557" s="468"/>
      <c r="K557" s="468"/>
      <c r="L557" s="468"/>
      <c r="M557" s="468"/>
      <c r="N557" s="468"/>
      <c r="O557" s="468"/>
    </row>
    <row r="558" spans="1:15" ht="23.25" customHeight="1" x14ac:dyDescent="0.2">
      <c r="A558" s="468"/>
      <c r="B558" s="469"/>
      <c r="C558" s="469"/>
      <c r="D558" s="469"/>
      <c r="E558" s="469"/>
      <c r="F558" s="469"/>
      <c r="G558" s="469"/>
      <c r="H558" s="468"/>
      <c r="I558" s="468"/>
      <c r="J558" s="468"/>
      <c r="K558" s="468"/>
      <c r="L558" s="468"/>
      <c r="M558" s="468"/>
      <c r="N558" s="468"/>
      <c r="O558" s="468"/>
    </row>
    <row r="559" spans="1:15" ht="23.25" customHeight="1" x14ac:dyDescent="0.2">
      <c r="A559" s="468"/>
      <c r="B559" s="469"/>
      <c r="C559" s="469"/>
      <c r="D559" s="469"/>
      <c r="E559" s="469"/>
      <c r="F559" s="469"/>
      <c r="G559" s="469"/>
      <c r="H559" s="468"/>
      <c r="I559" s="468"/>
      <c r="J559" s="468"/>
      <c r="K559" s="468"/>
      <c r="L559" s="468"/>
      <c r="M559" s="468"/>
      <c r="N559" s="468"/>
      <c r="O559" s="468"/>
    </row>
    <row r="560" spans="1:15" ht="23.25" customHeight="1" x14ac:dyDescent="0.2">
      <c r="A560" s="468"/>
      <c r="B560" s="469"/>
      <c r="C560" s="469"/>
      <c r="D560" s="469"/>
      <c r="E560" s="469"/>
      <c r="F560" s="469"/>
      <c r="G560" s="469"/>
      <c r="H560" s="468"/>
      <c r="I560" s="468"/>
      <c r="J560" s="468"/>
      <c r="K560" s="468"/>
      <c r="L560" s="468"/>
      <c r="M560" s="468"/>
      <c r="N560" s="468"/>
      <c r="O560" s="468"/>
    </row>
    <row r="561" spans="1:15" ht="23.25" customHeight="1" x14ac:dyDescent="0.2">
      <c r="A561" s="468"/>
      <c r="B561" s="469"/>
      <c r="C561" s="469"/>
      <c r="D561" s="469"/>
      <c r="E561" s="469"/>
      <c r="F561" s="469"/>
      <c r="G561" s="469"/>
      <c r="H561" s="468"/>
      <c r="I561" s="468"/>
      <c r="J561" s="468"/>
      <c r="K561" s="468"/>
      <c r="L561" s="468"/>
      <c r="M561" s="468"/>
      <c r="N561" s="468"/>
      <c r="O561" s="468"/>
    </row>
    <row r="562" spans="1:15" ht="23.25" customHeight="1" x14ac:dyDescent="0.2">
      <c r="A562" s="468"/>
      <c r="B562" s="469"/>
      <c r="C562" s="469"/>
      <c r="D562" s="469"/>
      <c r="E562" s="469"/>
      <c r="F562" s="469"/>
      <c r="G562" s="469"/>
      <c r="H562" s="468"/>
      <c r="I562" s="468"/>
      <c r="J562" s="468"/>
      <c r="K562" s="468"/>
      <c r="L562" s="468"/>
      <c r="M562" s="468"/>
      <c r="N562" s="468"/>
      <c r="O562" s="468"/>
    </row>
    <row r="563" spans="1:15" ht="23.25" customHeight="1" x14ac:dyDescent="0.2">
      <c r="A563" s="468"/>
      <c r="B563" s="469"/>
      <c r="C563" s="469"/>
      <c r="D563" s="469"/>
      <c r="E563" s="469"/>
      <c r="F563" s="469"/>
      <c r="G563" s="469"/>
      <c r="H563" s="468"/>
      <c r="I563" s="468"/>
      <c r="J563" s="468"/>
      <c r="K563" s="468"/>
      <c r="L563" s="468"/>
      <c r="M563" s="468"/>
      <c r="N563" s="468"/>
      <c r="O563" s="468"/>
    </row>
    <row r="564" spans="1:15" ht="23.25" customHeight="1" x14ac:dyDescent="0.2">
      <c r="A564" s="468"/>
      <c r="B564" s="469"/>
      <c r="C564" s="469"/>
      <c r="D564" s="469"/>
      <c r="E564" s="469"/>
      <c r="F564" s="469"/>
      <c r="G564" s="469"/>
      <c r="H564" s="468"/>
      <c r="I564" s="468"/>
      <c r="J564" s="468"/>
      <c r="K564" s="468"/>
      <c r="L564" s="468"/>
      <c r="M564" s="468"/>
      <c r="N564" s="468"/>
      <c r="O564" s="468"/>
    </row>
    <row r="565" spans="1:15" ht="23.25" customHeight="1" x14ac:dyDescent="0.2">
      <c r="A565" s="468"/>
      <c r="B565" s="469"/>
      <c r="C565" s="469"/>
      <c r="D565" s="469"/>
      <c r="E565" s="469"/>
      <c r="F565" s="469"/>
      <c r="G565" s="469"/>
      <c r="H565" s="468"/>
      <c r="I565" s="468"/>
      <c r="J565" s="468"/>
      <c r="K565" s="468"/>
      <c r="L565" s="468"/>
      <c r="M565" s="468"/>
      <c r="N565" s="468"/>
      <c r="O565" s="468"/>
    </row>
    <row r="566" spans="1:15" ht="23.25" customHeight="1" x14ac:dyDescent="0.2">
      <c r="A566" s="468"/>
      <c r="B566" s="469"/>
      <c r="C566" s="469"/>
      <c r="D566" s="469"/>
      <c r="E566" s="469"/>
      <c r="F566" s="469"/>
      <c r="G566" s="469"/>
      <c r="H566" s="468"/>
      <c r="I566" s="468"/>
      <c r="J566" s="468"/>
      <c r="K566" s="468"/>
      <c r="L566" s="468"/>
      <c r="M566" s="468"/>
      <c r="N566" s="468"/>
      <c r="O566" s="468"/>
    </row>
    <row r="567" spans="1:15" ht="23.25" customHeight="1" x14ac:dyDescent="0.2">
      <c r="A567" s="468"/>
      <c r="B567" s="469"/>
      <c r="C567" s="469"/>
      <c r="D567" s="469"/>
      <c r="E567" s="469"/>
      <c r="F567" s="469"/>
      <c r="G567" s="469"/>
      <c r="H567" s="468"/>
      <c r="I567" s="468"/>
      <c r="J567" s="468"/>
      <c r="K567" s="468"/>
      <c r="L567" s="468"/>
      <c r="M567" s="468"/>
      <c r="N567" s="468"/>
      <c r="O567" s="468"/>
    </row>
    <row r="568" spans="1:15" ht="23.25" customHeight="1" x14ac:dyDescent="0.2">
      <c r="A568" s="468"/>
      <c r="B568" s="469"/>
      <c r="C568" s="469"/>
      <c r="D568" s="469"/>
      <c r="E568" s="469"/>
      <c r="F568" s="469"/>
      <c r="G568" s="469"/>
      <c r="H568" s="468"/>
      <c r="I568" s="468"/>
      <c r="J568" s="468"/>
      <c r="K568" s="468"/>
      <c r="L568" s="468"/>
      <c r="M568" s="468"/>
      <c r="N568" s="468"/>
      <c r="O568" s="468"/>
    </row>
    <row r="569" spans="1:15" ht="23.25" customHeight="1" x14ac:dyDescent="0.2">
      <c r="A569" s="468"/>
      <c r="B569" s="469"/>
      <c r="C569" s="469"/>
      <c r="D569" s="469"/>
      <c r="E569" s="469"/>
      <c r="F569" s="469"/>
      <c r="G569" s="469"/>
      <c r="H569" s="468"/>
      <c r="I569" s="468"/>
      <c r="J569" s="468"/>
      <c r="K569" s="468"/>
      <c r="L569" s="468"/>
      <c r="M569" s="468"/>
      <c r="N569" s="468"/>
      <c r="O569" s="468"/>
    </row>
    <row r="570" spans="1:15" ht="23.25" customHeight="1" x14ac:dyDescent="0.2">
      <c r="A570" s="468"/>
      <c r="B570" s="469"/>
      <c r="C570" s="469"/>
      <c r="D570" s="469"/>
      <c r="E570" s="469"/>
      <c r="F570" s="469"/>
      <c r="G570" s="469"/>
      <c r="H570" s="468"/>
      <c r="I570" s="468"/>
      <c r="J570" s="468"/>
      <c r="K570" s="468"/>
      <c r="L570" s="468"/>
      <c r="M570" s="468"/>
      <c r="N570" s="468"/>
      <c r="O570" s="468"/>
    </row>
    <row r="571" spans="1:15" ht="23.25" customHeight="1" x14ac:dyDescent="0.2">
      <c r="A571" s="468"/>
      <c r="B571" s="469"/>
      <c r="C571" s="469"/>
      <c r="D571" s="469"/>
      <c r="E571" s="469"/>
      <c r="F571" s="469"/>
      <c r="G571" s="469"/>
      <c r="H571" s="468"/>
      <c r="I571" s="468"/>
      <c r="J571" s="468"/>
      <c r="K571" s="468"/>
      <c r="L571" s="468"/>
      <c r="M571" s="468"/>
      <c r="N571" s="468"/>
      <c r="O571" s="468"/>
    </row>
    <row r="572" spans="1:15" ht="23.25" customHeight="1" x14ac:dyDescent="0.2">
      <c r="A572" s="468"/>
      <c r="B572" s="469"/>
      <c r="C572" s="469"/>
      <c r="D572" s="469"/>
      <c r="E572" s="469"/>
      <c r="F572" s="469"/>
      <c r="G572" s="469"/>
      <c r="H572" s="468"/>
      <c r="I572" s="468"/>
      <c r="J572" s="468"/>
      <c r="K572" s="468"/>
      <c r="L572" s="468"/>
      <c r="M572" s="468"/>
      <c r="N572" s="468"/>
      <c r="O572" s="468"/>
    </row>
    <row r="573" spans="1:15" ht="23.25" customHeight="1" x14ac:dyDescent="0.2">
      <c r="A573" s="468"/>
      <c r="B573" s="469"/>
      <c r="C573" s="469"/>
      <c r="D573" s="469"/>
      <c r="E573" s="469"/>
      <c r="F573" s="469"/>
      <c r="G573" s="469"/>
      <c r="H573" s="468"/>
      <c r="I573" s="468"/>
      <c r="J573" s="468"/>
      <c r="K573" s="468"/>
      <c r="L573" s="468"/>
      <c r="M573" s="468"/>
      <c r="N573" s="468"/>
      <c r="O573" s="468"/>
    </row>
    <row r="574" spans="1:15" ht="23.25" customHeight="1" x14ac:dyDescent="0.2">
      <c r="A574" s="468"/>
      <c r="B574" s="469"/>
      <c r="C574" s="469"/>
      <c r="D574" s="469"/>
      <c r="E574" s="469"/>
      <c r="F574" s="469"/>
      <c r="G574" s="469"/>
      <c r="H574" s="468"/>
      <c r="I574" s="468"/>
      <c r="J574" s="468"/>
      <c r="K574" s="468"/>
      <c r="L574" s="468"/>
      <c r="M574" s="468"/>
      <c r="N574" s="468"/>
      <c r="O574" s="468"/>
    </row>
    <row r="575" spans="1:15" ht="23.25" customHeight="1" x14ac:dyDescent="0.2">
      <c r="A575" s="468"/>
      <c r="B575" s="469"/>
      <c r="C575" s="469"/>
      <c r="D575" s="469"/>
      <c r="E575" s="469"/>
      <c r="F575" s="469"/>
      <c r="G575" s="469"/>
      <c r="H575" s="468"/>
      <c r="I575" s="468"/>
      <c r="J575" s="468"/>
      <c r="K575" s="468"/>
      <c r="L575" s="468"/>
      <c r="M575" s="468"/>
      <c r="N575" s="468"/>
      <c r="O575" s="468"/>
    </row>
    <row r="576" spans="1:15" ht="23.25" customHeight="1" x14ac:dyDescent="0.2">
      <c r="A576" s="468"/>
      <c r="B576" s="469"/>
      <c r="C576" s="469"/>
      <c r="D576" s="469"/>
      <c r="E576" s="469"/>
      <c r="F576" s="469"/>
      <c r="G576" s="469"/>
      <c r="H576" s="468"/>
      <c r="I576" s="468"/>
      <c r="J576" s="468"/>
      <c r="K576" s="468"/>
      <c r="L576" s="468"/>
      <c r="M576" s="468"/>
      <c r="N576" s="468"/>
      <c r="O576" s="468"/>
    </row>
    <row r="577" spans="1:15" ht="23.25" customHeight="1" x14ac:dyDescent="0.2">
      <c r="A577" s="468"/>
      <c r="B577" s="469"/>
      <c r="C577" s="469"/>
      <c r="D577" s="469"/>
      <c r="E577" s="469"/>
      <c r="F577" s="469"/>
      <c r="G577" s="469"/>
      <c r="H577" s="468"/>
      <c r="I577" s="468"/>
      <c r="J577" s="468"/>
      <c r="K577" s="468"/>
      <c r="L577" s="468"/>
      <c r="M577" s="468"/>
      <c r="N577" s="468"/>
      <c r="O577" s="468"/>
    </row>
    <row r="578" spans="1:15" ht="23.25" customHeight="1" x14ac:dyDescent="0.2">
      <c r="A578" s="468"/>
      <c r="B578" s="469"/>
      <c r="C578" s="469"/>
      <c r="D578" s="469"/>
      <c r="E578" s="469"/>
      <c r="F578" s="469"/>
      <c r="G578" s="469"/>
      <c r="H578" s="468"/>
      <c r="I578" s="468"/>
      <c r="J578" s="468"/>
      <c r="K578" s="468"/>
      <c r="L578" s="468"/>
      <c r="M578" s="468"/>
      <c r="N578" s="468"/>
      <c r="O578" s="468"/>
    </row>
    <row r="579" spans="1:15" ht="23.25" customHeight="1" x14ac:dyDescent="0.2">
      <c r="A579" s="468"/>
      <c r="B579" s="469"/>
      <c r="C579" s="469"/>
      <c r="D579" s="469"/>
      <c r="E579" s="469"/>
      <c r="F579" s="469"/>
      <c r="G579" s="469"/>
      <c r="H579" s="468"/>
      <c r="I579" s="468"/>
      <c r="J579" s="468"/>
      <c r="K579" s="468"/>
      <c r="L579" s="468"/>
      <c r="M579" s="468"/>
      <c r="N579" s="468"/>
      <c r="O579" s="468"/>
    </row>
    <row r="580" spans="1:15" ht="23.25" customHeight="1" x14ac:dyDescent="0.2">
      <c r="A580" s="468"/>
      <c r="B580" s="469"/>
      <c r="C580" s="469"/>
      <c r="D580" s="469"/>
      <c r="E580" s="469"/>
      <c r="F580" s="469"/>
      <c r="G580" s="469"/>
      <c r="H580" s="468"/>
      <c r="I580" s="468"/>
      <c r="J580" s="468"/>
      <c r="K580" s="468"/>
      <c r="L580" s="468"/>
      <c r="M580" s="468"/>
      <c r="N580" s="468"/>
      <c r="O580" s="468"/>
    </row>
    <row r="581" spans="1:15" ht="23.25" customHeight="1" x14ac:dyDescent="0.2">
      <c r="A581" s="468"/>
      <c r="B581" s="469"/>
      <c r="C581" s="469"/>
      <c r="D581" s="469"/>
      <c r="E581" s="469"/>
      <c r="F581" s="469"/>
      <c r="G581" s="469"/>
      <c r="H581" s="468"/>
      <c r="I581" s="468"/>
      <c r="J581" s="468"/>
      <c r="K581" s="468"/>
      <c r="L581" s="468"/>
      <c r="M581" s="468"/>
      <c r="N581" s="468"/>
      <c r="O581" s="468"/>
    </row>
    <row r="582" spans="1:15" ht="23.25" customHeight="1" x14ac:dyDescent="0.2">
      <c r="A582" s="468"/>
      <c r="B582" s="469"/>
      <c r="C582" s="469"/>
      <c r="D582" s="469"/>
      <c r="E582" s="469"/>
      <c r="F582" s="469"/>
      <c r="G582" s="469"/>
      <c r="H582" s="468"/>
      <c r="I582" s="468"/>
      <c r="J582" s="468"/>
      <c r="K582" s="468"/>
      <c r="L582" s="468"/>
      <c r="M582" s="468"/>
      <c r="N582" s="468"/>
      <c r="O582" s="468"/>
    </row>
    <row r="583" spans="1:15" ht="23.25" customHeight="1" x14ac:dyDescent="0.2">
      <c r="A583" s="468"/>
      <c r="B583" s="469"/>
      <c r="C583" s="469"/>
      <c r="D583" s="469"/>
      <c r="E583" s="469"/>
      <c r="F583" s="469"/>
      <c r="G583" s="469"/>
      <c r="H583" s="468"/>
      <c r="I583" s="468"/>
      <c r="J583" s="468"/>
      <c r="K583" s="468"/>
      <c r="L583" s="468"/>
      <c r="M583" s="468"/>
      <c r="N583" s="468"/>
      <c r="O583" s="468"/>
    </row>
    <row r="584" spans="1:15" ht="23.25" customHeight="1" x14ac:dyDescent="0.2">
      <c r="A584" s="468"/>
      <c r="B584" s="469"/>
      <c r="C584" s="469"/>
      <c r="D584" s="469"/>
      <c r="E584" s="469"/>
      <c r="F584" s="469"/>
      <c r="G584" s="469"/>
      <c r="H584" s="468"/>
      <c r="I584" s="468"/>
      <c r="J584" s="468"/>
      <c r="K584" s="468"/>
      <c r="L584" s="468"/>
      <c r="M584" s="468"/>
      <c r="N584" s="468"/>
      <c r="O584" s="468"/>
    </row>
    <row r="585" spans="1:15" ht="23.25" customHeight="1" x14ac:dyDescent="0.2">
      <c r="A585" s="468"/>
      <c r="B585" s="469"/>
      <c r="C585" s="469"/>
      <c r="D585" s="469"/>
      <c r="E585" s="469"/>
      <c r="F585" s="469"/>
      <c r="G585" s="469"/>
      <c r="H585" s="468"/>
      <c r="I585" s="468"/>
      <c r="J585" s="468"/>
      <c r="K585" s="468"/>
      <c r="L585" s="468"/>
      <c r="M585" s="468"/>
      <c r="N585" s="468"/>
      <c r="O585" s="468"/>
    </row>
    <row r="586" spans="1:15" ht="23.25" customHeight="1" x14ac:dyDescent="0.2">
      <c r="A586" s="468"/>
      <c r="B586" s="469"/>
      <c r="C586" s="469"/>
      <c r="D586" s="469"/>
      <c r="E586" s="469"/>
      <c r="F586" s="469"/>
      <c r="G586" s="469"/>
      <c r="H586" s="468"/>
      <c r="I586" s="468"/>
      <c r="J586" s="468"/>
      <c r="K586" s="468"/>
      <c r="L586" s="468"/>
      <c r="M586" s="468"/>
      <c r="N586" s="468"/>
      <c r="O586" s="468"/>
    </row>
    <row r="587" spans="1:15" ht="23.25" customHeight="1" x14ac:dyDescent="0.2">
      <c r="A587" s="468"/>
      <c r="B587" s="469"/>
      <c r="C587" s="469"/>
      <c r="D587" s="469"/>
      <c r="E587" s="469"/>
      <c r="F587" s="469"/>
      <c r="G587" s="469"/>
      <c r="H587" s="468"/>
      <c r="I587" s="468"/>
      <c r="J587" s="468"/>
      <c r="K587" s="468"/>
      <c r="L587" s="468"/>
      <c r="M587" s="468"/>
      <c r="N587" s="468"/>
      <c r="O587" s="468"/>
    </row>
    <row r="588" spans="1:15" ht="23.25" customHeight="1" x14ac:dyDescent="0.2">
      <c r="A588" s="468"/>
      <c r="B588" s="469"/>
      <c r="C588" s="469"/>
      <c r="D588" s="469"/>
      <c r="E588" s="469"/>
      <c r="F588" s="469"/>
      <c r="G588" s="469"/>
      <c r="H588" s="468"/>
      <c r="I588" s="468"/>
      <c r="J588" s="468"/>
      <c r="K588" s="468"/>
      <c r="L588" s="468"/>
      <c r="M588" s="468"/>
      <c r="N588" s="468"/>
      <c r="O588" s="468"/>
    </row>
    <row r="589" spans="1:15" ht="23.25" customHeight="1" x14ac:dyDescent="0.2">
      <c r="A589" s="468"/>
      <c r="B589" s="469"/>
      <c r="C589" s="469"/>
      <c r="D589" s="469"/>
      <c r="E589" s="469"/>
      <c r="F589" s="469"/>
      <c r="G589" s="469"/>
      <c r="H589" s="468"/>
      <c r="I589" s="468"/>
      <c r="J589" s="468"/>
      <c r="K589" s="468"/>
      <c r="L589" s="468"/>
      <c r="M589" s="468"/>
      <c r="N589" s="468"/>
      <c r="O589" s="468"/>
    </row>
    <row r="590" spans="1:15" ht="23.25" customHeight="1" x14ac:dyDescent="0.2">
      <c r="A590" s="468"/>
      <c r="B590" s="469"/>
      <c r="C590" s="469"/>
      <c r="D590" s="469"/>
      <c r="E590" s="469"/>
      <c r="F590" s="469"/>
      <c r="G590" s="469"/>
      <c r="H590" s="468"/>
      <c r="I590" s="468"/>
      <c r="J590" s="468"/>
      <c r="K590" s="468"/>
      <c r="L590" s="468"/>
      <c r="M590" s="468"/>
      <c r="N590" s="468"/>
      <c r="O590" s="468"/>
    </row>
    <row r="591" spans="1:15" ht="23.25" customHeight="1" x14ac:dyDescent="0.2">
      <c r="A591" s="468"/>
      <c r="B591" s="469"/>
      <c r="C591" s="469"/>
      <c r="D591" s="469"/>
      <c r="E591" s="469"/>
      <c r="F591" s="469"/>
      <c r="G591" s="469"/>
      <c r="H591" s="468"/>
      <c r="I591" s="468"/>
      <c r="J591" s="468"/>
      <c r="K591" s="468"/>
      <c r="L591" s="468"/>
      <c r="M591" s="468"/>
      <c r="N591" s="468"/>
      <c r="O591" s="468"/>
    </row>
    <row r="592" spans="1:15" ht="23.25" customHeight="1" x14ac:dyDescent="0.2">
      <c r="A592" s="468"/>
      <c r="B592" s="469"/>
      <c r="C592" s="469"/>
      <c r="D592" s="469"/>
      <c r="E592" s="469"/>
      <c r="F592" s="469"/>
      <c r="G592" s="469"/>
      <c r="H592" s="468"/>
      <c r="I592" s="468"/>
      <c r="J592" s="468"/>
      <c r="K592" s="468"/>
      <c r="L592" s="468"/>
      <c r="M592" s="468"/>
      <c r="N592" s="468"/>
      <c r="O592" s="468"/>
    </row>
    <row r="593" spans="1:15" ht="23.25" customHeight="1" x14ac:dyDescent="0.2">
      <c r="A593" s="468"/>
      <c r="B593" s="469"/>
      <c r="C593" s="469"/>
      <c r="D593" s="469"/>
      <c r="E593" s="469"/>
      <c r="F593" s="469"/>
      <c r="G593" s="469"/>
      <c r="H593" s="468"/>
      <c r="I593" s="468"/>
      <c r="J593" s="468"/>
      <c r="K593" s="468"/>
      <c r="L593" s="468"/>
      <c r="M593" s="468"/>
      <c r="N593" s="468"/>
      <c r="O593" s="468"/>
    </row>
    <row r="594" spans="1:15" ht="23.25" customHeight="1" x14ac:dyDescent="0.2">
      <c r="A594" s="468"/>
      <c r="B594" s="469"/>
      <c r="C594" s="469"/>
      <c r="D594" s="469"/>
      <c r="E594" s="469"/>
      <c r="F594" s="469"/>
      <c r="G594" s="469"/>
      <c r="H594" s="468"/>
      <c r="I594" s="468"/>
      <c r="J594" s="468"/>
      <c r="K594" s="468"/>
      <c r="L594" s="468"/>
      <c r="M594" s="468"/>
      <c r="N594" s="468"/>
      <c r="O594" s="468"/>
    </row>
    <row r="595" spans="1:15" ht="23.25" customHeight="1" x14ac:dyDescent="0.2">
      <c r="A595" s="468"/>
      <c r="B595" s="469"/>
      <c r="C595" s="469"/>
      <c r="D595" s="469"/>
      <c r="E595" s="469"/>
      <c r="F595" s="469"/>
      <c r="G595" s="469"/>
      <c r="H595" s="468"/>
      <c r="I595" s="468"/>
      <c r="J595" s="468"/>
      <c r="K595" s="468"/>
      <c r="L595" s="468"/>
      <c r="M595" s="468"/>
      <c r="N595" s="468"/>
      <c r="O595" s="468"/>
    </row>
    <row r="596" spans="1:15" ht="23.25" customHeight="1" x14ac:dyDescent="0.2">
      <c r="A596" s="468"/>
      <c r="B596" s="469"/>
      <c r="C596" s="469"/>
      <c r="D596" s="469"/>
      <c r="E596" s="469"/>
      <c r="F596" s="469"/>
      <c r="G596" s="469"/>
      <c r="H596" s="468"/>
      <c r="I596" s="468"/>
      <c r="J596" s="468"/>
      <c r="K596" s="468"/>
      <c r="L596" s="468"/>
      <c r="M596" s="468"/>
      <c r="N596" s="468"/>
      <c r="O596" s="468"/>
    </row>
    <row r="597" spans="1:15" ht="23.25" customHeight="1" x14ac:dyDescent="0.2">
      <c r="A597" s="468"/>
      <c r="B597" s="469"/>
      <c r="C597" s="469"/>
      <c r="D597" s="469"/>
      <c r="E597" s="469"/>
      <c r="F597" s="469"/>
      <c r="G597" s="469"/>
      <c r="H597" s="468"/>
      <c r="I597" s="468"/>
      <c r="J597" s="468"/>
      <c r="K597" s="468"/>
      <c r="L597" s="468"/>
      <c r="M597" s="468"/>
      <c r="N597" s="468"/>
      <c r="O597" s="468"/>
    </row>
    <row r="598" spans="1:15" ht="23.25" customHeight="1" x14ac:dyDescent="0.2">
      <c r="A598" s="468"/>
      <c r="B598" s="469"/>
      <c r="C598" s="469"/>
      <c r="D598" s="469"/>
      <c r="E598" s="469"/>
      <c r="F598" s="469"/>
      <c r="G598" s="469"/>
      <c r="H598" s="468"/>
      <c r="I598" s="468"/>
      <c r="J598" s="468"/>
      <c r="K598" s="468"/>
      <c r="L598" s="468"/>
      <c r="M598" s="468"/>
      <c r="N598" s="468"/>
      <c r="O598" s="468"/>
    </row>
    <row r="599" spans="1:15" ht="23.25" customHeight="1" x14ac:dyDescent="0.2">
      <c r="A599" s="468"/>
      <c r="B599" s="469"/>
      <c r="C599" s="469"/>
      <c r="D599" s="469"/>
      <c r="E599" s="469"/>
      <c r="F599" s="469"/>
      <c r="G599" s="469"/>
      <c r="H599" s="468"/>
      <c r="I599" s="468"/>
      <c r="J599" s="468"/>
      <c r="K599" s="468"/>
      <c r="L599" s="468"/>
      <c r="M599" s="468"/>
      <c r="N599" s="468"/>
      <c r="O599" s="468"/>
    </row>
    <row r="600" spans="1:15" ht="23.25" customHeight="1" x14ac:dyDescent="0.2">
      <c r="A600" s="468"/>
      <c r="B600" s="469"/>
      <c r="C600" s="469"/>
      <c r="D600" s="469"/>
      <c r="E600" s="469"/>
      <c r="F600" s="469"/>
      <c r="G600" s="469"/>
      <c r="H600" s="468"/>
      <c r="I600" s="468"/>
      <c r="J600" s="468"/>
      <c r="K600" s="468"/>
      <c r="L600" s="468"/>
      <c r="M600" s="468"/>
      <c r="N600" s="468"/>
      <c r="O600" s="468"/>
    </row>
    <row r="601" spans="1:15" ht="23.25" customHeight="1" x14ac:dyDescent="0.2">
      <c r="A601" s="468"/>
      <c r="B601" s="469"/>
      <c r="C601" s="469"/>
      <c r="D601" s="469"/>
      <c r="E601" s="469"/>
      <c r="F601" s="469"/>
      <c r="G601" s="469"/>
      <c r="H601" s="468"/>
      <c r="I601" s="468"/>
      <c r="J601" s="468"/>
      <c r="K601" s="468"/>
      <c r="L601" s="468"/>
      <c r="M601" s="468"/>
      <c r="N601" s="468"/>
      <c r="O601" s="468"/>
    </row>
    <row r="602" spans="1:15" ht="23.25" customHeight="1" x14ac:dyDescent="0.2">
      <c r="A602" s="468"/>
      <c r="B602" s="469"/>
      <c r="C602" s="469"/>
      <c r="D602" s="469"/>
      <c r="E602" s="469"/>
      <c r="F602" s="469"/>
      <c r="G602" s="469"/>
      <c r="H602" s="468"/>
      <c r="I602" s="468"/>
      <c r="J602" s="468"/>
      <c r="K602" s="468"/>
      <c r="L602" s="468"/>
      <c r="M602" s="468"/>
      <c r="N602" s="468"/>
      <c r="O602" s="468"/>
    </row>
    <row r="603" spans="1:15" ht="23.25" customHeight="1" x14ac:dyDescent="0.2">
      <c r="A603" s="468"/>
      <c r="B603" s="469"/>
      <c r="C603" s="469"/>
      <c r="D603" s="469"/>
      <c r="E603" s="469"/>
      <c r="F603" s="469"/>
      <c r="G603" s="469"/>
      <c r="H603" s="468"/>
      <c r="I603" s="468"/>
      <c r="J603" s="468"/>
      <c r="K603" s="468"/>
      <c r="L603" s="468"/>
      <c r="M603" s="468"/>
      <c r="N603" s="468"/>
      <c r="O603" s="468"/>
    </row>
    <row r="604" spans="1:15" ht="23.25" customHeight="1" x14ac:dyDescent="0.2">
      <c r="A604" s="468"/>
      <c r="B604" s="469"/>
      <c r="C604" s="469"/>
      <c r="D604" s="469"/>
      <c r="E604" s="469"/>
      <c r="F604" s="469"/>
      <c r="G604" s="469"/>
      <c r="H604" s="468"/>
      <c r="I604" s="468"/>
      <c r="J604" s="468"/>
      <c r="K604" s="468"/>
      <c r="L604" s="468"/>
      <c r="M604" s="468"/>
      <c r="N604" s="468"/>
      <c r="O604" s="468"/>
    </row>
    <row r="605" spans="1:15" ht="23.25" customHeight="1" x14ac:dyDescent="0.2">
      <c r="A605" s="468"/>
      <c r="B605" s="469"/>
      <c r="C605" s="469"/>
      <c r="D605" s="469"/>
      <c r="E605" s="469"/>
      <c r="F605" s="469"/>
      <c r="G605" s="469"/>
      <c r="H605" s="468"/>
      <c r="I605" s="468"/>
      <c r="J605" s="468"/>
      <c r="K605" s="468"/>
      <c r="L605" s="468"/>
      <c r="M605" s="468"/>
      <c r="N605" s="468"/>
      <c r="O605" s="468"/>
    </row>
    <row r="606" spans="1:15" ht="23.25" customHeight="1" x14ac:dyDescent="0.2">
      <c r="A606" s="468"/>
      <c r="B606" s="469"/>
      <c r="C606" s="469"/>
      <c r="D606" s="469"/>
      <c r="E606" s="469"/>
      <c r="F606" s="469"/>
      <c r="G606" s="469"/>
      <c r="H606" s="468"/>
      <c r="I606" s="468"/>
      <c r="J606" s="468"/>
      <c r="K606" s="468"/>
      <c r="L606" s="468"/>
      <c r="M606" s="468"/>
      <c r="N606" s="468"/>
      <c r="O606" s="468"/>
    </row>
    <row r="607" spans="1:15" ht="23.25" customHeight="1" x14ac:dyDescent="0.2">
      <c r="A607" s="468"/>
      <c r="B607" s="469"/>
      <c r="C607" s="469"/>
      <c r="D607" s="469"/>
      <c r="E607" s="469"/>
      <c r="F607" s="469"/>
      <c r="G607" s="469"/>
      <c r="H607" s="468"/>
      <c r="I607" s="468"/>
      <c r="J607" s="468"/>
      <c r="K607" s="468"/>
      <c r="L607" s="468"/>
      <c r="M607" s="468"/>
      <c r="N607" s="468"/>
      <c r="O607" s="468"/>
    </row>
    <row r="608" spans="1:15" ht="23.25" customHeight="1" x14ac:dyDescent="0.2">
      <c r="A608" s="468"/>
      <c r="B608" s="469"/>
      <c r="C608" s="469"/>
      <c r="D608" s="469"/>
      <c r="E608" s="469"/>
      <c r="F608" s="469"/>
      <c r="G608" s="469"/>
      <c r="H608" s="468"/>
      <c r="I608" s="468"/>
      <c r="J608" s="468"/>
      <c r="K608" s="468"/>
      <c r="L608" s="468"/>
      <c r="M608" s="468"/>
      <c r="N608" s="468"/>
      <c r="O608" s="468"/>
    </row>
    <row r="609" spans="1:15" ht="23.25" customHeight="1" x14ac:dyDescent="0.2">
      <c r="A609" s="468"/>
      <c r="B609" s="469"/>
      <c r="C609" s="469"/>
      <c r="D609" s="469"/>
      <c r="E609" s="469"/>
      <c r="F609" s="469"/>
      <c r="G609" s="469"/>
      <c r="H609" s="468"/>
      <c r="I609" s="468"/>
      <c r="J609" s="468"/>
      <c r="K609" s="468"/>
      <c r="L609" s="468"/>
      <c r="M609" s="468"/>
      <c r="N609" s="468"/>
      <c r="O609" s="468"/>
    </row>
    <row r="610" spans="1:15" ht="23.25" customHeight="1" x14ac:dyDescent="0.2">
      <c r="A610" s="468"/>
      <c r="B610" s="469"/>
      <c r="C610" s="469"/>
      <c r="D610" s="469"/>
      <c r="E610" s="469"/>
      <c r="F610" s="469"/>
      <c r="G610" s="469"/>
      <c r="H610" s="468"/>
      <c r="I610" s="468"/>
      <c r="J610" s="468"/>
      <c r="K610" s="468"/>
      <c r="L610" s="468"/>
      <c r="M610" s="468"/>
      <c r="N610" s="468"/>
      <c r="O610" s="468"/>
    </row>
    <row r="611" spans="1:15" ht="23.25" customHeight="1" x14ac:dyDescent="0.2">
      <c r="A611" s="468"/>
      <c r="B611" s="469"/>
      <c r="C611" s="469"/>
      <c r="D611" s="469"/>
      <c r="E611" s="469"/>
      <c r="F611" s="469"/>
      <c r="G611" s="469"/>
      <c r="H611" s="468"/>
      <c r="I611" s="468"/>
      <c r="J611" s="468"/>
      <c r="K611" s="468"/>
      <c r="L611" s="468"/>
      <c r="M611" s="468"/>
      <c r="N611" s="468"/>
      <c r="O611" s="468"/>
    </row>
    <row r="612" spans="1:15" ht="23.25" customHeight="1" x14ac:dyDescent="0.2">
      <c r="A612" s="468"/>
      <c r="B612" s="469"/>
      <c r="C612" s="469"/>
      <c r="D612" s="469"/>
      <c r="E612" s="469"/>
      <c r="F612" s="469"/>
      <c r="G612" s="469"/>
      <c r="H612" s="468"/>
      <c r="I612" s="468"/>
      <c r="J612" s="468"/>
      <c r="K612" s="468"/>
      <c r="L612" s="468"/>
      <c r="M612" s="468"/>
      <c r="N612" s="468"/>
      <c r="O612" s="468"/>
    </row>
    <row r="613" spans="1:15" ht="23.25" customHeight="1" x14ac:dyDescent="0.2">
      <c r="A613" s="468"/>
      <c r="B613" s="469"/>
      <c r="C613" s="469"/>
      <c r="D613" s="469"/>
      <c r="E613" s="469"/>
      <c r="F613" s="469"/>
      <c r="G613" s="469"/>
      <c r="H613" s="468"/>
      <c r="I613" s="468"/>
      <c r="J613" s="468"/>
      <c r="K613" s="468"/>
      <c r="L613" s="468"/>
      <c r="M613" s="468"/>
      <c r="N613" s="468"/>
      <c r="O613" s="468"/>
    </row>
    <row r="614" spans="1:15" ht="23.25" customHeight="1" x14ac:dyDescent="0.2">
      <c r="A614" s="468"/>
      <c r="B614" s="469"/>
      <c r="C614" s="469"/>
      <c r="D614" s="469"/>
      <c r="E614" s="469"/>
      <c r="F614" s="469"/>
      <c r="G614" s="469"/>
      <c r="H614" s="468"/>
      <c r="I614" s="468"/>
      <c r="J614" s="468"/>
      <c r="K614" s="468"/>
      <c r="L614" s="468"/>
      <c r="M614" s="468"/>
      <c r="N614" s="468"/>
      <c r="O614" s="468"/>
    </row>
    <row r="615" spans="1:15" ht="23.25" customHeight="1" x14ac:dyDescent="0.2">
      <c r="A615" s="468"/>
      <c r="B615" s="469"/>
      <c r="C615" s="469"/>
      <c r="D615" s="469"/>
      <c r="E615" s="469"/>
      <c r="F615" s="469"/>
      <c r="G615" s="469"/>
      <c r="H615" s="468"/>
      <c r="I615" s="468"/>
      <c r="J615" s="468"/>
      <c r="K615" s="468"/>
      <c r="L615" s="468"/>
      <c r="M615" s="468"/>
      <c r="N615" s="468"/>
      <c r="O615" s="468"/>
    </row>
    <row r="616" spans="1:15" ht="23.25" customHeight="1" x14ac:dyDescent="0.2">
      <c r="A616" s="468"/>
      <c r="B616" s="469"/>
      <c r="C616" s="469"/>
      <c r="D616" s="469"/>
      <c r="E616" s="469"/>
      <c r="F616" s="469"/>
      <c r="G616" s="469"/>
      <c r="H616" s="468"/>
      <c r="I616" s="468"/>
      <c r="J616" s="468"/>
      <c r="K616" s="468"/>
      <c r="L616" s="468"/>
      <c r="M616" s="468"/>
      <c r="N616" s="468"/>
      <c r="O616" s="468"/>
    </row>
    <row r="617" spans="1:15" ht="23.25" customHeight="1" x14ac:dyDescent="0.2">
      <c r="A617" s="468"/>
      <c r="B617" s="469"/>
      <c r="C617" s="469"/>
      <c r="D617" s="469"/>
      <c r="E617" s="469"/>
      <c r="F617" s="469"/>
      <c r="G617" s="469"/>
      <c r="H617" s="468"/>
      <c r="I617" s="468"/>
      <c r="J617" s="468"/>
      <c r="K617" s="468"/>
      <c r="L617" s="468"/>
      <c r="M617" s="468"/>
      <c r="N617" s="468"/>
      <c r="O617" s="468"/>
    </row>
    <row r="618" spans="1:15" ht="23.25" customHeight="1" x14ac:dyDescent="0.2">
      <c r="A618" s="468"/>
      <c r="B618" s="469"/>
      <c r="C618" s="469"/>
      <c r="D618" s="469"/>
      <c r="E618" s="469"/>
      <c r="F618" s="469"/>
      <c r="G618" s="469"/>
      <c r="H618" s="468"/>
      <c r="I618" s="468"/>
      <c r="J618" s="468"/>
      <c r="K618" s="468"/>
      <c r="L618" s="468"/>
      <c r="M618" s="468"/>
      <c r="N618" s="468"/>
      <c r="O618" s="468"/>
    </row>
    <row r="619" spans="1:15" ht="23.25" customHeight="1" x14ac:dyDescent="0.2">
      <c r="A619" s="468"/>
      <c r="B619" s="469"/>
      <c r="C619" s="469"/>
      <c r="D619" s="469"/>
      <c r="E619" s="469"/>
      <c r="F619" s="469"/>
      <c r="G619" s="469"/>
      <c r="H619" s="468"/>
      <c r="I619" s="468"/>
      <c r="J619" s="468"/>
      <c r="K619" s="468"/>
      <c r="L619" s="468"/>
      <c r="M619" s="468"/>
      <c r="N619" s="468"/>
      <c r="O619" s="468"/>
    </row>
    <row r="620" spans="1:15" ht="23.25" customHeight="1" x14ac:dyDescent="0.2">
      <c r="A620" s="468"/>
      <c r="B620" s="469"/>
      <c r="C620" s="469"/>
      <c r="D620" s="469"/>
      <c r="E620" s="469"/>
      <c r="F620" s="469"/>
      <c r="G620" s="469"/>
      <c r="H620" s="468"/>
      <c r="I620" s="468"/>
      <c r="J620" s="468"/>
      <c r="K620" s="468"/>
      <c r="L620" s="468"/>
      <c r="M620" s="468"/>
      <c r="N620" s="468"/>
      <c r="O620" s="468"/>
    </row>
    <row r="621" spans="1:15" ht="23.25" customHeight="1" x14ac:dyDescent="0.2">
      <c r="A621" s="468"/>
      <c r="B621" s="469"/>
      <c r="C621" s="469"/>
      <c r="D621" s="469"/>
      <c r="E621" s="469"/>
      <c r="F621" s="469"/>
      <c r="G621" s="469"/>
      <c r="H621" s="468"/>
      <c r="I621" s="468"/>
      <c r="J621" s="468"/>
      <c r="K621" s="468"/>
      <c r="L621" s="468"/>
      <c r="M621" s="468"/>
      <c r="N621" s="468"/>
      <c r="O621" s="468"/>
    </row>
    <row r="622" spans="1:15" ht="23.25" customHeight="1" x14ac:dyDescent="0.2">
      <c r="A622" s="468"/>
      <c r="B622" s="469"/>
      <c r="C622" s="469"/>
      <c r="D622" s="469"/>
      <c r="E622" s="469"/>
      <c r="F622" s="469"/>
      <c r="G622" s="469"/>
      <c r="H622" s="468"/>
      <c r="I622" s="468"/>
      <c r="J622" s="468"/>
      <c r="K622" s="468"/>
      <c r="L622" s="468"/>
      <c r="M622" s="468"/>
      <c r="N622" s="468"/>
      <c r="O622" s="468"/>
    </row>
    <row r="623" spans="1:15" ht="23.25" customHeight="1" x14ac:dyDescent="0.2">
      <c r="A623" s="468"/>
      <c r="B623" s="469"/>
      <c r="C623" s="469"/>
      <c r="D623" s="469"/>
      <c r="E623" s="469"/>
      <c r="F623" s="469"/>
      <c r="G623" s="469"/>
      <c r="H623" s="468"/>
      <c r="I623" s="468"/>
      <c r="J623" s="468"/>
      <c r="K623" s="468"/>
      <c r="L623" s="468"/>
      <c r="M623" s="468"/>
      <c r="N623" s="468"/>
      <c r="O623" s="468"/>
    </row>
    <row r="624" spans="1:15" ht="23.25" customHeight="1" x14ac:dyDescent="0.2">
      <c r="A624" s="468"/>
      <c r="B624" s="469"/>
      <c r="C624" s="469"/>
      <c r="D624" s="469"/>
      <c r="E624" s="469"/>
      <c r="F624" s="469"/>
      <c r="G624" s="469"/>
      <c r="H624" s="468"/>
      <c r="I624" s="468"/>
      <c r="J624" s="468"/>
      <c r="K624" s="468"/>
      <c r="L624" s="468"/>
      <c r="M624" s="468"/>
      <c r="N624" s="468"/>
      <c r="O624" s="468"/>
    </row>
    <row r="625" spans="1:15" ht="23.25" customHeight="1" x14ac:dyDescent="0.2">
      <c r="A625" s="468"/>
      <c r="B625" s="469"/>
      <c r="C625" s="469"/>
      <c r="D625" s="469"/>
      <c r="E625" s="469"/>
      <c r="F625" s="469"/>
      <c r="G625" s="469"/>
      <c r="H625" s="468"/>
      <c r="I625" s="468"/>
      <c r="J625" s="468"/>
      <c r="K625" s="468"/>
      <c r="L625" s="468"/>
      <c r="M625" s="468"/>
      <c r="N625" s="468"/>
      <c r="O625" s="468"/>
    </row>
    <row r="626" spans="1:15" ht="23.25" customHeight="1" x14ac:dyDescent="0.2">
      <c r="A626" s="468"/>
      <c r="B626" s="469"/>
      <c r="C626" s="469"/>
      <c r="D626" s="469"/>
      <c r="E626" s="469"/>
      <c r="F626" s="469"/>
      <c r="G626" s="469"/>
      <c r="H626" s="468"/>
      <c r="I626" s="468"/>
      <c r="J626" s="468"/>
      <c r="K626" s="468"/>
      <c r="L626" s="468"/>
      <c r="M626" s="468"/>
      <c r="N626" s="468"/>
      <c r="O626" s="468"/>
    </row>
    <row r="627" spans="1:15" ht="23.25" customHeight="1" x14ac:dyDescent="0.2">
      <c r="A627" s="468"/>
      <c r="B627" s="469"/>
      <c r="C627" s="469"/>
      <c r="D627" s="469"/>
      <c r="E627" s="469"/>
      <c r="F627" s="469"/>
      <c r="G627" s="469"/>
      <c r="H627" s="468"/>
      <c r="I627" s="468"/>
      <c r="J627" s="468"/>
      <c r="K627" s="468"/>
      <c r="L627" s="468"/>
      <c r="M627" s="468"/>
      <c r="N627" s="468"/>
      <c r="O627" s="468"/>
    </row>
    <row r="628" spans="1:15" ht="23.25" customHeight="1" x14ac:dyDescent="0.2">
      <c r="A628" s="468"/>
      <c r="B628" s="469"/>
      <c r="C628" s="469"/>
      <c r="D628" s="469"/>
      <c r="E628" s="469"/>
      <c r="F628" s="469"/>
      <c r="G628" s="469"/>
      <c r="H628" s="468"/>
      <c r="I628" s="468"/>
      <c r="J628" s="468"/>
      <c r="K628" s="468"/>
      <c r="L628" s="468"/>
      <c r="M628" s="468"/>
      <c r="N628" s="468"/>
      <c r="O628" s="468"/>
    </row>
    <row r="629" spans="1:15" ht="23.25" customHeight="1" x14ac:dyDescent="0.2">
      <c r="A629" s="468"/>
      <c r="B629" s="469"/>
      <c r="C629" s="469"/>
      <c r="D629" s="469"/>
      <c r="E629" s="469"/>
      <c r="F629" s="469"/>
      <c r="G629" s="469"/>
      <c r="H629" s="468"/>
      <c r="I629" s="468"/>
      <c r="J629" s="468"/>
      <c r="K629" s="468"/>
      <c r="L629" s="468"/>
      <c r="M629" s="468"/>
      <c r="N629" s="468"/>
      <c r="O629" s="468"/>
    </row>
    <row r="630" spans="1:15" ht="23.25" customHeight="1" x14ac:dyDescent="0.2">
      <c r="A630" s="468"/>
      <c r="B630" s="469"/>
      <c r="C630" s="469"/>
      <c r="D630" s="469"/>
      <c r="E630" s="469"/>
      <c r="F630" s="469"/>
      <c r="G630" s="469"/>
      <c r="H630" s="468"/>
      <c r="I630" s="468"/>
      <c r="J630" s="468"/>
      <c r="K630" s="468"/>
      <c r="L630" s="468"/>
      <c r="M630" s="468"/>
      <c r="N630" s="468"/>
      <c r="O630" s="468"/>
    </row>
    <row r="631" spans="1:15" ht="23.25" customHeight="1" x14ac:dyDescent="0.2">
      <c r="A631" s="468"/>
      <c r="B631" s="469"/>
      <c r="C631" s="469"/>
      <c r="D631" s="469"/>
      <c r="E631" s="469"/>
      <c r="F631" s="469"/>
      <c r="G631" s="469"/>
      <c r="H631" s="468"/>
      <c r="I631" s="468"/>
      <c r="J631" s="468"/>
      <c r="K631" s="468"/>
      <c r="L631" s="468"/>
      <c r="M631" s="468"/>
      <c r="N631" s="468"/>
      <c r="O631" s="468"/>
    </row>
    <row r="632" spans="1:15" ht="23.25" customHeight="1" x14ac:dyDescent="0.2">
      <c r="A632" s="468"/>
      <c r="B632" s="469"/>
      <c r="C632" s="469"/>
      <c r="D632" s="469"/>
      <c r="E632" s="469"/>
      <c r="F632" s="469"/>
      <c r="G632" s="469"/>
      <c r="H632" s="468"/>
      <c r="I632" s="468"/>
      <c r="J632" s="468"/>
      <c r="K632" s="468"/>
      <c r="L632" s="468"/>
      <c r="M632" s="468"/>
      <c r="N632" s="468"/>
      <c r="O632" s="468"/>
    </row>
    <row r="633" spans="1:15" ht="23.25" customHeight="1" x14ac:dyDescent="0.2">
      <c r="A633" s="468"/>
      <c r="B633" s="469"/>
      <c r="C633" s="469"/>
      <c r="D633" s="469"/>
      <c r="E633" s="469"/>
      <c r="F633" s="469"/>
      <c r="G633" s="469"/>
      <c r="H633" s="468"/>
      <c r="I633" s="468"/>
      <c r="J633" s="468"/>
      <c r="K633" s="468"/>
      <c r="L633" s="468"/>
      <c r="M633" s="468"/>
      <c r="N633" s="468"/>
      <c r="O633" s="468"/>
    </row>
    <row r="634" spans="1:15" ht="23.25" customHeight="1" x14ac:dyDescent="0.2">
      <c r="A634" s="468"/>
      <c r="B634" s="469"/>
      <c r="C634" s="469"/>
      <c r="D634" s="469"/>
      <c r="E634" s="469"/>
      <c r="F634" s="469"/>
      <c r="G634" s="469"/>
      <c r="H634" s="468"/>
      <c r="I634" s="468"/>
      <c r="J634" s="468"/>
      <c r="K634" s="468"/>
      <c r="L634" s="468"/>
      <c r="M634" s="468"/>
      <c r="N634" s="468"/>
      <c r="O634" s="468"/>
    </row>
    <row r="635" spans="1:15" ht="23.25" customHeight="1" x14ac:dyDescent="0.2">
      <c r="A635" s="468"/>
      <c r="B635" s="469"/>
      <c r="C635" s="469"/>
      <c r="D635" s="469"/>
      <c r="E635" s="469"/>
      <c r="F635" s="469"/>
      <c r="G635" s="469"/>
      <c r="H635" s="468"/>
      <c r="I635" s="468"/>
      <c r="J635" s="468"/>
      <c r="K635" s="468"/>
      <c r="L635" s="468"/>
      <c r="M635" s="468"/>
      <c r="N635" s="468"/>
      <c r="O635" s="468"/>
    </row>
    <row r="636" spans="1:15" ht="23.25" customHeight="1" x14ac:dyDescent="0.2">
      <c r="A636" s="468"/>
      <c r="B636" s="469"/>
      <c r="C636" s="469"/>
      <c r="D636" s="469"/>
      <c r="E636" s="469"/>
      <c r="F636" s="469"/>
      <c r="G636" s="469"/>
      <c r="H636" s="468"/>
      <c r="I636" s="468"/>
      <c r="J636" s="468"/>
      <c r="K636" s="468"/>
      <c r="L636" s="468"/>
      <c r="M636" s="468"/>
      <c r="N636" s="468"/>
      <c r="O636" s="468"/>
    </row>
    <row r="637" spans="1:15" ht="23.25" customHeight="1" x14ac:dyDescent="0.2">
      <c r="A637" s="468"/>
      <c r="B637" s="469"/>
      <c r="C637" s="469"/>
      <c r="D637" s="469"/>
      <c r="E637" s="469"/>
      <c r="F637" s="469"/>
      <c r="G637" s="469"/>
      <c r="H637" s="468"/>
      <c r="I637" s="468"/>
      <c r="J637" s="468"/>
      <c r="K637" s="468"/>
      <c r="L637" s="468"/>
      <c r="M637" s="468"/>
      <c r="N637" s="468"/>
      <c r="O637" s="468"/>
    </row>
    <row r="638" spans="1:15" ht="23.25" customHeight="1" x14ac:dyDescent="0.2">
      <c r="A638" s="468"/>
      <c r="B638" s="469"/>
      <c r="C638" s="469"/>
      <c r="D638" s="469"/>
      <c r="E638" s="469"/>
      <c r="F638" s="469"/>
      <c r="G638" s="469"/>
      <c r="H638" s="468"/>
      <c r="I638" s="468"/>
      <c r="J638" s="468"/>
      <c r="K638" s="468"/>
      <c r="L638" s="468"/>
      <c r="M638" s="468"/>
      <c r="N638" s="468"/>
      <c r="O638" s="468"/>
    </row>
    <row r="639" spans="1:15" ht="23.25" customHeight="1" x14ac:dyDescent="0.2">
      <c r="A639" s="468"/>
      <c r="B639" s="469"/>
      <c r="C639" s="469"/>
      <c r="D639" s="469"/>
      <c r="E639" s="469"/>
      <c r="F639" s="469"/>
      <c r="G639" s="469"/>
      <c r="H639" s="468"/>
      <c r="I639" s="468"/>
      <c r="J639" s="468"/>
      <c r="K639" s="468"/>
      <c r="L639" s="468"/>
      <c r="M639" s="468"/>
      <c r="N639" s="468"/>
      <c r="O639" s="468"/>
    </row>
    <row r="640" spans="1:15" ht="23.25" customHeight="1" x14ac:dyDescent="0.2">
      <c r="A640" s="468"/>
      <c r="B640" s="469"/>
      <c r="C640" s="469"/>
      <c r="D640" s="469"/>
      <c r="E640" s="469"/>
      <c r="F640" s="469"/>
      <c r="G640" s="469"/>
      <c r="H640" s="468"/>
      <c r="I640" s="468"/>
      <c r="J640" s="468"/>
      <c r="K640" s="468"/>
      <c r="L640" s="468"/>
      <c r="M640" s="468"/>
      <c r="N640" s="468"/>
      <c r="O640" s="468"/>
    </row>
    <row r="641" spans="1:15" ht="23.25" customHeight="1" x14ac:dyDescent="0.2">
      <c r="A641" s="468"/>
      <c r="B641" s="469"/>
      <c r="C641" s="469"/>
      <c r="D641" s="469"/>
      <c r="E641" s="469"/>
      <c r="F641" s="469"/>
      <c r="G641" s="469"/>
      <c r="H641" s="468"/>
      <c r="I641" s="468"/>
      <c r="J641" s="468"/>
      <c r="K641" s="468"/>
      <c r="L641" s="468"/>
      <c r="M641" s="468"/>
      <c r="N641" s="468"/>
      <c r="O641" s="468"/>
    </row>
    <row r="642" spans="1:15" ht="23.25" customHeight="1" x14ac:dyDescent="0.2">
      <c r="A642" s="468"/>
      <c r="B642" s="469"/>
      <c r="C642" s="469"/>
      <c r="D642" s="469"/>
      <c r="E642" s="469"/>
      <c r="F642" s="469"/>
      <c r="G642" s="469"/>
      <c r="H642" s="468"/>
      <c r="I642" s="468"/>
      <c r="J642" s="468"/>
      <c r="K642" s="468"/>
      <c r="L642" s="468"/>
      <c r="M642" s="468"/>
      <c r="N642" s="468"/>
      <c r="O642" s="468"/>
    </row>
    <row r="643" spans="1:15" ht="23.25" customHeight="1" x14ac:dyDescent="0.2">
      <c r="A643" s="468"/>
      <c r="B643" s="469"/>
      <c r="C643" s="469"/>
      <c r="D643" s="469"/>
      <c r="E643" s="469"/>
      <c r="F643" s="469"/>
      <c r="G643" s="469"/>
      <c r="H643" s="468"/>
      <c r="I643" s="468"/>
      <c r="J643" s="468"/>
      <c r="K643" s="468"/>
      <c r="L643" s="468"/>
      <c r="M643" s="468"/>
      <c r="N643" s="468"/>
      <c r="O643" s="468"/>
    </row>
    <row r="644" spans="1:15" ht="23.25" customHeight="1" x14ac:dyDescent="0.2">
      <c r="A644" s="468"/>
      <c r="B644" s="469"/>
      <c r="C644" s="469"/>
      <c r="D644" s="469"/>
      <c r="E644" s="469"/>
      <c r="F644" s="469"/>
      <c r="G644" s="469"/>
      <c r="H644" s="468"/>
      <c r="I644" s="468"/>
      <c r="J644" s="468"/>
      <c r="K644" s="468"/>
      <c r="L644" s="468"/>
      <c r="M644" s="468"/>
      <c r="N644" s="468"/>
      <c r="O644" s="468"/>
    </row>
    <row r="645" spans="1:15" ht="23.25" customHeight="1" x14ac:dyDescent="0.2">
      <c r="A645" s="468"/>
      <c r="B645" s="469"/>
      <c r="C645" s="469"/>
      <c r="D645" s="469"/>
      <c r="E645" s="469"/>
      <c r="F645" s="469"/>
      <c r="G645" s="469"/>
      <c r="H645" s="468"/>
      <c r="I645" s="468"/>
      <c r="J645" s="468"/>
      <c r="K645" s="468"/>
      <c r="L645" s="468"/>
      <c r="M645" s="468"/>
      <c r="N645" s="468"/>
      <c r="O645" s="468"/>
    </row>
    <row r="646" spans="1:15" ht="23.25" customHeight="1" x14ac:dyDescent="0.2">
      <c r="A646" s="468"/>
      <c r="B646" s="469"/>
      <c r="C646" s="469"/>
      <c r="D646" s="469"/>
      <c r="E646" s="469"/>
      <c r="F646" s="469"/>
      <c r="G646" s="469"/>
      <c r="H646" s="468"/>
      <c r="I646" s="468"/>
      <c r="J646" s="468"/>
      <c r="K646" s="468"/>
      <c r="L646" s="468"/>
      <c r="M646" s="468"/>
      <c r="N646" s="468"/>
      <c r="O646" s="468"/>
    </row>
    <row r="647" spans="1:15" ht="23.25" customHeight="1" x14ac:dyDescent="0.2">
      <c r="A647" s="468"/>
      <c r="B647" s="469"/>
      <c r="C647" s="469"/>
      <c r="D647" s="469"/>
      <c r="E647" s="469"/>
      <c r="F647" s="469"/>
      <c r="G647" s="469"/>
      <c r="H647" s="468"/>
      <c r="I647" s="468"/>
      <c r="J647" s="468"/>
      <c r="K647" s="468"/>
      <c r="L647" s="468"/>
      <c r="M647" s="468"/>
      <c r="N647" s="468"/>
      <c r="O647" s="468"/>
    </row>
    <row r="648" spans="1:15" ht="23.25" customHeight="1" x14ac:dyDescent="0.2">
      <c r="A648" s="468"/>
      <c r="B648" s="469"/>
      <c r="C648" s="469"/>
      <c r="D648" s="469"/>
      <c r="E648" s="469"/>
      <c r="F648" s="469"/>
      <c r="G648" s="469"/>
      <c r="H648" s="468"/>
      <c r="I648" s="468"/>
      <c r="J648" s="468"/>
      <c r="K648" s="468"/>
      <c r="L648" s="468"/>
      <c r="M648" s="468"/>
      <c r="N648" s="468"/>
      <c r="O648" s="468"/>
    </row>
    <row r="649" spans="1:15" ht="23.25" customHeight="1" x14ac:dyDescent="0.2">
      <c r="A649" s="468"/>
      <c r="B649" s="469"/>
      <c r="C649" s="469"/>
      <c r="D649" s="469"/>
      <c r="E649" s="469"/>
      <c r="F649" s="469"/>
      <c r="G649" s="469"/>
      <c r="H649" s="468"/>
      <c r="I649" s="468"/>
      <c r="J649" s="468"/>
      <c r="K649" s="468"/>
      <c r="L649" s="468"/>
      <c r="M649" s="468"/>
      <c r="N649" s="468"/>
      <c r="O649" s="468"/>
    </row>
    <row r="650" spans="1:15" ht="23.25" customHeight="1" x14ac:dyDescent="0.2">
      <c r="A650" s="468"/>
      <c r="B650" s="469"/>
      <c r="C650" s="469"/>
      <c r="D650" s="469"/>
      <c r="E650" s="469"/>
      <c r="F650" s="469"/>
      <c r="G650" s="469"/>
      <c r="H650" s="468"/>
      <c r="I650" s="468"/>
      <c r="J650" s="468"/>
      <c r="K650" s="468"/>
      <c r="L650" s="468"/>
      <c r="M650" s="468"/>
      <c r="N650" s="468"/>
      <c r="O650" s="468"/>
    </row>
    <row r="651" spans="1:15" ht="23.25" customHeight="1" x14ac:dyDescent="0.2">
      <c r="A651" s="468"/>
      <c r="B651" s="469"/>
      <c r="C651" s="469"/>
      <c r="D651" s="469"/>
      <c r="E651" s="469"/>
      <c r="F651" s="469"/>
      <c r="G651" s="469"/>
      <c r="H651" s="468"/>
      <c r="I651" s="468"/>
      <c r="J651" s="468"/>
      <c r="K651" s="468"/>
      <c r="L651" s="468"/>
      <c r="M651" s="468"/>
      <c r="N651" s="468"/>
      <c r="O651" s="468"/>
    </row>
    <row r="652" spans="1:15" ht="23.25" customHeight="1" x14ac:dyDescent="0.2">
      <c r="A652" s="468"/>
      <c r="B652" s="469"/>
      <c r="C652" s="469"/>
      <c r="D652" s="469"/>
      <c r="E652" s="469"/>
      <c r="F652" s="469"/>
      <c r="G652" s="469"/>
      <c r="H652" s="468"/>
      <c r="I652" s="468"/>
      <c r="J652" s="468"/>
      <c r="K652" s="468"/>
      <c r="L652" s="468"/>
      <c r="M652" s="468"/>
      <c r="N652" s="468"/>
      <c r="O652" s="468"/>
    </row>
    <row r="653" spans="1:15" ht="23.25" customHeight="1" x14ac:dyDescent="0.2">
      <c r="A653" s="468"/>
      <c r="B653" s="469"/>
      <c r="C653" s="469"/>
      <c r="D653" s="469"/>
      <c r="E653" s="469"/>
      <c r="F653" s="469"/>
      <c r="G653" s="469"/>
      <c r="H653" s="468"/>
      <c r="I653" s="468"/>
      <c r="J653" s="468"/>
      <c r="K653" s="468"/>
      <c r="L653" s="468"/>
      <c r="M653" s="468"/>
      <c r="N653" s="468"/>
      <c r="O653" s="468"/>
    </row>
    <row r="654" spans="1:15" ht="23.25" customHeight="1" x14ac:dyDescent="0.2">
      <c r="A654" s="468"/>
      <c r="B654" s="469"/>
      <c r="C654" s="469"/>
      <c r="D654" s="469"/>
      <c r="E654" s="469"/>
      <c r="F654" s="469"/>
      <c r="G654" s="469"/>
      <c r="H654" s="468"/>
      <c r="I654" s="468"/>
      <c r="J654" s="468"/>
      <c r="K654" s="468"/>
      <c r="L654" s="468"/>
      <c r="M654" s="468"/>
      <c r="N654" s="468"/>
      <c r="O654" s="468"/>
    </row>
    <row r="655" spans="1:15" ht="23.25" customHeight="1" x14ac:dyDescent="0.2">
      <c r="A655" s="468"/>
      <c r="B655" s="469"/>
      <c r="C655" s="469"/>
      <c r="D655" s="469"/>
      <c r="E655" s="469"/>
      <c r="F655" s="469"/>
      <c r="G655" s="469"/>
      <c r="H655" s="468"/>
      <c r="I655" s="468"/>
      <c r="J655" s="468"/>
      <c r="K655" s="468"/>
      <c r="L655" s="468"/>
      <c r="M655" s="468"/>
      <c r="N655" s="468"/>
      <c r="O655" s="468"/>
    </row>
    <row r="656" spans="1:15" ht="23.25" customHeight="1" x14ac:dyDescent="0.2">
      <c r="A656" s="468"/>
      <c r="B656" s="469"/>
      <c r="C656" s="469"/>
      <c r="D656" s="469"/>
      <c r="E656" s="469"/>
      <c r="F656" s="469"/>
      <c r="G656" s="469"/>
      <c r="H656" s="468"/>
      <c r="I656" s="468"/>
      <c r="J656" s="468"/>
      <c r="K656" s="468"/>
      <c r="L656" s="468"/>
      <c r="M656" s="468"/>
      <c r="N656" s="468"/>
      <c r="O656" s="468"/>
    </row>
    <row r="657" spans="1:15" ht="23.25" customHeight="1" x14ac:dyDescent="0.2">
      <c r="A657" s="468"/>
      <c r="B657" s="469"/>
      <c r="C657" s="469"/>
      <c r="D657" s="469"/>
      <c r="E657" s="469"/>
      <c r="F657" s="469"/>
      <c r="G657" s="469"/>
      <c r="H657" s="468"/>
      <c r="I657" s="468"/>
      <c r="J657" s="468"/>
      <c r="K657" s="468"/>
      <c r="L657" s="468"/>
      <c r="M657" s="468"/>
      <c r="N657" s="468"/>
      <c r="O657" s="468"/>
    </row>
    <row r="658" spans="1:15" ht="23.25" customHeight="1" x14ac:dyDescent="0.2">
      <c r="A658" s="468"/>
      <c r="B658" s="469"/>
      <c r="C658" s="469"/>
      <c r="D658" s="469"/>
      <c r="E658" s="469"/>
      <c r="F658" s="469"/>
      <c r="G658" s="469"/>
      <c r="H658" s="468"/>
      <c r="I658" s="468"/>
      <c r="J658" s="468"/>
      <c r="K658" s="468"/>
      <c r="L658" s="468"/>
      <c r="M658" s="468"/>
      <c r="N658" s="468"/>
      <c r="O658" s="468"/>
    </row>
    <row r="659" spans="1:15" ht="23.25" customHeight="1" x14ac:dyDescent="0.2">
      <c r="A659" s="468"/>
      <c r="B659" s="469"/>
      <c r="C659" s="469"/>
      <c r="D659" s="469"/>
      <c r="E659" s="469"/>
      <c r="F659" s="469"/>
      <c r="G659" s="469"/>
      <c r="H659" s="468"/>
      <c r="I659" s="468"/>
      <c r="J659" s="468"/>
      <c r="K659" s="468"/>
      <c r="L659" s="468"/>
      <c r="M659" s="468"/>
      <c r="N659" s="468"/>
      <c r="O659" s="468"/>
    </row>
    <row r="660" spans="1:15" ht="23.25" customHeight="1" x14ac:dyDescent="0.2">
      <c r="A660" s="468"/>
      <c r="B660" s="469"/>
      <c r="C660" s="469"/>
      <c r="D660" s="469"/>
      <c r="E660" s="469"/>
      <c r="F660" s="469"/>
      <c r="G660" s="469"/>
      <c r="H660" s="468"/>
      <c r="I660" s="468"/>
      <c r="J660" s="468"/>
      <c r="K660" s="468"/>
      <c r="L660" s="468"/>
      <c r="M660" s="468"/>
      <c r="N660" s="468"/>
      <c r="O660" s="468"/>
    </row>
    <row r="661" spans="1:15" ht="23.25" customHeight="1" x14ac:dyDescent="0.2">
      <c r="A661" s="468"/>
      <c r="B661" s="469"/>
      <c r="C661" s="469"/>
      <c r="D661" s="469"/>
      <c r="E661" s="469"/>
      <c r="F661" s="469"/>
      <c r="G661" s="469"/>
      <c r="H661" s="468"/>
      <c r="I661" s="468"/>
      <c r="J661" s="468"/>
      <c r="K661" s="468"/>
      <c r="L661" s="468"/>
      <c r="M661" s="468"/>
      <c r="N661" s="468"/>
      <c r="O661" s="468"/>
    </row>
    <row r="662" spans="1:15" ht="23.25" customHeight="1" x14ac:dyDescent="0.2">
      <c r="A662" s="468"/>
      <c r="B662" s="469"/>
      <c r="C662" s="469"/>
      <c r="D662" s="469"/>
      <c r="E662" s="469"/>
      <c r="F662" s="469"/>
      <c r="G662" s="469"/>
      <c r="H662" s="468"/>
      <c r="I662" s="468"/>
      <c r="J662" s="468"/>
      <c r="K662" s="468"/>
      <c r="L662" s="468"/>
      <c r="M662" s="468"/>
      <c r="N662" s="468"/>
      <c r="O662" s="468"/>
    </row>
    <row r="663" spans="1:15" ht="23.25" customHeight="1" x14ac:dyDescent="0.2">
      <c r="A663" s="468"/>
      <c r="B663" s="469"/>
      <c r="C663" s="469"/>
      <c r="D663" s="469"/>
      <c r="E663" s="469"/>
      <c r="F663" s="469"/>
      <c r="G663" s="469"/>
      <c r="H663" s="468"/>
      <c r="I663" s="468"/>
      <c r="J663" s="468"/>
      <c r="K663" s="468"/>
      <c r="L663" s="468"/>
      <c r="M663" s="468"/>
      <c r="N663" s="468"/>
      <c r="O663" s="468"/>
    </row>
    <row r="664" spans="1:15" ht="23.25" customHeight="1" x14ac:dyDescent="0.2">
      <c r="A664" s="468"/>
      <c r="B664" s="469"/>
      <c r="C664" s="469"/>
      <c r="D664" s="469"/>
      <c r="E664" s="469"/>
      <c r="F664" s="469"/>
      <c r="G664" s="469"/>
      <c r="H664" s="468"/>
      <c r="I664" s="468"/>
      <c r="J664" s="468"/>
      <c r="K664" s="468"/>
      <c r="L664" s="468"/>
      <c r="M664" s="468"/>
      <c r="N664" s="468"/>
      <c r="O664" s="468"/>
    </row>
    <row r="665" spans="1:15" ht="23.25" customHeight="1" x14ac:dyDescent="0.2">
      <c r="A665" s="468"/>
      <c r="B665" s="469"/>
      <c r="C665" s="469"/>
      <c r="D665" s="469"/>
      <c r="E665" s="469"/>
      <c r="F665" s="469"/>
      <c r="G665" s="469"/>
      <c r="H665" s="468"/>
      <c r="I665" s="468"/>
      <c r="J665" s="468"/>
      <c r="K665" s="468"/>
      <c r="L665" s="468"/>
      <c r="M665" s="468"/>
      <c r="N665" s="468"/>
      <c r="O665" s="468"/>
    </row>
    <row r="666" spans="1:15" ht="23.25" customHeight="1" x14ac:dyDescent="0.2">
      <c r="A666" s="468"/>
      <c r="B666" s="469"/>
      <c r="C666" s="469"/>
      <c r="D666" s="469"/>
      <c r="E666" s="469"/>
      <c r="F666" s="469"/>
      <c r="G666" s="469"/>
      <c r="H666" s="468"/>
      <c r="I666" s="468"/>
      <c r="J666" s="468"/>
      <c r="K666" s="468"/>
      <c r="L666" s="468"/>
      <c r="M666" s="468"/>
      <c r="N666" s="468"/>
      <c r="O666" s="468"/>
    </row>
    <row r="667" spans="1:15" ht="23.25" customHeight="1" x14ac:dyDescent="0.2">
      <c r="A667" s="468"/>
      <c r="B667" s="469"/>
      <c r="C667" s="469"/>
      <c r="D667" s="469"/>
      <c r="E667" s="469"/>
      <c r="F667" s="469"/>
      <c r="G667" s="469"/>
      <c r="H667" s="468"/>
      <c r="I667" s="468"/>
      <c r="J667" s="468"/>
      <c r="K667" s="468"/>
      <c r="L667" s="468"/>
      <c r="M667" s="468"/>
      <c r="N667" s="468"/>
      <c r="O667" s="468"/>
    </row>
    <row r="668" spans="1:15" ht="23.25" customHeight="1" x14ac:dyDescent="0.2">
      <c r="A668" s="468"/>
      <c r="B668" s="469"/>
      <c r="C668" s="469"/>
      <c r="D668" s="469"/>
      <c r="E668" s="469"/>
      <c r="F668" s="469"/>
      <c r="G668" s="469"/>
      <c r="H668" s="468"/>
      <c r="I668" s="468"/>
      <c r="J668" s="468"/>
      <c r="K668" s="468"/>
      <c r="L668" s="468"/>
      <c r="M668" s="468"/>
      <c r="N668" s="468"/>
      <c r="O668" s="468"/>
    </row>
    <row r="669" spans="1:15" ht="23.25" customHeight="1" x14ac:dyDescent="0.2">
      <c r="A669" s="468"/>
      <c r="B669" s="469"/>
      <c r="C669" s="469"/>
      <c r="D669" s="469"/>
      <c r="E669" s="469"/>
      <c r="F669" s="469"/>
      <c r="G669" s="469"/>
      <c r="H669" s="468"/>
      <c r="I669" s="468"/>
      <c r="J669" s="468"/>
      <c r="K669" s="468"/>
      <c r="L669" s="468"/>
      <c r="M669" s="468"/>
      <c r="N669" s="468"/>
      <c r="O669" s="468"/>
    </row>
    <row r="670" spans="1:15" ht="23.25" customHeight="1" x14ac:dyDescent="0.2">
      <c r="A670" s="468"/>
      <c r="B670" s="469"/>
      <c r="C670" s="469"/>
      <c r="D670" s="469"/>
      <c r="E670" s="469"/>
      <c r="F670" s="469"/>
      <c r="G670" s="469"/>
      <c r="H670" s="468"/>
      <c r="I670" s="468"/>
      <c r="J670" s="468"/>
      <c r="K670" s="468"/>
      <c r="L670" s="468"/>
      <c r="M670" s="468"/>
      <c r="N670" s="468"/>
      <c r="O670" s="468"/>
    </row>
    <row r="671" spans="1:15" ht="23.25" customHeight="1" x14ac:dyDescent="0.2">
      <c r="A671" s="468"/>
      <c r="B671" s="469"/>
      <c r="C671" s="469"/>
      <c r="D671" s="469"/>
      <c r="E671" s="469"/>
      <c r="F671" s="469"/>
      <c r="G671" s="469"/>
      <c r="H671" s="468"/>
      <c r="I671" s="468"/>
      <c r="J671" s="468"/>
      <c r="K671" s="468"/>
      <c r="L671" s="468"/>
      <c r="M671" s="468"/>
      <c r="N671" s="468"/>
      <c r="O671" s="468"/>
    </row>
    <row r="672" spans="1:15" ht="23.25" customHeight="1" x14ac:dyDescent="0.2">
      <c r="A672" s="468"/>
      <c r="B672" s="469"/>
      <c r="C672" s="469"/>
      <c r="D672" s="469"/>
      <c r="E672" s="469"/>
      <c r="F672" s="469"/>
      <c r="G672" s="469"/>
      <c r="H672" s="468"/>
      <c r="I672" s="468"/>
      <c r="J672" s="468"/>
      <c r="K672" s="468"/>
      <c r="L672" s="468"/>
      <c r="M672" s="468"/>
      <c r="N672" s="468"/>
      <c r="O672" s="468"/>
    </row>
    <row r="673" spans="1:15" ht="23.25" customHeight="1" x14ac:dyDescent="0.2">
      <c r="A673" s="468"/>
      <c r="B673" s="469"/>
      <c r="C673" s="469"/>
      <c r="D673" s="469"/>
      <c r="E673" s="469"/>
      <c r="F673" s="469"/>
      <c r="G673" s="469"/>
      <c r="H673" s="468"/>
      <c r="I673" s="468"/>
      <c r="J673" s="468"/>
      <c r="K673" s="468"/>
      <c r="L673" s="468"/>
      <c r="M673" s="468"/>
      <c r="N673" s="468"/>
      <c r="O673" s="468"/>
    </row>
    <row r="674" spans="1:15" ht="23.25" customHeight="1" x14ac:dyDescent="0.2">
      <c r="A674" s="468"/>
      <c r="B674" s="469"/>
      <c r="C674" s="469"/>
      <c r="D674" s="469"/>
      <c r="E674" s="469"/>
      <c r="F674" s="469"/>
      <c r="G674" s="469"/>
      <c r="H674" s="468"/>
      <c r="I674" s="468"/>
      <c r="J674" s="468"/>
      <c r="K674" s="468"/>
      <c r="L674" s="468"/>
      <c r="M674" s="468"/>
      <c r="N674" s="468"/>
      <c r="O674" s="468"/>
    </row>
    <row r="675" spans="1:15" ht="23.25" customHeight="1" x14ac:dyDescent="0.2">
      <c r="A675" s="468"/>
      <c r="B675" s="469"/>
      <c r="C675" s="469"/>
      <c r="D675" s="469"/>
      <c r="E675" s="469"/>
      <c r="F675" s="469"/>
      <c r="G675" s="469"/>
      <c r="H675" s="468"/>
      <c r="I675" s="468"/>
      <c r="J675" s="468"/>
      <c r="K675" s="468"/>
      <c r="L675" s="468"/>
      <c r="M675" s="468"/>
      <c r="N675" s="468"/>
      <c r="O675" s="468"/>
    </row>
    <row r="676" spans="1:15" ht="23.25" customHeight="1" x14ac:dyDescent="0.2">
      <c r="A676" s="468"/>
      <c r="B676" s="469"/>
      <c r="C676" s="469"/>
      <c r="D676" s="469"/>
      <c r="E676" s="469"/>
      <c r="F676" s="469"/>
      <c r="G676" s="469"/>
      <c r="H676" s="468"/>
      <c r="I676" s="468"/>
      <c r="J676" s="468"/>
      <c r="K676" s="468"/>
      <c r="L676" s="468"/>
      <c r="M676" s="468"/>
      <c r="N676" s="468"/>
      <c r="O676" s="468"/>
    </row>
    <row r="677" spans="1:15" ht="23.25" customHeight="1" x14ac:dyDescent="0.2">
      <c r="A677" s="468"/>
      <c r="B677" s="469"/>
      <c r="C677" s="469"/>
      <c r="D677" s="469"/>
      <c r="E677" s="469"/>
      <c r="F677" s="469"/>
      <c r="G677" s="469"/>
      <c r="H677" s="468"/>
      <c r="I677" s="468"/>
      <c r="J677" s="468"/>
      <c r="K677" s="468"/>
      <c r="L677" s="468"/>
      <c r="M677" s="468"/>
      <c r="N677" s="468"/>
      <c r="O677" s="468"/>
    </row>
    <row r="678" spans="1:15" ht="23.25" customHeight="1" x14ac:dyDescent="0.2">
      <c r="A678" s="468"/>
      <c r="B678" s="469"/>
      <c r="C678" s="469"/>
      <c r="D678" s="469"/>
      <c r="E678" s="469"/>
      <c r="F678" s="469"/>
      <c r="G678" s="469"/>
      <c r="H678" s="468"/>
      <c r="I678" s="468"/>
      <c r="J678" s="468"/>
      <c r="K678" s="468"/>
      <c r="L678" s="468"/>
      <c r="M678" s="468"/>
      <c r="N678" s="468"/>
      <c r="O678" s="468"/>
    </row>
    <row r="679" spans="1:15" ht="23.25" customHeight="1" x14ac:dyDescent="0.2">
      <c r="A679" s="468"/>
      <c r="B679" s="469"/>
      <c r="C679" s="469"/>
      <c r="D679" s="469"/>
      <c r="E679" s="469"/>
      <c r="F679" s="469"/>
      <c r="G679" s="469"/>
      <c r="H679" s="468"/>
      <c r="I679" s="468"/>
      <c r="J679" s="468"/>
      <c r="K679" s="468"/>
      <c r="L679" s="468"/>
      <c r="M679" s="468"/>
      <c r="N679" s="468"/>
      <c r="O679" s="468"/>
    </row>
    <row r="680" spans="1:15" ht="23.25" customHeight="1" x14ac:dyDescent="0.2">
      <c r="A680" s="468"/>
      <c r="B680" s="469"/>
      <c r="C680" s="469"/>
      <c r="D680" s="469"/>
      <c r="E680" s="469"/>
      <c r="F680" s="469"/>
      <c r="G680" s="469"/>
      <c r="H680" s="468"/>
      <c r="I680" s="468"/>
      <c r="J680" s="468"/>
      <c r="K680" s="468"/>
      <c r="L680" s="468"/>
      <c r="M680" s="468"/>
      <c r="N680" s="468"/>
      <c r="O680" s="468"/>
    </row>
    <row r="681" spans="1:15" ht="23.25" customHeight="1" x14ac:dyDescent="0.2">
      <c r="A681" s="468"/>
      <c r="B681" s="469"/>
      <c r="C681" s="469"/>
      <c r="D681" s="469"/>
      <c r="E681" s="469"/>
      <c r="F681" s="469"/>
      <c r="G681" s="469"/>
      <c r="H681" s="468"/>
      <c r="I681" s="468"/>
      <c r="J681" s="468"/>
      <c r="K681" s="468"/>
      <c r="L681" s="468"/>
      <c r="M681" s="468"/>
      <c r="N681" s="468"/>
      <c r="O681" s="468"/>
    </row>
    <row r="682" spans="1:15" ht="23.25" customHeight="1" x14ac:dyDescent="0.2">
      <c r="A682" s="468"/>
      <c r="B682" s="469"/>
      <c r="C682" s="469"/>
      <c r="D682" s="469"/>
      <c r="E682" s="469"/>
      <c r="F682" s="469"/>
      <c r="G682" s="469"/>
      <c r="H682" s="468"/>
      <c r="I682" s="468"/>
      <c r="J682" s="468"/>
      <c r="K682" s="468"/>
      <c r="L682" s="468"/>
      <c r="M682" s="468"/>
      <c r="N682" s="468"/>
      <c r="O682" s="468"/>
    </row>
    <row r="683" spans="1:15" ht="23.25" customHeight="1" x14ac:dyDescent="0.2">
      <c r="A683" s="468"/>
      <c r="B683" s="469"/>
      <c r="C683" s="469"/>
      <c r="D683" s="469"/>
      <c r="E683" s="469"/>
      <c r="F683" s="469"/>
      <c r="G683" s="469"/>
      <c r="H683" s="468"/>
      <c r="I683" s="468"/>
      <c r="J683" s="468"/>
      <c r="K683" s="468"/>
      <c r="L683" s="468"/>
      <c r="M683" s="468"/>
      <c r="N683" s="468"/>
      <c r="O683" s="468"/>
    </row>
    <row r="684" spans="1:15" ht="23.25" customHeight="1" x14ac:dyDescent="0.2">
      <c r="A684" s="468"/>
      <c r="B684" s="469"/>
      <c r="C684" s="469"/>
      <c r="D684" s="469"/>
      <c r="E684" s="469"/>
      <c r="F684" s="469"/>
      <c r="G684" s="469"/>
      <c r="H684" s="468"/>
      <c r="I684" s="468"/>
      <c r="J684" s="468"/>
      <c r="K684" s="468"/>
      <c r="L684" s="468"/>
      <c r="M684" s="468"/>
      <c r="N684" s="468"/>
      <c r="O684" s="468"/>
    </row>
    <row r="685" spans="1:15" ht="23.25" customHeight="1" x14ac:dyDescent="0.2">
      <c r="A685" s="468"/>
      <c r="B685" s="469"/>
      <c r="C685" s="469"/>
      <c r="D685" s="469"/>
      <c r="E685" s="469"/>
      <c r="F685" s="469"/>
      <c r="G685" s="469"/>
      <c r="H685" s="468"/>
      <c r="I685" s="468"/>
      <c r="J685" s="468"/>
      <c r="K685" s="468"/>
      <c r="L685" s="468"/>
      <c r="M685" s="468"/>
      <c r="N685" s="468"/>
      <c r="O685" s="468"/>
    </row>
    <row r="686" spans="1:15" ht="23.25" customHeight="1" x14ac:dyDescent="0.2">
      <c r="A686" s="468"/>
      <c r="B686" s="469"/>
      <c r="C686" s="469"/>
      <c r="D686" s="469"/>
      <c r="E686" s="469"/>
      <c r="F686" s="469"/>
      <c r="G686" s="469"/>
      <c r="H686" s="468"/>
      <c r="I686" s="468"/>
      <c r="J686" s="468"/>
      <c r="K686" s="468"/>
      <c r="L686" s="468"/>
      <c r="M686" s="468"/>
      <c r="N686" s="468"/>
      <c r="O686" s="468"/>
    </row>
    <row r="687" spans="1:15" ht="23.25" customHeight="1" x14ac:dyDescent="0.2">
      <c r="A687" s="468"/>
      <c r="B687" s="469"/>
      <c r="C687" s="469"/>
      <c r="D687" s="469"/>
      <c r="E687" s="469"/>
      <c r="F687" s="469"/>
      <c r="G687" s="469"/>
      <c r="H687" s="468"/>
      <c r="I687" s="468"/>
      <c r="J687" s="468"/>
      <c r="K687" s="468"/>
      <c r="L687" s="468"/>
      <c r="M687" s="468"/>
      <c r="N687" s="468"/>
      <c r="O687" s="468"/>
    </row>
    <row r="688" spans="1:15" ht="23.25" customHeight="1" x14ac:dyDescent="0.2">
      <c r="A688" s="468"/>
      <c r="B688" s="469"/>
      <c r="C688" s="469"/>
      <c r="D688" s="469"/>
      <c r="E688" s="469"/>
      <c r="F688" s="469"/>
      <c r="G688" s="469"/>
      <c r="H688" s="468"/>
      <c r="I688" s="468"/>
      <c r="J688" s="468"/>
      <c r="K688" s="468"/>
      <c r="L688" s="468"/>
      <c r="M688" s="468"/>
      <c r="N688" s="468"/>
      <c r="O688" s="468"/>
    </row>
    <row r="689" spans="1:15" ht="23.25" customHeight="1" x14ac:dyDescent="0.2">
      <c r="A689" s="468"/>
      <c r="B689" s="469"/>
      <c r="C689" s="469"/>
      <c r="D689" s="469"/>
      <c r="E689" s="469"/>
      <c r="F689" s="469"/>
      <c r="G689" s="469"/>
      <c r="H689" s="468"/>
      <c r="I689" s="468"/>
      <c r="J689" s="468"/>
      <c r="K689" s="468"/>
      <c r="L689" s="468"/>
      <c r="M689" s="468"/>
      <c r="N689" s="468"/>
      <c r="O689" s="468"/>
    </row>
    <row r="690" spans="1:15" ht="23.25" customHeight="1" x14ac:dyDescent="0.2">
      <c r="A690" s="468"/>
      <c r="B690" s="469"/>
      <c r="C690" s="469"/>
      <c r="D690" s="469"/>
      <c r="E690" s="469"/>
      <c r="F690" s="469"/>
      <c r="G690" s="469"/>
      <c r="H690" s="468"/>
      <c r="I690" s="468"/>
      <c r="J690" s="468"/>
      <c r="K690" s="468"/>
      <c r="L690" s="468"/>
      <c r="M690" s="468"/>
      <c r="N690" s="468"/>
      <c r="O690" s="468"/>
    </row>
    <row r="691" spans="1:15" ht="23.25" customHeight="1" x14ac:dyDescent="0.2">
      <c r="A691" s="468"/>
      <c r="B691" s="469"/>
      <c r="C691" s="469"/>
      <c r="D691" s="469"/>
      <c r="E691" s="469"/>
      <c r="F691" s="469"/>
      <c r="G691" s="469"/>
      <c r="H691" s="468"/>
      <c r="I691" s="468"/>
      <c r="J691" s="468"/>
      <c r="K691" s="468"/>
      <c r="L691" s="468"/>
      <c r="M691" s="468"/>
      <c r="N691" s="468"/>
      <c r="O691" s="468"/>
    </row>
    <row r="692" spans="1:15" ht="23.25" customHeight="1" x14ac:dyDescent="0.2">
      <c r="A692" s="468"/>
      <c r="B692" s="469"/>
      <c r="C692" s="469"/>
      <c r="D692" s="469"/>
      <c r="E692" s="469"/>
      <c r="F692" s="469"/>
      <c r="G692" s="469"/>
      <c r="H692" s="468"/>
      <c r="I692" s="468"/>
      <c r="J692" s="468"/>
      <c r="K692" s="468"/>
      <c r="L692" s="468"/>
      <c r="M692" s="468"/>
      <c r="N692" s="468"/>
      <c r="O692" s="468"/>
    </row>
    <row r="693" spans="1:15" ht="23.25" customHeight="1" x14ac:dyDescent="0.2">
      <c r="A693" s="468"/>
      <c r="B693" s="469"/>
      <c r="C693" s="469"/>
      <c r="D693" s="469"/>
      <c r="E693" s="469"/>
      <c r="F693" s="469"/>
      <c r="G693" s="469"/>
      <c r="H693" s="468"/>
      <c r="I693" s="468"/>
      <c r="J693" s="468"/>
      <c r="K693" s="468"/>
      <c r="L693" s="468"/>
      <c r="M693" s="468"/>
      <c r="N693" s="468"/>
      <c r="O693" s="468"/>
    </row>
    <row r="694" spans="1:15" ht="23.25" customHeight="1" x14ac:dyDescent="0.2">
      <c r="A694" s="468"/>
      <c r="B694" s="469"/>
      <c r="C694" s="469"/>
      <c r="D694" s="469"/>
      <c r="E694" s="469"/>
      <c r="F694" s="469"/>
      <c r="G694" s="469"/>
      <c r="H694" s="468"/>
      <c r="I694" s="468"/>
      <c r="J694" s="468"/>
      <c r="K694" s="468"/>
      <c r="L694" s="468"/>
      <c r="M694" s="468"/>
      <c r="N694" s="468"/>
      <c r="O694" s="468"/>
    </row>
    <row r="695" spans="1:15" ht="23.25" customHeight="1" x14ac:dyDescent="0.2">
      <c r="A695" s="468"/>
      <c r="B695" s="469"/>
      <c r="C695" s="469"/>
      <c r="D695" s="469"/>
      <c r="E695" s="469"/>
      <c r="F695" s="469"/>
      <c r="G695" s="469"/>
      <c r="H695" s="468"/>
      <c r="I695" s="468"/>
      <c r="J695" s="468"/>
      <c r="K695" s="468"/>
      <c r="L695" s="468"/>
      <c r="M695" s="468"/>
      <c r="N695" s="468"/>
      <c r="O695" s="468"/>
    </row>
    <row r="696" spans="1:15" ht="23.25" customHeight="1" x14ac:dyDescent="0.2">
      <c r="A696" s="468"/>
      <c r="B696" s="469"/>
      <c r="C696" s="469"/>
      <c r="D696" s="469"/>
      <c r="E696" s="469"/>
      <c r="F696" s="469"/>
      <c r="G696" s="469"/>
      <c r="H696" s="468"/>
      <c r="I696" s="468"/>
      <c r="J696" s="468"/>
      <c r="K696" s="468"/>
      <c r="L696" s="468"/>
      <c r="M696" s="468"/>
      <c r="N696" s="468"/>
      <c r="O696" s="468"/>
    </row>
    <row r="697" spans="1:15" ht="23.25" customHeight="1" x14ac:dyDescent="0.2">
      <c r="A697" s="468"/>
      <c r="B697" s="469"/>
      <c r="C697" s="469"/>
      <c r="D697" s="469"/>
      <c r="E697" s="469"/>
      <c r="F697" s="469"/>
      <c r="G697" s="469"/>
      <c r="H697" s="468"/>
      <c r="I697" s="468"/>
      <c r="J697" s="468"/>
      <c r="K697" s="468"/>
      <c r="L697" s="468"/>
      <c r="M697" s="468"/>
      <c r="N697" s="468"/>
      <c r="O697" s="468"/>
    </row>
    <row r="698" spans="1:15" ht="23.25" customHeight="1" x14ac:dyDescent="0.2">
      <c r="A698" s="468"/>
      <c r="B698" s="469"/>
      <c r="C698" s="469"/>
      <c r="D698" s="469"/>
      <c r="E698" s="469"/>
      <c r="F698" s="469"/>
      <c r="G698" s="469"/>
      <c r="H698" s="468"/>
      <c r="I698" s="468"/>
      <c r="J698" s="468"/>
      <c r="K698" s="468"/>
      <c r="L698" s="468"/>
      <c r="M698" s="468"/>
      <c r="N698" s="468"/>
      <c r="O698" s="468"/>
    </row>
    <row r="699" spans="1:15" ht="23.25" customHeight="1" x14ac:dyDescent="0.2">
      <c r="A699" s="468"/>
      <c r="B699" s="469"/>
      <c r="C699" s="469"/>
      <c r="D699" s="469"/>
      <c r="E699" s="469"/>
      <c r="F699" s="469"/>
      <c r="G699" s="469"/>
      <c r="H699" s="468"/>
      <c r="I699" s="468"/>
      <c r="J699" s="468"/>
      <c r="K699" s="468"/>
      <c r="L699" s="468"/>
      <c r="M699" s="468"/>
      <c r="N699" s="468"/>
      <c r="O699" s="468"/>
    </row>
    <row r="700" spans="1:15" ht="23.25" customHeight="1" x14ac:dyDescent="0.2">
      <c r="A700" s="468"/>
      <c r="B700" s="469"/>
      <c r="C700" s="469"/>
      <c r="D700" s="469"/>
      <c r="E700" s="469"/>
      <c r="F700" s="469"/>
      <c r="G700" s="469"/>
      <c r="H700" s="468"/>
      <c r="I700" s="468"/>
      <c r="J700" s="468"/>
      <c r="K700" s="468"/>
      <c r="L700" s="468"/>
      <c r="M700" s="468"/>
      <c r="N700" s="468"/>
      <c r="O700" s="468"/>
    </row>
    <row r="701" spans="1:15" ht="23.25" customHeight="1" x14ac:dyDescent="0.2">
      <c r="A701" s="468"/>
      <c r="B701" s="469"/>
      <c r="C701" s="469"/>
      <c r="D701" s="469"/>
      <c r="E701" s="469"/>
      <c r="F701" s="469"/>
      <c r="G701" s="469"/>
      <c r="H701" s="468"/>
      <c r="I701" s="468"/>
      <c r="J701" s="468"/>
      <c r="K701" s="468"/>
      <c r="L701" s="468"/>
      <c r="M701" s="468"/>
      <c r="N701" s="468"/>
      <c r="O701" s="468"/>
    </row>
    <row r="702" spans="1:15" ht="23.25" customHeight="1" x14ac:dyDescent="0.2">
      <c r="A702" s="468"/>
      <c r="B702" s="469"/>
      <c r="C702" s="469"/>
      <c r="D702" s="469"/>
      <c r="E702" s="469"/>
      <c r="F702" s="469"/>
      <c r="G702" s="469"/>
      <c r="H702" s="468"/>
      <c r="I702" s="468"/>
      <c r="J702" s="468"/>
      <c r="K702" s="468"/>
      <c r="L702" s="468"/>
      <c r="M702" s="468"/>
      <c r="N702" s="468"/>
      <c r="O702" s="468"/>
    </row>
    <row r="703" spans="1:15" ht="23.25" customHeight="1" x14ac:dyDescent="0.2">
      <c r="A703" s="468"/>
      <c r="B703" s="469"/>
      <c r="C703" s="469"/>
      <c r="D703" s="469"/>
      <c r="E703" s="469"/>
      <c r="F703" s="469"/>
      <c r="G703" s="469"/>
      <c r="H703" s="468"/>
      <c r="I703" s="468"/>
      <c r="J703" s="468"/>
      <c r="K703" s="468"/>
      <c r="L703" s="468"/>
      <c r="M703" s="468"/>
      <c r="N703" s="468"/>
      <c r="O703" s="468"/>
    </row>
    <row r="704" spans="1:15" ht="23.25" customHeight="1" x14ac:dyDescent="0.2">
      <c r="A704" s="468"/>
      <c r="B704" s="469"/>
      <c r="C704" s="469"/>
      <c r="D704" s="469"/>
      <c r="E704" s="469"/>
      <c r="F704" s="469"/>
      <c r="G704" s="469"/>
      <c r="H704" s="468"/>
      <c r="I704" s="468"/>
      <c r="J704" s="468"/>
      <c r="K704" s="468"/>
      <c r="L704" s="468"/>
      <c r="M704" s="468"/>
      <c r="N704" s="468"/>
      <c r="O704" s="468"/>
    </row>
    <row r="705" spans="1:15" ht="23.25" customHeight="1" x14ac:dyDescent="0.2">
      <c r="A705" s="468"/>
      <c r="B705" s="469"/>
      <c r="C705" s="469"/>
      <c r="D705" s="469"/>
      <c r="E705" s="469"/>
      <c r="F705" s="469"/>
      <c r="G705" s="469"/>
      <c r="H705" s="468"/>
      <c r="I705" s="468"/>
      <c r="J705" s="468"/>
      <c r="K705" s="468"/>
      <c r="L705" s="468"/>
      <c r="M705" s="468"/>
      <c r="N705" s="468"/>
      <c r="O705" s="468"/>
    </row>
    <row r="706" spans="1:15" ht="23.25" customHeight="1" x14ac:dyDescent="0.2">
      <c r="A706" s="468"/>
      <c r="B706" s="469"/>
      <c r="C706" s="469"/>
      <c r="D706" s="469"/>
      <c r="E706" s="469"/>
      <c r="F706" s="469"/>
      <c r="G706" s="469"/>
      <c r="H706" s="468"/>
      <c r="I706" s="468"/>
      <c r="J706" s="468"/>
      <c r="K706" s="468"/>
      <c r="L706" s="468"/>
      <c r="M706" s="468"/>
      <c r="N706" s="468"/>
      <c r="O706" s="468"/>
    </row>
    <row r="707" spans="1:15" ht="23.25" customHeight="1" x14ac:dyDescent="0.2">
      <c r="A707" s="468"/>
      <c r="B707" s="469"/>
      <c r="C707" s="469"/>
      <c r="D707" s="469"/>
      <c r="E707" s="469"/>
      <c r="F707" s="469"/>
      <c r="G707" s="469"/>
      <c r="H707" s="468"/>
      <c r="I707" s="468"/>
      <c r="J707" s="468"/>
      <c r="K707" s="468"/>
      <c r="L707" s="468"/>
      <c r="M707" s="468"/>
      <c r="N707" s="468"/>
      <c r="O707" s="468"/>
    </row>
    <row r="708" spans="1:15" ht="23.25" customHeight="1" x14ac:dyDescent="0.2">
      <c r="A708" s="468"/>
      <c r="B708" s="469"/>
      <c r="C708" s="469"/>
      <c r="D708" s="469"/>
      <c r="E708" s="469"/>
      <c r="F708" s="469"/>
      <c r="G708" s="469"/>
      <c r="H708" s="468"/>
      <c r="I708" s="468"/>
      <c r="J708" s="468"/>
      <c r="K708" s="468"/>
      <c r="L708" s="468"/>
      <c r="M708" s="468"/>
      <c r="N708" s="468"/>
      <c r="O708" s="468"/>
    </row>
    <row r="709" spans="1:15" ht="23.25" customHeight="1" x14ac:dyDescent="0.2">
      <c r="A709" s="468"/>
      <c r="B709" s="469"/>
      <c r="C709" s="469"/>
      <c r="D709" s="469"/>
      <c r="E709" s="469"/>
      <c r="F709" s="469"/>
      <c r="G709" s="469"/>
      <c r="H709" s="468"/>
      <c r="I709" s="468"/>
      <c r="J709" s="468"/>
      <c r="K709" s="468"/>
      <c r="L709" s="468"/>
      <c r="M709" s="468"/>
      <c r="N709" s="468"/>
      <c r="O709" s="468"/>
    </row>
    <row r="710" spans="1:15" ht="23.25" customHeight="1" x14ac:dyDescent="0.2">
      <c r="A710" s="468"/>
      <c r="B710" s="469"/>
      <c r="C710" s="469"/>
      <c r="D710" s="469"/>
      <c r="E710" s="469"/>
      <c r="F710" s="469"/>
      <c r="G710" s="469"/>
      <c r="H710" s="468"/>
      <c r="I710" s="468"/>
      <c r="J710" s="468"/>
      <c r="K710" s="468"/>
      <c r="L710" s="468"/>
      <c r="M710" s="468"/>
      <c r="N710" s="468"/>
      <c r="O710" s="468"/>
    </row>
    <row r="711" spans="1:15" ht="23.25" customHeight="1" x14ac:dyDescent="0.2">
      <c r="A711" s="468"/>
      <c r="B711" s="469"/>
      <c r="C711" s="469"/>
      <c r="D711" s="469"/>
      <c r="E711" s="469"/>
      <c r="F711" s="469"/>
      <c r="G711" s="469"/>
      <c r="H711" s="468"/>
      <c r="I711" s="468"/>
      <c r="J711" s="468"/>
      <c r="K711" s="468"/>
      <c r="L711" s="468"/>
      <c r="M711" s="468"/>
      <c r="N711" s="468"/>
      <c r="O711" s="468"/>
    </row>
    <row r="712" spans="1:15" ht="23.25" customHeight="1" x14ac:dyDescent="0.2">
      <c r="A712" s="468"/>
      <c r="B712" s="469"/>
      <c r="C712" s="469"/>
      <c r="D712" s="469"/>
      <c r="E712" s="469"/>
      <c r="F712" s="469"/>
      <c r="G712" s="469"/>
      <c r="H712" s="468"/>
      <c r="I712" s="468"/>
      <c r="J712" s="468"/>
      <c r="K712" s="468"/>
      <c r="L712" s="468"/>
      <c r="M712" s="468"/>
      <c r="N712" s="468"/>
      <c r="O712" s="468"/>
    </row>
    <row r="713" spans="1:15" ht="23.25" customHeight="1" x14ac:dyDescent="0.2">
      <c r="A713" s="468"/>
      <c r="B713" s="469"/>
      <c r="C713" s="469"/>
      <c r="D713" s="469"/>
      <c r="E713" s="469"/>
      <c r="F713" s="469"/>
      <c r="G713" s="469"/>
      <c r="H713" s="468"/>
      <c r="I713" s="468"/>
      <c r="J713" s="468"/>
      <c r="K713" s="468"/>
      <c r="L713" s="468"/>
      <c r="M713" s="468"/>
      <c r="N713" s="468"/>
      <c r="O713" s="468"/>
    </row>
    <row r="714" spans="1:15" ht="23.25" customHeight="1" x14ac:dyDescent="0.2">
      <c r="A714" s="468"/>
      <c r="B714" s="469"/>
      <c r="C714" s="469"/>
      <c r="D714" s="469"/>
      <c r="E714" s="469"/>
      <c r="F714" s="469"/>
      <c r="G714" s="469"/>
      <c r="H714" s="468"/>
      <c r="I714" s="468"/>
      <c r="J714" s="468"/>
      <c r="K714" s="468"/>
      <c r="L714" s="468"/>
      <c r="M714" s="468"/>
      <c r="N714" s="468"/>
      <c r="O714" s="468"/>
    </row>
    <row r="715" spans="1:15" ht="23.25" customHeight="1" x14ac:dyDescent="0.2">
      <c r="A715" s="468"/>
      <c r="B715" s="469"/>
      <c r="C715" s="469"/>
      <c r="D715" s="469"/>
      <c r="E715" s="469"/>
      <c r="F715" s="469"/>
      <c r="G715" s="469"/>
      <c r="H715" s="468"/>
      <c r="I715" s="468"/>
      <c r="J715" s="468"/>
      <c r="K715" s="468"/>
      <c r="L715" s="468"/>
      <c r="M715" s="468"/>
      <c r="N715" s="468"/>
      <c r="O715" s="468"/>
    </row>
    <row r="716" spans="1:15" ht="23.25" customHeight="1" x14ac:dyDescent="0.2">
      <c r="A716" s="468"/>
      <c r="B716" s="469"/>
      <c r="C716" s="469"/>
      <c r="D716" s="469"/>
      <c r="E716" s="469"/>
      <c r="F716" s="469"/>
      <c r="G716" s="469"/>
      <c r="H716" s="468"/>
      <c r="I716" s="468"/>
      <c r="J716" s="468"/>
      <c r="K716" s="468"/>
      <c r="L716" s="468"/>
      <c r="M716" s="468"/>
      <c r="N716" s="468"/>
      <c r="O716" s="468"/>
    </row>
    <row r="717" spans="1:15" ht="23.25" customHeight="1" x14ac:dyDescent="0.2">
      <c r="A717" s="468"/>
      <c r="B717" s="469"/>
      <c r="C717" s="469"/>
      <c r="D717" s="469"/>
      <c r="E717" s="469"/>
      <c r="F717" s="469"/>
      <c r="G717" s="469"/>
      <c r="H717" s="468"/>
      <c r="I717" s="468"/>
      <c r="J717" s="468"/>
      <c r="K717" s="468"/>
      <c r="L717" s="468"/>
      <c r="M717" s="468"/>
      <c r="N717" s="468"/>
      <c r="O717" s="468"/>
    </row>
    <row r="718" spans="1:15" ht="23.25" customHeight="1" x14ac:dyDescent="0.2">
      <c r="A718" s="468"/>
      <c r="B718" s="469"/>
      <c r="C718" s="469"/>
      <c r="D718" s="469"/>
      <c r="E718" s="469"/>
      <c r="F718" s="469"/>
      <c r="G718" s="469"/>
      <c r="H718" s="468"/>
      <c r="I718" s="468"/>
      <c r="J718" s="468"/>
      <c r="K718" s="468"/>
      <c r="L718" s="468"/>
      <c r="M718" s="468"/>
      <c r="N718" s="468"/>
      <c r="O718" s="468"/>
    </row>
    <row r="719" spans="1:15" ht="23.25" customHeight="1" x14ac:dyDescent="0.2">
      <c r="A719" s="468"/>
      <c r="B719" s="469"/>
      <c r="C719" s="469"/>
      <c r="D719" s="469"/>
      <c r="E719" s="469"/>
      <c r="F719" s="469"/>
      <c r="G719" s="469"/>
      <c r="H719" s="468"/>
      <c r="I719" s="468"/>
      <c r="J719" s="468"/>
      <c r="K719" s="468"/>
      <c r="L719" s="468"/>
      <c r="M719" s="468"/>
      <c r="N719" s="468"/>
      <c r="O719" s="468"/>
    </row>
    <row r="720" spans="1:15" ht="23.25" customHeight="1" x14ac:dyDescent="0.2">
      <c r="A720" s="468"/>
      <c r="B720" s="469"/>
      <c r="C720" s="469"/>
      <c r="D720" s="469"/>
      <c r="E720" s="469"/>
      <c r="F720" s="469"/>
      <c r="G720" s="469"/>
      <c r="H720" s="468"/>
      <c r="I720" s="468"/>
      <c r="J720" s="468"/>
      <c r="K720" s="468"/>
      <c r="L720" s="468"/>
      <c r="M720" s="468"/>
      <c r="N720" s="468"/>
      <c r="O720" s="468"/>
    </row>
    <row r="721" spans="1:15" ht="23.25" customHeight="1" x14ac:dyDescent="0.2">
      <c r="A721" s="468"/>
      <c r="B721" s="469"/>
      <c r="C721" s="469"/>
      <c r="D721" s="469"/>
      <c r="E721" s="469"/>
      <c r="F721" s="469"/>
      <c r="G721" s="469"/>
      <c r="H721" s="468"/>
      <c r="I721" s="468"/>
      <c r="J721" s="468"/>
      <c r="K721" s="468"/>
      <c r="L721" s="468"/>
      <c r="M721" s="468"/>
      <c r="N721" s="468"/>
      <c r="O721" s="468"/>
    </row>
    <row r="722" spans="1:15" ht="23.25" customHeight="1" x14ac:dyDescent="0.2">
      <c r="A722" s="468"/>
      <c r="B722" s="469"/>
      <c r="C722" s="469"/>
      <c r="D722" s="469"/>
      <c r="E722" s="469"/>
      <c r="F722" s="469"/>
      <c r="G722" s="469"/>
      <c r="H722" s="468"/>
      <c r="I722" s="468"/>
      <c r="J722" s="468"/>
      <c r="K722" s="468"/>
      <c r="L722" s="468"/>
      <c r="M722" s="468"/>
      <c r="N722" s="468"/>
      <c r="O722" s="468"/>
    </row>
    <row r="723" spans="1:15" ht="23.25" customHeight="1" x14ac:dyDescent="0.2">
      <c r="A723" s="468"/>
      <c r="B723" s="469"/>
      <c r="C723" s="469"/>
      <c r="D723" s="469"/>
      <c r="E723" s="469"/>
      <c r="F723" s="469"/>
      <c r="G723" s="469"/>
      <c r="H723" s="468"/>
      <c r="I723" s="468"/>
      <c r="J723" s="468"/>
      <c r="K723" s="468"/>
      <c r="L723" s="468"/>
      <c r="M723" s="468"/>
      <c r="N723" s="468"/>
      <c r="O723" s="468"/>
    </row>
    <row r="724" spans="1:15" ht="23.25" customHeight="1" x14ac:dyDescent="0.2">
      <c r="A724" s="468"/>
      <c r="B724" s="469"/>
      <c r="C724" s="469"/>
      <c r="D724" s="469"/>
      <c r="E724" s="469"/>
      <c r="F724" s="469"/>
      <c r="G724" s="469"/>
      <c r="H724" s="468"/>
      <c r="I724" s="468"/>
      <c r="J724" s="468"/>
      <c r="K724" s="468"/>
      <c r="L724" s="468"/>
      <c r="M724" s="468"/>
      <c r="N724" s="468"/>
      <c r="O724" s="468"/>
    </row>
    <row r="725" spans="1:15" ht="23.25" customHeight="1" x14ac:dyDescent="0.2">
      <c r="A725" s="468"/>
      <c r="B725" s="469"/>
      <c r="C725" s="469"/>
      <c r="D725" s="469"/>
      <c r="E725" s="469"/>
      <c r="F725" s="469"/>
      <c r="G725" s="469"/>
      <c r="H725" s="468"/>
      <c r="I725" s="468"/>
      <c r="J725" s="468"/>
      <c r="K725" s="468"/>
      <c r="L725" s="468"/>
      <c r="M725" s="468"/>
      <c r="N725" s="468"/>
      <c r="O725" s="468"/>
    </row>
    <row r="726" spans="1:15" ht="23.25" customHeight="1" x14ac:dyDescent="0.2">
      <c r="A726" s="468"/>
      <c r="B726" s="469"/>
      <c r="C726" s="469"/>
      <c r="D726" s="469"/>
      <c r="E726" s="469"/>
      <c r="F726" s="469"/>
      <c r="G726" s="469"/>
      <c r="H726" s="468"/>
      <c r="I726" s="468"/>
      <c r="J726" s="468"/>
      <c r="K726" s="468"/>
      <c r="L726" s="468"/>
      <c r="M726" s="468"/>
      <c r="N726" s="468"/>
      <c r="O726" s="468"/>
    </row>
    <row r="727" spans="1:15" ht="23.25" customHeight="1" x14ac:dyDescent="0.2">
      <c r="A727" s="468"/>
      <c r="B727" s="469"/>
      <c r="C727" s="469"/>
      <c r="D727" s="469"/>
      <c r="E727" s="469"/>
      <c r="F727" s="469"/>
      <c r="G727" s="469"/>
      <c r="H727" s="468"/>
      <c r="I727" s="468"/>
      <c r="J727" s="468"/>
      <c r="K727" s="468"/>
      <c r="L727" s="468"/>
      <c r="M727" s="468"/>
      <c r="N727" s="468"/>
      <c r="O727" s="468"/>
    </row>
    <row r="728" spans="1:15" ht="23.25" customHeight="1" x14ac:dyDescent="0.2">
      <c r="A728" s="468"/>
      <c r="B728" s="469"/>
      <c r="C728" s="469"/>
      <c r="D728" s="469"/>
      <c r="E728" s="469"/>
      <c r="F728" s="469"/>
      <c r="G728" s="469"/>
      <c r="H728" s="468"/>
      <c r="I728" s="468"/>
      <c r="J728" s="468"/>
      <c r="K728" s="468"/>
      <c r="L728" s="468"/>
      <c r="M728" s="468"/>
      <c r="N728" s="468"/>
      <c r="O728" s="468"/>
    </row>
    <row r="729" spans="1:15" ht="23.25" customHeight="1" x14ac:dyDescent="0.2">
      <c r="A729" s="468"/>
      <c r="B729" s="469"/>
      <c r="C729" s="469"/>
      <c r="D729" s="469"/>
      <c r="E729" s="469"/>
      <c r="F729" s="469"/>
      <c r="G729" s="469"/>
      <c r="H729" s="468"/>
      <c r="I729" s="468"/>
      <c r="J729" s="468"/>
      <c r="K729" s="468"/>
      <c r="L729" s="468"/>
      <c r="M729" s="468"/>
      <c r="N729" s="468"/>
      <c r="O729" s="468"/>
    </row>
    <row r="730" spans="1:15" ht="23.25" customHeight="1" x14ac:dyDescent="0.2">
      <c r="A730" s="468"/>
      <c r="B730" s="469"/>
      <c r="C730" s="469"/>
      <c r="D730" s="469"/>
      <c r="E730" s="469"/>
      <c r="F730" s="469"/>
      <c r="G730" s="469"/>
      <c r="H730" s="468"/>
      <c r="I730" s="468"/>
      <c r="J730" s="468"/>
      <c r="K730" s="468"/>
      <c r="L730" s="468"/>
      <c r="M730" s="468"/>
      <c r="N730" s="468"/>
      <c r="O730" s="468"/>
    </row>
    <row r="731" spans="1:15" ht="23.25" customHeight="1" x14ac:dyDescent="0.2">
      <c r="A731" s="468"/>
      <c r="B731" s="469"/>
      <c r="C731" s="469"/>
      <c r="D731" s="469"/>
      <c r="E731" s="469"/>
      <c r="F731" s="469"/>
      <c r="G731" s="469"/>
      <c r="H731" s="468"/>
      <c r="I731" s="468"/>
      <c r="J731" s="468"/>
      <c r="K731" s="468"/>
      <c r="L731" s="468"/>
      <c r="M731" s="468"/>
      <c r="N731" s="468"/>
      <c r="O731" s="468"/>
    </row>
    <row r="732" spans="1:15" ht="23.25" customHeight="1" x14ac:dyDescent="0.2">
      <c r="A732" s="468"/>
      <c r="B732" s="469"/>
      <c r="C732" s="469"/>
      <c r="D732" s="469"/>
      <c r="E732" s="469"/>
      <c r="F732" s="469"/>
      <c r="G732" s="469"/>
      <c r="H732" s="468"/>
      <c r="I732" s="468"/>
      <c r="J732" s="468"/>
      <c r="K732" s="468"/>
      <c r="L732" s="468"/>
      <c r="M732" s="468"/>
      <c r="N732" s="468"/>
      <c r="O732" s="468"/>
    </row>
    <row r="733" spans="1:15" ht="23.25" customHeight="1" x14ac:dyDescent="0.2">
      <c r="A733" s="468"/>
      <c r="B733" s="469"/>
      <c r="C733" s="469"/>
      <c r="D733" s="469"/>
      <c r="E733" s="469"/>
      <c r="F733" s="469"/>
      <c r="G733" s="469"/>
      <c r="H733" s="468"/>
      <c r="I733" s="468"/>
      <c r="J733" s="468"/>
      <c r="K733" s="468"/>
      <c r="L733" s="468"/>
      <c r="M733" s="468"/>
      <c r="N733" s="468"/>
      <c r="O733" s="468"/>
    </row>
    <row r="734" spans="1:15" ht="23.25" customHeight="1" x14ac:dyDescent="0.2">
      <c r="A734" s="468"/>
      <c r="B734" s="469"/>
      <c r="C734" s="469"/>
      <c r="D734" s="469"/>
      <c r="E734" s="469"/>
      <c r="F734" s="469"/>
      <c r="G734" s="469"/>
      <c r="H734" s="468"/>
      <c r="I734" s="468"/>
      <c r="J734" s="468"/>
      <c r="K734" s="468"/>
      <c r="L734" s="468"/>
      <c r="M734" s="468"/>
      <c r="N734" s="468"/>
      <c r="O734" s="468"/>
    </row>
    <row r="735" spans="1:15" ht="23.25" customHeight="1" x14ac:dyDescent="0.2">
      <c r="A735" s="468"/>
      <c r="B735" s="469"/>
      <c r="C735" s="469"/>
      <c r="D735" s="469"/>
      <c r="E735" s="469"/>
      <c r="F735" s="469"/>
      <c r="G735" s="469"/>
      <c r="H735" s="468"/>
      <c r="I735" s="468"/>
      <c r="J735" s="468"/>
      <c r="K735" s="468"/>
      <c r="L735" s="468"/>
      <c r="M735" s="468"/>
      <c r="N735" s="468"/>
      <c r="O735" s="468"/>
    </row>
    <row r="736" spans="1:15" ht="23.25" customHeight="1" x14ac:dyDescent="0.2">
      <c r="A736" s="468"/>
      <c r="B736" s="469"/>
      <c r="C736" s="469"/>
      <c r="D736" s="469"/>
      <c r="E736" s="469"/>
      <c r="F736" s="469"/>
      <c r="G736" s="469"/>
      <c r="H736" s="468"/>
      <c r="I736" s="468"/>
      <c r="J736" s="468"/>
      <c r="K736" s="468"/>
      <c r="L736" s="468"/>
      <c r="M736" s="468"/>
      <c r="N736" s="468"/>
      <c r="O736" s="468"/>
    </row>
    <row r="737" spans="1:15" ht="23.25" customHeight="1" x14ac:dyDescent="0.2">
      <c r="A737" s="468"/>
      <c r="B737" s="469"/>
      <c r="C737" s="469"/>
      <c r="D737" s="469"/>
      <c r="E737" s="469"/>
      <c r="F737" s="469"/>
      <c r="G737" s="469"/>
      <c r="H737" s="468"/>
      <c r="I737" s="468"/>
      <c r="J737" s="468"/>
      <c r="K737" s="468"/>
      <c r="L737" s="468"/>
      <c r="M737" s="468"/>
      <c r="N737" s="468"/>
      <c r="O737" s="468"/>
    </row>
    <row r="738" spans="1:15" ht="23.25" customHeight="1" x14ac:dyDescent="0.2">
      <c r="A738" s="468"/>
      <c r="B738" s="469"/>
      <c r="C738" s="469"/>
      <c r="D738" s="469"/>
      <c r="E738" s="469"/>
      <c r="F738" s="469"/>
      <c r="G738" s="469"/>
      <c r="H738" s="468"/>
      <c r="I738" s="468"/>
      <c r="J738" s="468"/>
      <c r="K738" s="468"/>
      <c r="L738" s="468"/>
      <c r="M738" s="468"/>
      <c r="N738" s="468"/>
      <c r="O738" s="468"/>
    </row>
    <row r="739" spans="1:15" ht="23.25" customHeight="1" x14ac:dyDescent="0.2">
      <c r="A739" s="468"/>
      <c r="B739" s="469"/>
      <c r="C739" s="469"/>
      <c r="D739" s="469"/>
      <c r="E739" s="469"/>
      <c r="F739" s="469"/>
      <c r="G739" s="469"/>
      <c r="H739" s="468"/>
      <c r="I739" s="468"/>
      <c r="J739" s="468"/>
      <c r="K739" s="468"/>
      <c r="L739" s="468"/>
      <c r="M739" s="468"/>
      <c r="N739" s="468"/>
      <c r="O739" s="468"/>
    </row>
    <row r="740" spans="1:15" ht="23.25" customHeight="1" x14ac:dyDescent="0.2">
      <c r="A740" s="468"/>
      <c r="B740" s="469"/>
      <c r="C740" s="469"/>
      <c r="D740" s="469"/>
      <c r="E740" s="469"/>
      <c r="F740" s="469"/>
      <c r="G740" s="469"/>
      <c r="H740" s="468"/>
      <c r="I740" s="468"/>
      <c r="J740" s="468"/>
      <c r="K740" s="468"/>
      <c r="L740" s="468"/>
      <c r="M740" s="468"/>
      <c r="N740" s="468"/>
      <c r="O740" s="468"/>
    </row>
    <row r="741" spans="1:15" ht="23.25" customHeight="1" x14ac:dyDescent="0.2">
      <c r="A741" s="468"/>
      <c r="B741" s="469"/>
      <c r="C741" s="469"/>
      <c r="D741" s="469"/>
      <c r="E741" s="469"/>
      <c r="F741" s="469"/>
      <c r="G741" s="469"/>
      <c r="H741" s="468"/>
      <c r="I741" s="468"/>
      <c r="J741" s="468"/>
      <c r="K741" s="468"/>
      <c r="L741" s="468"/>
      <c r="M741" s="468"/>
      <c r="N741" s="468"/>
      <c r="O741" s="468"/>
    </row>
    <row r="742" spans="1:15" ht="23.25" customHeight="1" x14ac:dyDescent="0.2">
      <c r="A742" s="468"/>
      <c r="B742" s="469"/>
      <c r="C742" s="469"/>
      <c r="D742" s="469"/>
      <c r="E742" s="469"/>
      <c r="F742" s="469"/>
      <c r="G742" s="469"/>
      <c r="H742" s="468"/>
      <c r="I742" s="468"/>
      <c r="J742" s="468"/>
      <c r="K742" s="468"/>
      <c r="L742" s="468"/>
      <c r="M742" s="468"/>
      <c r="N742" s="468"/>
      <c r="O742" s="468"/>
    </row>
    <row r="743" spans="1:15" ht="23.25" customHeight="1" x14ac:dyDescent="0.2">
      <c r="A743" s="468"/>
      <c r="B743" s="469"/>
      <c r="C743" s="469"/>
      <c r="D743" s="469"/>
      <c r="E743" s="469"/>
      <c r="F743" s="469"/>
      <c r="G743" s="469"/>
      <c r="H743" s="468"/>
      <c r="I743" s="468"/>
      <c r="J743" s="468"/>
      <c r="K743" s="468"/>
      <c r="L743" s="468"/>
      <c r="M743" s="468"/>
      <c r="N743" s="468"/>
      <c r="O743" s="468"/>
    </row>
    <row r="744" spans="1:15" ht="23.25" customHeight="1" x14ac:dyDescent="0.2">
      <c r="A744" s="468"/>
      <c r="B744" s="469"/>
      <c r="C744" s="469"/>
      <c r="D744" s="469"/>
      <c r="E744" s="469"/>
      <c r="F744" s="469"/>
      <c r="G744" s="469"/>
      <c r="H744" s="468"/>
      <c r="I744" s="468"/>
      <c r="J744" s="468"/>
      <c r="K744" s="468"/>
      <c r="L744" s="468"/>
      <c r="M744" s="468"/>
      <c r="N744" s="468"/>
      <c r="O744" s="468"/>
    </row>
    <row r="745" spans="1:15" ht="23.25" customHeight="1" x14ac:dyDescent="0.2">
      <c r="A745" s="468"/>
      <c r="B745" s="469"/>
      <c r="C745" s="469"/>
      <c r="D745" s="469"/>
      <c r="E745" s="469"/>
      <c r="F745" s="469"/>
      <c r="G745" s="469"/>
      <c r="H745" s="468"/>
      <c r="I745" s="468"/>
      <c r="J745" s="468"/>
      <c r="K745" s="468"/>
      <c r="L745" s="468"/>
      <c r="M745" s="468"/>
      <c r="N745" s="468"/>
      <c r="O745" s="468"/>
    </row>
    <row r="746" spans="1:15" ht="23.25" customHeight="1" x14ac:dyDescent="0.2">
      <c r="A746" s="468"/>
      <c r="B746" s="469"/>
      <c r="C746" s="469"/>
      <c r="D746" s="469"/>
      <c r="E746" s="469"/>
      <c r="F746" s="469"/>
      <c r="G746" s="469"/>
      <c r="H746" s="468"/>
      <c r="I746" s="468"/>
      <c r="J746" s="468"/>
      <c r="K746" s="468"/>
      <c r="L746" s="468"/>
      <c r="M746" s="468"/>
      <c r="N746" s="468"/>
      <c r="O746" s="468"/>
    </row>
    <row r="747" spans="1:15" ht="23.25" customHeight="1" x14ac:dyDescent="0.2">
      <c r="A747" s="468"/>
      <c r="B747" s="469"/>
      <c r="C747" s="469"/>
      <c r="D747" s="469"/>
      <c r="E747" s="469"/>
      <c r="F747" s="469"/>
      <c r="G747" s="469"/>
      <c r="H747" s="468"/>
      <c r="I747" s="468"/>
      <c r="J747" s="468"/>
      <c r="K747" s="468"/>
      <c r="L747" s="468"/>
      <c r="M747" s="468"/>
      <c r="N747" s="468"/>
      <c r="O747" s="468"/>
    </row>
    <row r="748" spans="1:15" ht="23.25" customHeight="1" x14ac:dyDescent="0.2">
      <c r="A748" s="468"/>
      <c r="B748" s="469"/>
      <c r="C748" s="469"/>
      <c r="D748" s="469"/>
      <c r="E748" s="469"/>
      <c r="F748" s="469"/>
      <c r="G748" s="469"/>
      <c r="H748" s="468"/>
      <c r="I748" s="468"/>
      <c r="J748" s="468"/>
      <c r="K748" s="468"/>
      <c r="L748" s="468"/>
      <c r="M748" s="468"/>
      <c r="N748" s="468"/>
      <c r="O748" s="468"/>
    </row>
    <row r="749" spans="1:15" ht="23.25" customHeight="1" x14ac:dyDescent="0.2">
      <c r="A749" s="468"/>
      <c r="B749" s="469"/>
      <c r="C749" s="469"/>
      <c r="D749" s="469"/>
      <c r="E749" s="469"/>
      <c r="F749" s="469"/>
      <c r="G749" s="469"/>
      <c r="H749" s="468"/>
      <c r="I749" s="468"/>
      <c r="J749" s="468"/>
      <c r="K749" s="468"/>
      <c r="L749" s="468"/>
      <c r="M749" s="468"/>
      <c r="N749" s="468"/>
      <c r="O749" s="468"/>
    </row>
    <row r="750" spans="1:15" ht="23.25" customHeight="1" x14ac:dyDescent="0.2">
      <c r="A750" s="468"/>
      <c r="B750" s="469"/>
      <c r="C750" s="469"/>
      <c r="D750" s="469"/>
      <c r="E750" s="469"/>
      <c r="F750" s="469"/>
      <c r="G750" s="469"/>
      <c r="H750" s="468"/>
      <c r="I750" s="468"/>
      <c r="J750" s="468"/>
      <c r="K750" s="468"/>
      <c r="L750" s="468"/>
      <c r="M750" s="468"/>
      <c r="N750" s="468"/>
      <c r="O750" s="468"/>
    </row>
    <row r="751" spans="1:15" ht="23.25" customHeight="1" x14ac:dyDescent="0.2">
      <c r="A751" s="468"/>
      <c r="B751" s="469"/>
      <c r="C751" s="469"/>
      <c r="D751" s="469"/>
      <c r="E751" s="469"/>
      <c r="F751" s="469"/>
      <c r="G751" s="469"/>
      <c r="H751" s="468"/>
      <c r="I751" s="468"/>
      <c r="J751" s="468"/>
      <c r="K751" s="468"/>
      <c r="L751" s="468"/>
      <c r="M751" s="468"/>
      <c r="N751" s="468"/>
      <c r="O751" s="468"/>
    </row>
    <row r="752" spans="1:15" ht="23.25" customHeight="1" x14ac:dyDescent="0.2">
      <c r="A752" s="468"/>
      <c r="B752" s="469"/>
      <c r="C752" s="469"/>
      <c r="D752" s="469"/>
      <c r="E752" s="469"/>
      <c r="F752" s="469"/>
      <c r="G752" s="469"/>
      <c r="H752" s="468"/>
      <c r="I752" s="468"/>
      <c r="J752" s="468"/>
      <c r="K752" s="468"/>
      <c r="L752" s="468"/>
      <c r="M752" s="468"/>
      <c r="N752" s="468"/>
      <c r="O752" s="468"/>
    </row>
    <row r="753" spans="1:15" ht="23.25" customHeight="1" x14ac:dyDescent="0.2">
      <c r="A753" s="468"/>
      <c r="B753" s="469"/>
      <c r="C753" s="469"/>
      <c r="D753" s="469"/>
      <c r="E753" s="469"/>
      <c r="F753" s="469"/>
      <c r="G753" s="469"/>
      <c r="H753" s="468"/>
      <c r="I753" s="468"/>
      <c r="J753" s="468"/>
      <c r="K753" s="468"/>
      <c r="L753" s="468"/>
      <c r="M753" s="468"/>
      <c r="N753" s="468"/>
      <c r="O753" s="468"/>
    </row>
    <row r="754" spans="1:15" ht="23.25" customHeight="1" x14ac:dyDescent="0.2">
      <c r="A754" s="468"/>
      <c r="B754" s="469"/>
      <c r="C754" s="469"/>
      <c r="D754" s="469"/>
      <c r="E754" s="469"/>
      <c r="F754" s="469"/>
      <c r="G754" s="469"/>
      <c r="H754" s="468"/>
      <c r="I754" s="468"/>
      <c r="J754" s="468"/>
      <c r="K754" s="468"/>
      <c r="L754" s="468"/>
      <c r="M754" s="468"/>
      <c r="N754" s="468"/>
      <c r="O754" s="468"/>
    </row>
    <row r="755" spans="1:15" ht="23.25" customHeight="1" x14ac:dyDescent="0.2">
      <c r="A755" s="468"/>
      <c r="B755" s="469"/>
      <c r="C755" s="469"/>
      <c r="D755" s="469"/>
      <c r="E755" s="469"/>
      <c r="F755" s="469"/>
      <c r="G755" s="469"/>
      <c r="H755" s="468"/>
      <c r="I755" s="468"/>
      <c r="J755" s="468"/>
      <c r="K755" s="468"/>
      <c r="L755" s="468"/>
      <c r="M755" s="468"/>
      <c r="N755" s="468"/>
      <c r="O755" s="468"/>
    </row>
    <row r="756" spans="1:15" ht="23.25" customHeight="1" x14ac:dyDescent="0.2">
      <c r="A756" s="468"/>
      <c r="B756" s="469"/>
      <c r="C756" s="469"/>
      <c r="D756" s="469"/>
      <c r="E756" s="469"/>
      <c r="F756" s="469"/>
      <c r="G756" s="469"/>
      <c r="H756" s="468"/>
      <c r="I756" s="468"/>
      <c r="J756" s="468"/>
      <c r="K756" s="468"/>
      <c r="L756" s="468"/>
      <c r="M756" s="468"/>
      <c r="N756" s="468"/>
      <c r="O756" s="468"/>
    </row>
    <row r="757" spans="1:15" ht="23.25" customHeight="1" x14ac:dyDescent="0.2">
      <c r="A757" s="468"/>
      <c r="B757" s="469"/>
      <c r="C757" s="469"/>
      <c r="D757" s="469"/>
      <c r="E757" s="469"/>
      <c r="F757" s="469"/>
      <c r="G757" s="469"/>
      <c r="H757" s="468"/>
      <c r="I757" s="468"/>
      <c r="J757" s="468"/>
      <c r="K757" s="468"/>
      <c r="L757" s="468"/>
      <c r="M757" s="468"/>
      <c r="N757" s="468"/>
      <c r="O757" s="468"/>
    </row>
    <row r="758" spans="1:15" ht="23.25" customHeight="1" x14ac:dyDescent="0.2">
      <c r="A758" s="468"/>
      <c r="B758" s="469"/>
      <c r="C758" s="469"/>
      <c r="D758" s="469"/>
      <c r="E758" s="469"/>
      <c r="F758" s="469"/>
      <c r="G758" s="469"/>
      <c r="H758" s="468"/>
      <c r="I758" s="468"/>
      <c r="J758" s="468"/>
      <c r="K758" s="468"/>
      <c r="L758" s="468"/>
      <c r="M758" s="468"/>
      <c r="N758" s="468"/>
      <c r="O758" s="468"/>
    </row>
    <row r="759" spans="1:15" ht="23.25" customHeight="1" x14ac:dyDescent="0.2">
      <c r="A759" s="468"/>
      <c r="B759" s="469"/>
      <c r="C759" s="469"/>
      <c r="D759" s="469"/>
      <c r="E759" s="469"/>
      <c r="F759" s="469"/>
      <c r="G759" s="469"/>
      <c r="H759" s="468"/>
      <c r="I759" s="468"/>
      <c r="J759" s="468"/>
      <c r="K759" s="468"/>
      <c r="L759" s="468"/>
      <c r="M759" s="468"/>
      <c r="N759" s="468"/>
      <c r="O759" s="468"/>
    </row>
    <row r="760" spans="1:15" ht="23.25" customHeight="1" x14ac:dyDescent="0.2">
      <c r="A760" s="468"/>
      <c r="B760" s="469"/>
      <c r="C760" s="469"/>
      <c r="D760" s="469"/>
      <c r="E760" s="469"/>
      <c r="F760" s="469"/>
      <c r="G760" s="469"/>
      <c r="H760" s="468"/>
      <c r="I760" s="468"/>
      <c r="J760" s="468"/>
      <c r="K760" s="468"/>
      <c r="L760" s="468"/>
      <c r="M760" s="468"/>
      <c r="N760" s="468"/>
      <c r="O760" s="468"/>
    </row>
    <row r="761" spans="1:15" ht="23.25" customHeight="1" x14ac:dyDescent="0.2">
      <c r="A761" s="468"/>
      <c r="B761" s="469"/>
      <c r="C761" s="469"/>
      <c r="D761" s="469"/>
      <c r="E761" s="469"/>
      <c r="F761" s="469"/>
      <c r="G761" s="469"/>
      <c r="H761" s="468"/>
      <c r="I761" s="468"/>
      <c r="J761" s="468"/>
      <c r="K761" s="468"/>
      <c r="L761" s="468"/>
      <c r="M761" s="468"/>
      <c r="N761" s="468"/>
      <c r="O761" s="468"/>
    </row>
    <row r="762" spans="1:15" ht="23.25" customHeight="1" x14ac:dyDescent="0.2">
      <c r="A762" s="468"/>
      <c r="B762" s="469"/>
      <c r="C762" s="469"/>
      <c r="D762" s="469"/>
      <c r="E762" s="469"/>
      <c r="F762" s="469"/>
      <c r="G762" s="469"/>
      <c r="H762" s="468"/>
      <c r="I762" s="468"/>
      <c r="J762" s="468"/>
      <c r="K762" s="468"/>
      <c r="L762" s="468"/>
      <c r="M762" s="468"/>
      <c r="N762" s="468"/>
      <c r="O762" s="468"/>
    </row>
    <row r="763" spans="1:15" ht="23.25" customHeight="1" x14ac:dyDescent="0.2">
      <c r="A763" s="468"/>
      <c r="B763" s="469"/>
      <c r="C763" s="469"/>
      <c r="D763" s="469"/>
      <c r="E763" s="469"/>
      <c r="F763" s="469"/>
      <c r="G763" s="469"/>
      <c r="H763" s="468"/>
      <c r="I763" s="468"/>
      <c r="J763" s="468"/>
      <c r="K763" s="468"/>
      <c r="L763" s="468"/>
      <c r="M763" s="468"/>
      <c r="N763" s="468"/>
      <c r="O763" s="468"/>
    </row>
    <row r="764" spans="1:15" ht="23.25" customHeight="1" x14ac:dyDescent="0.2">
      <c r="A764" s="468"/>
      <c r="B764" s="469"/>
      <c r="C764" s="469"/>
      <c r="D764" s="469"/>
      <c r="E764" s="469"/>
      <c r="F764" s="469"/>
      <c r="G764" s="469"/>
      <c r="H764" s="468"/>
      <c r="I764" s="468"/>
      <c r="J764" s="468"/>
      <c r="K764" s="468"/>
      <c r="L764" s="468"/>
      <c r="M764" s="468"/>
      <c r="N764" s="468"/>
      <c r="O764" s="468"/>
    </row>
    <row r="765" spans="1:15" ht="23.25" customHeight="1" x14ac:dyDescent="0.2">
      <c r="A765" s="468"/>
      <c r="B765" s="469"/>
      <c r="C765" s="469"/>
      <c r="D765" s="469"/>
      <c r="E765" s="469"/>
      <c r="F765" s="469"/>
      <c r="G765" s="469"/>
      <c r="H765" s="468"/>
      <c r="I765" s="468"/>
      <c r="J765" s="468"/>
      <c r="K765" s="468"/>
      <c r="L765" s="468"/>
      <c r="M765" s="468"/>
      <c r="N765" s="468"/>
      <c r="O765" s="468"/>
    </row>
    <row r="766" spans="1:15" ht="23.25" customHeight="1" x14ac:dyDescent="0.2">
      <c r="A766" s="468"/>
      <c r="B766" s="469"/>
      <c r="C766" s="469"/>
      <c r="D766" s="469"/>
      <c r="E766" s="469"/>
      <c r="F766" s="469"/>
      <c r="G766" s="469"/>
      <c r="H766" s="468"/>
      <c r="I766" s="468"/>
      <c r="J766" s="468"/>
      <c r="K766" s="468"/>
      <c r="L766" s="468"/>
      <c r="M766" s="468"/>
      <c r="N766" s="468"/>
      <c r="O766" s="468"/>
    </row>
    <row r="767" spans="1:15" ht="23.25" customHeight="1" x14ac:dyDescent="0.2">
      <c r="A767" s="468"/>
      <c r="B767" s="469"/>
      <c r="C767" s="469"/>
      <c r="D767" s="469"/>
      <c r="E767" s="469"/>
      <c r="F767" s="469"/>
      <c r="G767" s="469"/>
      <c r="H767" s="468"/>
      <c r="I767" s="468"/>
      <c r="J767" s="468"/>
      <c r="K767" s="468"/>
      <c r="L767" s="468"/>
      <c r="M767" s="468"/>
      <c r="N767" s="468"/>
      <c r="O767" s="468"/>
    </row>
    <row r="768" spans="1:15" ht="23.25" customHeight="1" x14ac:dyDescent="0.2">
      <c r="A768" s="468"/>
      <c r="B768" s="469"/>
      <c r="C768" s="469"/>
      <c r="D768" s="469"/>
      <c r="E768" s="469"/>
      <c r="F768" s="469"/>
      <c r="G768" s="469"/>
      <c r="H768" s="468"/>
      <c r="I768" s="468"/>
      <c r="J768" s="468"/>
      <c r="K768" s="468"/>
      <c r="L768" s="468"/>
      <c r="M768" s="468"/>
      <c r="N768" s="468"/>
      <c r="O768" s="468"/>
    </row>
    <row r="769" spans="1:15" ht="23.25" customHeight="1" x14ac:dyDescent="0.2">
      <c r="A769" s="468"/>
      <c r="B769" s="469"/>
      <c r="C769" s="469"/>
      <c r="D769" s="469"/>
      <c r="E769" s="469"/>
      <c r="F769" s="469"/>
      <c r="G769" s="469"/>
      <c r="H769" s="468"/>
      <c r="I769" s="468"/>
      <c r="J769" s="468"/>
      <c r="K769" s="468"/>
      <c r="L769" s="468"/>
      <c r="M769" s="468"/>
      <c r="N769" s="468"/>
      <c r="O769" s="468"/>
    </row>
    <row r="770" spans="1:15" ht="23.25" customHeight="1" x14ac:dyDescent="0.2">
      <c r="A770" s="468"/>
      <c r="B770" s="469"/>
      <c r="C770" s="469"/>
      <c r="D770" s="469"/>
      <c r="E770" s="469"/>
      <c r="F770" s="469"/>
      <c r="G770" s="469"/>
      <c r="H770" s="468"/>
      <c r="I770" s="468"/>
      <c r="J770" s="468"/>
      <c r="K770" s="468"/>
      <c r="L770" s="468"/>
      <c r="M770" s="468"/>
      <c r="N770" s="468"/>
      <c r="O770" s="468"/>
    </row>
    <row r="771" spans="1:15" ht="23.25" customHeight="1" x14ac:dyDescent="0.2">
      <c r="A771" s="468"/>
      <c r="B771" s="469"/>
      <c r="C771" s="469"/>
      <c r="D771" s="469"/>
      <c r="E771" s="469"/>
      <c r="F771" s="469"/>
      <c r="G771" s="469"/>
      <c r="H771" s="468"/>
      <c r="I771" s="468"/>
      <c r="J771" s="468"/>
      <c r="K771" s="468"/>
      <c r="L771" s="468"/>
      <c r="M771" s="468"/>
      <c r="N771" s="468"/>
      <c r="O771" s="468"/>
    </row>
    <row r="772" spans="1:15" ht="23.25" customHeight="1" x14ac:dyDescent="0.2">
      <c r="A772" s="468"/>
      <c r="B772" s="469"/>
      <c r="C772" s="469"/>
      <c r="D772" s="469"/>
      <c r="E772" s="469"/>
      <c r="F772" s="469"/>
      <c r="G772" s="469"/>
      <c r="H772" s="468"/>
      <c r="I772" s="468"/>
      <c r="J772" s="468"/>
      <c r="K772" s="468"/>
      <c r="L772" s="468"/>
      <c r="M772" s="468"/>
      <c r="N772" s="468"/>
      <c r="O772" s="468"/>
    </row>
    <row r="773" spans="1:15" ht="23.25" customHeight="1" x14ac:dyDescent="0.2">
      <c r="A773" s="468"/>
      <c r="B773" s="469"/>
      <c r="C773" s="469"/>
      <c r="D773" s="469"/>
      <c r="E773" s="469"/>
      <c r="F773" s="469"/>
      <c r="G773" s="469"/>
      <c r="H773" s="468"/>
      <c r="I773" s="468"/>
      <c r="J773" s="468"/>
      <c r="K773" s="468"/>
      <c r="L773" s="468"/>
      <c r="M773" s="468"/>
      <c r="N773" s="468"/>
      <c r="O773" s="468"/>
    </row>
    <row r="774" spans="1:15" ht="23.25" customHeight="1" x14ac:dyDescent="0.2">
      <c r="A774" s="468"/>
      <c r="B774" s="469"/>
      <c r="C774" s="469"/>
      <c r="D774" s="469"/>
      <c r="E774" s="469"/>
      <c r="F774" s="469"/>
      <c r="G774" s="469"/>
      <c r="H774" s="468"/>
      <c r="I774" s="468"/>
      <c r="J774" s="468"/>
      <c r="K774" s="468"/>
      <c r="L774" s="468"/>
      <c r="M774" s="468"/>
      <c r="N774" s="468"/>
      <c r="O774" s="468"/>
    </row>
    <row r="775" spans="1:15" ht="23.25" customHeight="1" x14ac:dyDescent="0.2">
      <c r="A775" s="468"/>
      <c r="B775" s="469"/>
      <c r="C775" s="469"/>
      <c r="D775" s="469"/>
      <c r="E775" s="469"/>
      <c r="F775" s="469"/>
      <c r="G775" s="469"/>
      <c r="H775" s="468"/>
      <c r="I775" s="468"/>
      <c r="J775" s="468"/>
      <c r="K775" s="468"/>
      <c r="L775" s="468"/>
      <c r="M775" s="468"/>
      <c r="N775" s="468"/>
      <c r="O775" s="468"/>
    </row>
    <row r="776" spans="1:15" ht="23.25" customHeight="1" x14ac:dyDescent="0.2">
      <c r="A776" s="468"/>
      <c r="B776" s="469"/>
      <c r="C776" s="469"/>
      <c r="D776" s="469"/>
      <c r="E776" s="469"/>
      <c r="F776" s="469"/>
      <c r="G776" s="469"/>
      <c r="H776" s="468"/>
      <c r="I776" s="468"/>
      <c r="J776" s="468"/>
      <c r="K776" s="468"/>
      <c r="L776" s="468"/>
      <c r="M776" s="468"/>
      <c r="N776" s="468"/>
      <c r="O776" s="468"/>
    </row>
    <row r="777" spans="1:15" ht="23.25" customHeight="1" x14ac:dyDescent="0.2">
      <c r="A777" s="468"/>
      <c r="B777" s="469"/>
      <c r="C777" s="469"/>
      <c r="D777" s="469"/>
      <c r="E777" s="469"/>
      <c r="F777" s="469"/>
      <c r="G777" s="469"/>
      <c r="H777" s="468"/>
      <c r="I777" s="468"/>
      <c r="J777" s="468"/>
      <c r="K777" s="468"/>
      <c r="L777" s="468"/>
      <c r="M777" s="468"/>
      <c r="N777" s="468"/>
      <c r="O777" s="468"/>
    </row>
    <row r="778" spans="1:15" ht="23.25" customHeight="1" x14ac:dyDescent="0.2">
      <c r="A778" s="468"/>
      <c r="B778" s="469"/>
      <c r="C778" s="469"/>
      <c r="D778" s="469"/>
      <c r="E778" s="469"/>
      <c r="F778" s="469"/>
      <c r="G778" s="469"/>
      <c r="H778" s="468"/>
      <c r="I778" s="468"/>
      <c r="J778" s="468"/>
      <c r="K778" s="468"/>
      <c r="L778" s="468"/>
      <c r="M778" s="468"/>
      <c r="N778" s="468"/>
      <c r="O778" s="468"/>
    </row>
    <row r="779" spans="1:15" ht="23.25" customHeight="1" x14ac:dyDescent="0.2">
      <c r="A779" s="468"/>
      <c r="B779" s="469"/>
      <c r="C779" s="469"/>
      <c r="D779" s="469"/>
      <c r="E779" s="469"/>
      <c r="F779" s="469"/>
      <c r="G779" s="469"/>
      <c r="H779" s="468"/>
      <c r="I779" s="468"/>
      <c r="J779" s="468"/>
      <c r="K779" s="468"/>
      <c r="L779" s="468"/>
      <c r="M779" s="468"/>
      <c r="N779" s="468"/>
      <c r="O779" s="468"/>
    </row>
    <row r="780" spans="1:15" ht="23.25" customHeight="1" x14ac:dyDescent="0.2">
      <c r="A780" s="468"/>
      <c r="B780" s="469"/>
      <c r="C780" s="469"/>
      <c r="D780" s="469"/>
      <c r="E780" s="469"/>
      <c r="F780" s="469"/>
      <c r="G780" s="469"/>
      <c r="H780" s="468"/>
      <c r="I780" s="468"/>
      <c r="J780" s="468"/>
      <c r="K780" s="468"/>
      <c r="L780" s="468"/>
      <c r="M780" s="468"/>
      <c r="N780" s="468"/>
      <c r="O780" s="468"/>
    </row>
    <row r="781" spans="1:15" ht="23.25" customHeight="1" x14ac:dyDescent="0.2">
      <c r="A781" s="468"/>
      <c r="B781" s="469"/>
      <c r="C781" s="469"/>
      <c r="D781" s="469"/>
      <c r="E781" s="469"/>
      <c r="F781" s="469"/>
      <c r="G781" s="469"/>
      <c r="H781" s="468"/>
      <c r="I781" s="468"/>
      <c r="J781" s="468"/>
      <c r="K781" s="468"/>
      <c r="L781" s="468"/>
      <c r="M781" s="468"/>
      <c r="N781" s="468"/>
      <c r="O781" s="468"/>
    </row>
    <row r="782" spans="1:15" ht="23.25" customHeight="1" x14ac:dyDescent="0.2">
      <c r="A782" s="468"/>
      <c r="B782" s="469"/>
      <c r="C782" s="469"/>
      <c r="D782" s="469"/>
      <c r="E782" s="469"/>
      <c r="F782" s="469"/>
      <c r="G782" s="469"/>
      <c r="H782" s="468"/>
      <c r="I782" s="468"/>
      <c r="J782" s="468"/>
      <c r="K782" s="468"/>
      <c r="L782" s="468"/>
      <c r="M782" s="468"/>
      <c r="N782" s="468"/>
      <c r="O782" s="468"/>
    </row>
    <row r="783" spans="1:15" ht="23.25" customHeight="1" x14ac:dyDescent="0.2">
      <c r="A783" s="468"/>
      <c r="B783" s="469"/>
      <c r="C783" s="469"/>
      <c r="D783" s="469"/>
      <c r="E783" s="469"/>
      <c r="F783" s="469"/>
      <c r="G783" s="469"/>
      <c r="H783" s="468"/>
      <c r="I783" s="468"/>
      <c r="J783" s="468"/>
      <c r="K783" s="468"/>
      <c r="L783" s="468"/>
      <c r="M783" s="468"/>
      <c r="N783" s="468"/>
      <c r="O783" s="468"/>
    </row>
    <row r="784" spans="1:15" ht="23.25" customHeight="1" x14ac:dyDescent="0.2">
      <c r="A784" s="468"/>
      <c r="B784" s="469"/>
      <c r="C784" s="469"/>
      <c r="D784" s="469"/>
      <c r="E784" s="469"/>
      <c r="F784" s="469"/>
      <c r="G784" s="469"/>
      <c r="H784" s="468"/>
      <c r="I784" s="468"/>
      <c r="J784" s="468"/>
      <c r="K784" s="468"/>
      <c r="L784" s="468"/>
      <c r="M784" s="468"/>
      <c r="N784" s="468"/>
      <c r="O784" s="468"/>
    </row>
    <row r="785" spans="1:15" ht="23.25" customHeight="1" x14ac:dyDescent="0.2">
      <c r="A785" s="468"/>
      <c r="B785" s="469"/>
      <c r="C785" s="469"/>
      <c r="D785" s="469"/>
      <c r="E785" s="469"/>
      <c r="F785" s="469"/>
      <c r="G785" s="469"/>
      <c r="H785" s="468"/>
      <c r="I785" s="468"/>
      <c r="J785" s="468"/>
      <c r="K785" s="468"/>
      <c r="L785" s="468"/>
      <c r="M785" s="468"/>
      <c r="N785" s="468"/>
      <c r="O785" s="468"/>
    </row>
    <row r="786" spans="1:15" ht="23.25" customHeight="1" x14ac:dyDescent="0.2">
      <c r="A786" s="468"/>
      <c r="B786" s="469"/>
      <c r="C786" s="469"/>
      <c r="D786" s="469"/>
      <c r="E786" s="469"/>
      <c r="F786" s="469"/>
      <c r="G786" s="469"/>
      <c r="H786" s="468"/>
      <c r="I786" s="468"/>
      <c r="J786" s="468"/>
      <c r="K786" s="468"/>
      <c r="L786" s="468"/>
      <c r="M786" s="468"/>
      <c r="N786" s="468"/>
      <c r="O786" s="468"/>
    </row>
    <row r="787" spans="1:15" ht="23.25" customHeight="1" x14ac:dyDescent="0.2">
      <c r="A787" s="468"/>
      <c r="B787" s="469"/>
      <c r="C787" s="469"/>
      <c r="D787" s="469"/>
      <c r="E787" s="469"/>
      <c r="F787" s="469"/>
      <c r="G787" s="469"/>
      <c r="H787" s="468"/>
      <c r="I787" s="468"/>
      <c r="J787" s="468"/>
      <c r="K787" s="468"/>
      <c r="L787" s="468"/>
      <c r="M787" s="468"/>
      <c r="N787" s="468"/>
      <c r="O787" s="468"/>
    </row>
    <row r="788" spans="1:15" ht="23.25" customHeight="1" x14ac:dyDescent="0.2">
      <c r="A788" s="468"/>
      <c r="B788" s="469"/>
      <c r="C788" s="469"/>
      <c r="D788" s="469"/>
      <c r="E788" s="469"/>
      <c r="F788" s="469"/>
      <c r="G788" s="469"/>
      <c r="H788" s="468"/>
      <c r="I788" s="468"/>
      <c r="J788" s="468"/>
      <c r="K788" s="468"/>
      <c r="L788" s="468"/>
      <c r="M788" s="468"/>
      <c r="N788" s="468"/>
      <c r="O788" s="468"/>
    </row>
    <row r="789" spans="1:15" ht="23.25" customHeight="1" x14ac:dyDescent="0.2">
      <c r="A789" s="468"/>
      <c r="B789" s="469"/>
      <c r="C789" s="469"/>
      <c r="D789" s="469"/>
      <c r="E789" s="469"/>
      <c r="F789" s="469"/>
      <c r="G789" s="469"/>
      <c r="H789" s="468"/>
      <c r="I789" s="468"/>
      <c r="J789" s="468"/>
      <c r="K789" s="468"/>
      <c r="L789" s="468"/>
      <c r="M789" s="468"/>
      <c r="N789" s="468"/>
      <c r="O789" s="468"/>
    </row>
    <row r="790" spans="1:15" ht="23.25" customHeight="1" x14ac:dyDescent="0.2">
      <c r="A790" s="468"/>
      <c r="B790" s="469"/>
      <c r="C790" s="469"/>
      <c r="D790" s="469"/>
      <c r="E790" s="469"/>
      <c r="F790" s="469"/>
      <c r="G790" s="469"/>
      <c r="H790" s="468"/>
      <c r="I790" s="468"/>
      <c r="J790" s="468"/>
      <c r="K790" s="468"/>
      <c r="L790" s="468"/>
      <c r="M790" s="468"/>
      <c r="N790" s="468"/>
      <c r="O790" s="468"/>
    </row>
    <row r="791" spans="1:15" ht="23.25" customHeight="1" x14ac:dyDescent="0.2">
      <c r="A791" s="468"/>
      <c r="B791" s="469"/>
      <c r="C791" s="469"/>
      <c r="D791" s="469"/>
      <c r="E791" s="469"/>
      <c r="F791" s="469"/>
      <c r="G791" s="469"/>
      <c r="H791" s="468"/>
      <c r="I791" s="468"/>
      <c r="J791" s="468"/>
      <c r="K791" s="468"/>
      <c r="L791" s="468"/>
      <c r="M791" s="468"/>
      <c r="N791" s="468"/>
      <c r="O791" s="468"/>
    </row>
    <row r="792" spans="1:15" ht="23.25" customHeight="1" x14ac:dyDescent="0.2">
      <c r="A792" s="468"/>
      <c r="B792" s="469"/>
      <c r="C792" s="469"/>
      <c r="D792" s="469"/>
      <c r="E792" s="469"/>
      <c r="F792" s="469"/>
      <c r="G792" s="469"/>
      <c r="H792" s="468"/>
      <c r="I792" s="468"/>
      <c r="J792" s="468"/>
      <c r="K792" s="468"/>
      <c r="L792" s="468"/>
      <c r="M792" s="468"/>
      <c r="N792" s="468"/>
      <c r="O792" s="468"/>
    </row>
    <row r="793" spans="1:15" ht="23.25" customHeight="1" x14ac:dyDescent="0.2">
      <c r="A793" s="468"/>
      <c r="B793" s="469"/>
      <c r="C793" s="469"/>
      <c r="D793" s="469"/>
      <c r="E793" s="469"/>
      <c r="F793" s="469"/>
      <c r="G793" s="469"/>
      <c r="H793" s="468"/>
      <c r="I793" s="468"/>
      <c r="J793" s="468"/>
      <c r="K793" s="468"/>
      <c r="L793" s="468"/>
      <c r="M793" s="468"/>
      <c r="N793" s="468"/>
      <c r="O793" s="468"/>
    </row>
    <row r="794" spans="1:15" ht="23.25" customHeight="1" x14ac:dyDescent="0.2">
      <c r="A794" s="468"/>
      <c r="B794" s="469"/>
      <c r="C794" s="469"/>
      <c r="D794" s="469"/>
      <c r="E794" s="469"/>
      <c r="F794" s="469"/>
      <c r="G794" s="469"/>
      <c r="H794" s="468"/>
      <c r="I794" s="468"/>
      <c r="J794" s="468"/>
      <c r="K794" s="468"/>
      <c r="L794" s="468"/>
      <c r="M794" s="468"/>
      <c r="N794" s="468"/>
      <c r="O794" s="468"/>
    </row>
    <row r="795" spans="1:15" ht="23.25" customHeight="1" x14ac:dyDescent="0.2">
      <c r="A795" s="468"/>
      <c r="B795" s="469"/>
      <c r="C795" s="469"/>
      <c r="D795" s="469"/>
      <c r="E795" s="469"/>
      <c r="F795" s="469"/>
      <c r="G795" s="469"/>
      <c r="H795" s="468"/>
      <c r="I795" s="468"/>
      <c r="J795" s="468"/>
      <c r="K795" s="468"/>
      <c r="L795" s="468"/>
      <c r="M795" s="468"/>
      <c r="N795" s="468"/>
      <c r="O795" s="468"/>
    </row>
    <row r="796" spans="1:15" ht="23.25" customHeight="1" x14ac:dyDescent="0.2">
      <c r="A796" s="468"/>
      <c r="B796" s="469"/>
      <c r="C796" s="469"/>
      <c r="D796" s="469"/>
      <c r="E796" s="469"/>
      <c r="F796" s="469"/>
      <c r="G796" s="469"/>
      <c r="H796" s="468"/>
      <c r="I796" s="468"/>
      <c r="J796" s="468"/>
      <c r="K796" s="468"/>
      <c r="L796" s="468"/>
      <c r="M796" s="468"/>
      <c r="N796" s="468"/>
      <c r="O796" s="468"/>
    </row>
    <row r="797" spans="1:15" ht="23.25" customHeight="1" x14ac:dyDescent="0.2">
      <c r="A797" s="468"/>
      <c r="B797" s="469"/>
      <c r="C797" s="469"/>
      <c r="D797" s="469"/>
      <c r="E797" s="469"/>
      <c r="F797" s="469"/>
      <c r="G797" s="469"/>
      <c r="H797" s="468"/>
      <c r="I797" s="468"/>
      <c r="J797" s="468"/>
      <c r="K797" s="468"/>
      <c r="L797" s="468"/>
      <c r="M797" s="468"/>
      <c r="N797" s="468"/>
      <c r="O797" s="468"/>
    </row>
    <row r="798" spans="1:15" ht="23.25" customHeight="1" x14ac:dyDescent="0.2">
      <c r="A798" s="468"/>
      <c r="B798" s="469"/>
      <c r="C798" s="469"/>
      <c r="D798" s="469"/>
      <c r="E798" s="469"/>
      <c r="F798" s="469"/>
      <c r="G798" s="469"/>
      <c r="H798" s="468"/>
      <c r="I798" s="468"/>
      <c r="J798" s="468"/>
      <c r="K798" s="468"/>
      <c r="L798" s="468"/>
      <c r="M798" s="468"/>
      <c r="N798" s="468"/>
      <c r="O798" s="468"/>
    </row>
    <row r="799" spans="1:15" ht="23.25" customHeight="1" x14ac:dyDescent="0.2">
      <c r="A799" s="468"/>
      <c r="B799" s="469"/>
      <c r="C799" s="469"/>
      <c r="D799" s="469"/>
      <c r="E799" s="469"/>
      <c r="F799" s="469"/>
      <c r="G799" s="469"/>
      <c r="H799" s="468"/>
      <c r="I799" s="468"/>
      <c r="J799" s="468"/>
      <c r="K799" s="468"/>
      <c r="L799" s="468"/>
      <c r="M799" s="468"/>
      <c r="N799" s="468"/>
      <c r="O799" s="468"/>
    </row>
    <row r="800" spans="1:15" ht="23.25" customHeight="1" x14ac:dyDescent="0.2">
      <c r="A800" s="468"/>
      <c r="B800" s="469"/>
      <c r="C800" s="469"/>
      <c r="D800" s="469"/>
      <c r="E800" s="469"/>
      <c r="F800" s="469"/>
      <c r="G800" s="469"/>
      <c r="H800" s="468"/>
      <c r="I800" s="468"/>
      <c r="J800" s="468"/>
      <c r="K800" s="468"/>
      <c r="L800" s="468"/>
      <c r="M800" s="468"/>
      <c r="N800" s="468"/>
      <c r="O800" s="468"/>
    </row>
    <row r="801" spans="1:15" ht="23.25" customHeight="1" x14ac:dyDescent="0.2">
      <c r="A801" s="468"/>
      <c r="B801" s="469"/>
      <c r="C801" s="469"/>
      <c r="D801" s="469"/>
      <c r="E801" s="469"/>
      <c r="F801" s="469"/>
      <c r="G801" s="469"/>
      <c r="H801" s="468"/>
      <c r="I801" s="468"/>
      <c r="J801" s="468"/>
      <c r="K801" s="468"/>
      <c r="L801" s="468"/>
      <c r="M801" s="468"/>
      <c r="N801" s="468"/>
      <c r="O801" s="468"/>
    </row>
    <row r="802" spans="1:15" ht="23.25" customHeight="1" x14ac:dyDescent="0.2">
      <c r="A802" s="468"/>
      <c r="B802" s="469"/>
      <c r="C802" s="469"/>
      <c r="D802" s="469"/>
      <c r="E802" s="469"/>
      <c r="F802" s="469"/>
      <c r="G802" s="469"/>
      <c r="H802" s="468"/>
      <c r="I802" s="468"/>
      <c r="J802" s="468"/>
      <c r="K802" s="468"/>
      <c r="L802" s="468"/>
      <c r="M802" s="468"/>
      <c r="N802" s="468"/>
      <c r="O802" s="468"/>
    </row>
    <row r="803" spans="1:15" ht="23.25" customHeight="1" x14ac:dyDescent="0.2">
      <c r="A803" s="468"/>
      <c r="B803" s="469"/>
      <c r="C803" s="469"/>
      <c r="D803" s="469"/>
      <c r="E803" s="469"/>
      <c r="F803" s="469"/>
      <c r="G803" s="469"/>
      <c r="H803" s="468"/>
      <c r="I803" s="468"/>
      <c r="J803" s="468"/>
      <c r="K803" s="468"/>
      <c r="L803" s="468"/>
      <c r="M803" s="468"/>
      <c r="N803" s="468"/>
      <c r="O803" s="468"/>
    </row>
    <row r="804" spans="1:15" ht="23.25" customHeight="1" x14ac:dyDescent="0.2">
      <c r="A804" s="468"/>
      <c r="B804" s="469"/>
      <c r="C804" s="469"/>
      <c r="D804" s="469"/>
      <c r="E804" s="469"/>
      <c r="F804" s="469"/>
      <c r="G804" s="469"/>
      <c r="H804" s="468"/>
      <c r="I804" s="468"/>
      <c r="J804" s="468"/>
      <c r="K804" s="468"/>
      <c r="L804" s="468"/>
      <c r="M804" s="468"/>
      <c r="N804" s="468"/>
      <c r="O804" s="468"/>
    </row>
    <row r="805" spans="1:15" ht="23.25" customHeight="1" x14ac:dyDescent="0.2">
      <c r="A805" s="468"/>
      <c r="B805" s="469"/>
      <c r="C805" s="469"/>
      <c r="D805" s="469"/>
      <c r="E805" s="469"/>
      <c r="F805" s="469"/>
      <c r="G805" s="469"/>
      <c r="H805" s="468"/>
      <c r="I805" s="468"/>
      <c r="J805" s="468"/>
      <c r="K805" s="468"/>
      <c r="L805" s="468"/>
      <c r="M805" s="468"/>
      <c r="N805" s="468"/>
      <c r="O805" s="468"/>
    </row>
    <row r="806" spans="1:15" ht="23.25" customHeight="1" x14ac:dyDescent="0.2">
      <c r="A806" s="468"/>
      <c r="B806" s="469"/>
      <c r="C806" s="469"/>
      <c r="D806" s="469"/>
      <c r="E806" s="469"/>
      <c r="F806" s="469"/>
      <c r="G806" s="469"/>
      <c r="H806" s="468"/>
      <c r="I806" s="468"/>
      <c r="J806" s="468"/>
      <c r="K806" s="468"/>
      <c r="L806" s="468"/>
      <c r="M806" s="468"/>
      <c r="N806" s="468"/>
      <c r="O806" s="468"/>
    </row>
    <row r="807" spans="1:15" ht="23.25" customHeight="1" x14ac:dyDescent="0.2">
      <c r="A807" s="468"/>
      <c r="B807" s="469"/>
      <c r="C807" s="469"/>
      <c r="D807" s="469"/>
      <c r="E807" s="469"/>
      <c r="F807" s="469"/>
      <c r="G807" s="469"/>
      <c r="H807" s="468"/>
      <c r="I807" s="468"/>
      <c r="J807" s="468"/>
      <c r="K807" s="468"/>
      <c r="L807" s="468"/>
      <c r="M807" s="468"/>
      <c r="N807" s="468"/>
      <c r="O807" s="468"/>
    </row>
    <row r="808" spans="1:15" ht="23.25" customHeight="1" x14ac:dyDescent="0.2">
      <c r="A808" s="468"/>
      <c r="B808" s="469"/>
      <c r="C808" s="469"/>
      <c r="D808" s="469"/>
      <c r="E808" s="469"/>
      <c r="F808" s="469"/>
      <c r="G808" s="469"/>
      <c r="H808" s="468"/>
      <c r="I808" s="468"/>
      <c r="J808" s="468"/>
      <c r="K808" s="468"/>
      <c r="L808" s="468"/>
      <c r="M808" s="468"/>
      <c r="N808" s="468"/>
      <c r="O808" s="468"/>
    </row>
    <row r="809" spans="1:15" ht="23.25" customHeight="1" x14ac:dyDescent="0.2">
      <c r="A809" s="468"/>
      <c r="B809" s="469"/>
      <c r="C809" s="469"/>
      <c r="D809" s="469"/>
      <c r="E809" s="469"/>
      <c r="F809" s="469"/>
      <c r="G809" s="469"/>
      <c r="H809" s="468"/>
      <c r="I809" s="468"/>
      <c r="J809" s="468"/>
      <c r="K809" s="468"/>
      <c r="L809" s="468"/>
      <c r="M809" s="468"/>
      <c r="N809" s="468"/>
      <c r="O809" s="468"/>
    </row>
    <row r="810" spans="1:15" ht="23.25" customHeight="1" x14ac:dyDescent="0.2">
      <c r="A810" s="468"/>
      <c r="B810" s="469"/>
      <c r="C810" s="469"/>
      <c r="D810" s="469"/>
      <c r="E810" s="469"/>
      <c r="F810" s="469"/>
      <c r="G810" s="469"/>
      <c r="H810" s="468"/>
      <c r="I810" s="468"/>
      <c r="J810" s="468"/>
      <c r="K810" s="468"/>
      <c r="L810" s="468"/>
      <c r="M810" s="468"/>
      <c r="N810" s="468"/>
      <c r="O810" s="468"/>
    </row>
    <row r="811" spans="1:15" ht="23.25" customHeight="1" x14ac:dyDescent="0.2">
      <c r="A811" s="468"/>
      <c r="B811" s="469"/>
      <c r="C811" s="469"/>
      <c r="D811" s="469"/>
      <c r="E811" s="469"/>
      <c r="F811" s="469"/>
      <c r="G811" s="469"/>
      <c r="H811" s="468"/>
      <c r="I811" s="468"/>
      <c r="J811" s="468"/>
      <c r="K811" s="468"/>
      <c r="L811" s="468"/>
      <c r="M811" s="468"/>
      <c r="N811" s="468"/>
      <c r="O811" s="468"/>
    </row>
    <row r="812" spans="1:15" ht="23.25" customHeight="1" x14ac:dyDescent="0.2">
      <c r="A812" s="468"/>
      <c r="B812" s="469"/>
      <c r="C812" s="469"/>
      <c r="D812" s="469"/>
      <c r="E812" s="469"/>
      <c r="F812" s="469"/>
      <c r="G812" s="469"/>
      <c r="H812" s="468"/>
      <c r="I812" s="468"/>
      <c r="J812" s="468"/>
      <c r="K812" s="468"/>
      <c r="L812" s="468"/>
      <c r="M812" s="468"/>
      <c r="N812" s="468"/>
      <c r="O812" s="468"/>
    </row>
    <row r="813" spans="1:15" ht="23.25" customHeight="1" x14ac:dyDescent="0.2">
      <c r="A813" s="468"/>
      <c r="B813" s="469"/>
      <c r="C813" s="469"/>
      <c r="D813" s="469"/>
      <c r="E813" s="469"/>
      <c r="F813" s="469"/>
      <c r="G813" s="469"/>
      <c r="H813" s="468"/>
      <c r="I813" s="468"/>
      <c r="J813" s="468"/>
      <c r="K813" s="468"/>
      <c r="L813" s="468"/>
      <c r="M813" s="468"/>
      <c r="N813" s="468"/>
      <c r="O813" s="468"/>
    </row>
    <row r="814" spans="1:15" ht="23.25" customHeight="1" x14ac:dyDescent="0.2">
      <c r="A814" s="468"/>
      <c r="B814" s="469"/>
      <c r="C814" s="469"/>
      <c r="D814" s="469"/>
      <c r="E814" s="469"/>
      <c r="F814" s="469"/>
      <c r="G814" s="469"/>
      <c r="H814" s="468"/>
      <c r="I814" s="468"/>
      <c r="J814" s="468"/>
      <c r="K814" s="468"/>
      <c r="L814" s="468"/>
      <c r="M814" s="468"/>
      <c r="N814" s="468"/>
      <c r="O814" s="468"/>
    </row>
    <row r="815" spans="1:15" ht="23.25" customHeight="1" x14ac:dyDescent="0.2">
      <c r="A815" s="468"/>
      <c r="B815" s="469"/>
      <c r="C815" s="469"/>
      <c r="D815" s="469"/>
      <c r="E815" s="469"/>
      <c r="F815" s="469"/>
      <c r="G815" s="469"/>
      <c r="H815" s="468"/>
      <c r="I815" s="468"/>
      <c r="J815" s="468"/>
      <c r="K815" s="468"/>
      <c r="L815" s="468"/>
      <c r="M815" s="468"/>
      <c r="N815" s="468"/>
      <c r="O815" s="468"/>
    </row>
    <row r="816" spans="1:15" ht="23.25" customHeight="1" x14ac:dyDescent="0.2">
      <c r="A816" s="468"/>
      <c r="B816" s="469"/>
      <c r="C816" s="469"/>
      <c r="D816" s="469"/>
      <c r="E816" s="469"/>
      <c r="F816" s="469"/>
      <c r="G816" s="469"/>
      <c r="H816" s="468"/>
      <c r="I816" s="468"/>
      <c r="J816" s="468"/>
      <c r="K816" s="468"/>
      <c r="L816" s="468"/>
      <c r="M816" s="468"/>
      <c r="N816" s="468"/>
      <c r="O816" s="468"/>
    </row>
    <row r="817" spans="1:15" ht="23.25" customHeight="1" x14ac:dyDescent="0.2">
      <c r="A817" s="468"/>
      <c r="B817" s="469"/>
      <c r="C817" s="469"/>
      <c r="D817" s="469"/>
      <c r="E817" s="469"/>
      <c r="F817" s="469"/>
      <c r="G817" s="469"/>
      <c r="H817" s="468"/>
      <c r="I817" s="468"/>
      <c r="J817" s="468"/>
      <c r="K817" s="468"/>
      <c r="L817" s="468"/>
      <c r="M817" s="468"/>
      <c r="N817" s="468"/>
      <c r="O817" s="468"/>
    </row>
    <row r="818" spans="1:15" ht="23.25" customHeight="1" x14ac:dyDescent="0.2">
      <c r="A818" s="468"/>
      <c r="B818" s="469"/>
      <c r="C818" s="469"/>
      <c r="D818" s="469"/>
      <c r="E818" s="469"/>
      <c r="F818" s="469"/>
      <c r="G818" s="469"/>
      <c r="H818" s="468"/>
      <c r="I818" s="468"/>
      <c r="J818" s="468"/>
      <c r="K818" s="468"/>
      <c r="L818" s="468"/>
      <c r="M818" s="468"/>
      <c r="N818" s="468"/>
      <c r="O818" s="468"/>
    </row>
    <row r="819" spans="1:15" ht="23.25" customHeight="1" x14ac:dyDescent="0.2">
      <c r="A819" s="468"/>
      <c r="B819" s="469"/>
      <c r="C819" s="469"/>
      <c r="D819" s="469"/>
      <c r="E819" s="469"/>
      <c r="F819" s="469"/>
      <c r="G819" s="469"/>
      <c r="H819" s="468"/>
      <c r="I819" s="468"/>
      <c r="J819" s="468"/>
      <c r="K819" s="468"/>
      <c r="L819" s="468"/>
      <c r="M819" s="468"/>
      <c r="N819" s="468"/>
      <c r="O819" s="468"/>
    </row>
    <row r="820" spans="1:15" ht="23.25" customHeight="1" x14ac:dyDescent="0.2">
      <c r="A820" s="468"/>
      <c r="B820" s="469"/>
      <c r="C820" s="469"/>
      <c r="D820" s="469"/>
      <c r="E820" s="469"/>
      <c r="F820" s="469"/>
      <c r="G820" s="469"/>
      <c r="H820" s="468"/>
      <c r="I820" s="468"/>
      <c r="J820" s="468"/>
      <c r="K820" s="468"/>
      <c r="L820" s="468"/>
      <c r="M820" s="468"/>
      <c r="N820" s="468"/>
      <c r="O820" s="468"/>
    </row>
    <row r="821" spans="1:15" ht="23.25" customHeight="1" x14ac:dyDescent="0.2">
      <c r="A821" s="468"/>
      <c r="B821" s="469"/>
      <c r="C821" s="469"/>
      <c r="D821" s="469"/>
      <c r="E821" s="469"/>
      <c r="F821" s="469"/>
      <c r="G821" s="469"/>
      <c r="H821" s="468"/>
      <c r="I821" s="468"/>
      <c r="J821" s="468"/>
      <c r="K821" s="468"/>
      <c r="L821" s="468"/>
      <c r="M821" s="468"/>
      <c r="N821" s="468"/>
      <c r="O821" s="468"/>
    </row>
    <row r="822" spans="1:15" ht="23.25" customHeight="1" x14ac:dyDescent="0.2">
      <c r="A822" s="468"/>
      <c r="B822" s="469"/>
      <c r="C822" s="469"/>
      <c r="D822" s="469"/>
      <c r="E822" s="469"/>
      <c r="F822" s="469"/>
      <c r="G822" s="469"/>
      <c r="H822" s="468"/>
      <c r="I822" s="468"/>
      <c r="J822" s="468"/>
      <c r="K822" s="468"/>
      <c r="L822" s="468"/>
      <c r="M822" s="468"/>
      <c r="N822" s="468"/>
      <c r="O822" s="468"/>
    </row>
    <row r="823" spans="1:15" ht="23.25" customHeight="1" x14ac:dyDescent="0.2">
      <c r="A823" s="468"/>
      <c r="B823" s="469"/>
      <c r="C823" s="469"/>
      <c r="D823" s="469"/>
      <c r="E823" s="469"/>
      <c r="F823" s="469"/>
      <c r="G823" s="469"/>
      <c r="H823" s="468"/>
      <c r="I823" s="468"/>
      <c r="J823" s="468"/>
      <c r="K823" s="468"/>
      <c r="L823" s="468"/>
      <c r="M823" s="468"/>
      <c r="N823" s="468"/>
      <c r="O823" s="468"/>
    </row>
    <row r="824" spans="1:15" ht="23.25" customHeight="1" x14ac:dyDescent="0.2">
      <c r="A824" s="468"/>
      <c r="B824" s="469"/>
      <c r="C824" s="469"/>
      <c r="D824" s="469"/>
      <c r="E824" s="469"/>
      <c r="F824" s="469"/>
      <c r="G824" s="469"/>
      <c r="H824" s="468"/>
      <c r="I824" s="468"/>
      <c r="J824" s="468"/>
      <c r="K824" s="468"/>
      <c r="L824" s="468"/>
      <c r="M824" s="468"/>
      <c r="N824" s="468"/>
      <c r="O824" s="468"/>
    </row>
    <row r="825" spans="1:15" ht="23.25" customHeight="1" x14ac:dyDescent="0.2">
      <c r="A825" s="468"/>
      <c r="B825" s="469"/>
      <c r="C825" s="469"/>
      <c r="D825" s="469"/>
      <c r="E825" s="469"/>
      <c r="F825" s="469"/>
      <c r="G825" s="469"/>
      <c r="H825" s="468"/>
      <c r="I825" s="468"/>
      <c r="J825" s="468"/>
      <c r="K825" s="468"/>
      <c r="L825" s="468"/>
      <c r="M825" s="468"/>
      <c r="N825" s="468"/>
      <c r="O825" s="468"/>
    </row>
    <row r="826" spans="1:15" ht="23.25" customHeight="1" x14ac:dyDescent="0.2">
      <c r="A826" s="468"/>
      <c r="B826" s="469"/>
      <c r="C826" s="469"/>
      <c r="D826" s="469"/>
      <c r="E826" s="469"/>
      <c r="F826" s="469"/>
      <c r="G826" s="469"/>
      <c r="H826" s="468"/>
      <c r="I826" s="468"/>
      <c r="J826" s="468"/>
      <c r="K826" s="468"/>
      <c r="L826" s="468"/>
      <c r="M826" s="468"/>
      <c r="N826" s="468"/>
      <c r="O826" s="468"/>
    </row>
    <row r="827" spans="1:15" ht="23.25" customHeight="1" x14ac:dyDescent="0.2">
      <c r="A827" s="468"/>
      <c r="B827" s="469"/>
      <c r="C827" s="469"/>
      <c r="D827" s="469"/>
      <c r="E827" s="469"/>
      <c r="F827" s="469"/>
      <c r="G827" s="469"/>
      <c r="H827" s="468"/>
      <c r="I827" s="468"/>
      <c r="J827" s="468"/>
      <c r="K827" s="468"/>
      <c r="L827" s="468"/>
      <c r="M827" s="468"/>
      <c r="N827" s="468"/>
      <c r="O827" s="468"/>
    </row>
    <row r="828" spans="1:15" ht="23.25" customHeight="1" x14ac:dyDescent="0.2">
      <c r="A828" s="468"/>
      <c r="B828" s="469"/>
      <c r="C828" s="469"/>
      <c r="D828" s="469"/>
      <c r="E828" s="469"/>
      <c r="F828" s="469"/>
      <c r="G828" s="469"/>
      <c r="H828" s="468"/>
      <c r="I828" s="468"/>
      <c r="J828" s="468"/>
      <c r="K828" s="468"/>
      <c r="L828" s="468"/>
      <c r="M828" s="468"/>
      <c r="N828" s="468"/>
      <c r="O828" s="468"/>
    </row>
    <row r="829" spans="1:15" ht="23.25" customHeight="1" x14ac:dyDescent="0.2">
      <c r="A829" s="468"/>
      <c r="B829" s="469"/>
      <c r="C829" s="469"/>
      <c r="D829" s="469"/>
      <c r="E829" s="469"/>
      <c r="F829" s="469"/>
      <c r="G829" s="469"/>
      <c r="H829" s="468"/>
      <c r="I829" s="468"/>
      <c r="J829" s="468"/>
      <c r="K829" s="468"/>
      <c r="L829" s="468"/>
      <c r="M829" s="468"/>
      <c r="N829" s="468"/>
      <c r="O829" s="468"/>
    </row>
    <row r="830" spans="1:15" ht="23.25" customHeight="1" x14ac:dyDescent="0.2">
      <c r="A830" s="468"/>
      <c r="B830" s="469"/>
      <c r="C830" s="469"/>
      <c r="D830" s="469"/>
      <c r="E830" s="469"/>
      <c r="F830" s="469"/>
      <c r="G830" s="469"/>
      <c r="H830" s="468"/>
      <c r="I830" s="468"/>
      <c r="J830" s="468"/>
      <c r="K830" s="468"/>
      <c r="L830" s="468"/>
      <c r="M830" s="468"/>
      <c r="N830" s="468"/>
      <c r="O830" s="468"/>
    </row>
    <row r="831" spans="1:15" ht="23.25" customHeight="1" x14ac:dyDescent="0.2">
      <c r="A831" s="468"/>
      <c r="B831" s="469"/>
      <c r="C831" s="469"/>
      <c r="D831" s="469"/>
      <c r="E831" s="469"/>
      <c r="F831" s="469"/>
      <c r="G831" s="469"/>
      <c r="H831" s="468"/>
      <c r="I831" s="468"/>
      <c r="J831" s="468"/>
      <c r="K831" s="468"/>
      <c r="L831" s="468"/>
      <c r="M831" s="468"/>
      <c r="N831" s="468"/>
      <c r="O831" s="468"/>
    </row>
    <row r="832" spans="1:15" ht="23.25" customHeight="1" x14ac:dyDescent="0.2">
      <c r="A832" s="468"/>
      <c r="B832" s="469"/>
      <c r="C832" s="469"/>
      <c r="D832" s="469"/>
      <c r="E832" s="469"/>
      <c r="F832" s="469"/>
      <c r="G832" s="469"/>
      <c r="H832" s="468"/>
      <c r="I832" s="468"/>
      <c r="J832" s="468"/>
      <c r="K832" s="468"/>
      <c r="L832" s="468"/>
      <c r="M832" s="468"/>
      <c r="N832" s="468"/>
      <c r="O832" s="468"/>
    </row>
    <row r="833" spans="1:15" ht="23.25" customHeight="1" x14ac:dyDescent="0.2">
      <c r="A833" s="468"/>
      <c r="B833" s="469"/>
      <c r="C833" s="469"/>
      <c r="D833" s="469"/>
      <c r="E833" s="469"/>
      <c r="F833" s="469"/>
      <c r="G833" s="469"/>
      <c r="H833" s="468"/>
      <c r="I833" s="468"/>
      <c r="J833" s="468"/>
      <c r="K833" s="468"/>
      <c r="L833" s="468"/>
      <c r="M833" s="468"/>
      <c r="N833" s="468"/>
      <c r="O833" s="468"/>
    </row>
    <row r="834" spans="1:15" ht="23.25" customHeight="1" x14ac:dyDescent="0.2">
      <c r="A834" s="468"/>
      <c r="B834" s="469"/>
      <c r="C834" s="469"/>
      <c r="D834" s="469"/>
      <c r="E834" s="469"/>
      <c r="F834" s="469"/>
      <c r="G834" s="469"/>
      <c r="H834" s="468"/>
      <c r="I834" s="468"/>
      <c r="J834" s="468"/>
      <c r="K834" s="468"/>
      <c r="L834" s="468"/>
      <c r="M834" s="468"/>
      <c r="N834" s="468"/>
      <c r="O834" s="468"/>
    </row>
    <row r="835" spans="1:15" ht="23.25" customHeight="1" x14ac:dyDescent="0.2">
      <c r="A835" s="468"/>
      <c r="B835" s="469"/>
      <c r="C835" s="469"/>
      <c r="D835" s="469"/>
      <c r="E835" s="469"/>
      <c r="F835" s="469"/>
      <c r="G835" s="469"/>
      <c r="H835" s="468"/>
      <c r="I835" s="468"/>
      <c r="J835" s="468"/>
      <c r="K835" s="468"/>
      <c r="L835" s="468"/>
      <c r="M835" s="468"/>
      <c r="N835" s="468"/>
      <c r="O835" s="468"/>
    </row>
    <row r="836" spans="1:15" ht="23.25" customHeight="1" x14ac:dyDescent="0.2">
      <c r="A836" s="468"/>
      <c r="B836" s="469"/>
      <c r="C836" s="469"/>
      <c r="D836" s="469"/>
      <c r="E836" s="469"/>
      <c r="F836" s="469"/>
      <c r="G836" s="469"/>
      <c r="H836" s="468"/>
      <c r="I836" s="468"/>
      <c r="J836" s="468"/>
      <c r="K836" s="468"/>
      <c r="L836" s="468"/>
      <c r="M836" s="468"/>
      <c r="N836" s="468"/>
      <c r="O836" s="468"/>
    </row>
    <row r="837" spans="1:15" ht="23.25" customHeight="1" x14ac:dyDescent="0.2">
      <c r="A837" s="468"/>
      <c r="B837" s="469"/>
      <c r="C837" s="469"/>
      <c r="D837" s="469"/>
      <c r="E837" s="469"/>
      <c r="F837" s="469"/>
      <c r="G837" s="469"/>
      <c r="H837" s="468"/>
      <c r="I837" s="468"/>
      <c r="J837" s="468"/>
      <c r="K837" s="468"/>
      <c r="L837" s="468"/>
      <c r="M837" s="468"/>
      <c r="N837" s="468"/>
      <c r="O837" s="468"/>
    </row>
    <row r="838" spans="1:15" ht="23.25" customHeight="1" x14ac:dyDescent="0.2">
      <c r="A838" s="468"/>
      <c r="B838" s="469"/>
      <c r="C838" s="469"/>
      <c r="D838" s="469"/>
      <c r="E838" s="469"/>
      <c r="F838" s="469"/>
      <c r="G838" s="469"/>
      <c r="H838" s="468"/>
      <c r="I838" s="468"/>
      <c r="J838" s="468"/>
      <c r="K838" s="468"/>
      <c r="L838" s="468"/>
      <c r="M838" s="468"/>
      <c r="N838" s="468"/>
      <c r="O838" s="468"/>
    </row>
    <row r="839" spans="1:15" ht="23.25" customHeight="1" x14ac:dyDescent="0.2">
      <c r="A839" s="468"/>
      <c r="B839" s="469"/>
      <c r="C839" s="469"/>
      <c r="D839" s="469"/>
      <c r="E839" s="469"/>
      <c r="F839" s="469"/>
      <c r="G839" s="469"/>
      <c r="H839" s="468"/>
      <c r="I839" s="468"/>
      <c r="J839" s="468"/>
      <c r="K839" s="468"/>
      <c r="L839" s="468"/>
      <c r="M839" s="468"/>
      <c r="N839" s="468"/>
      <c r="O839" s="468"/>
    </row>
    <row r="840" spans="1:15" ht="23.25" customHeight="1" x14ac:dyDescent="0.2">
      <c r="A840" s="468"/>
      <c r="B840" s="469"/>
      <c r="C840" s="469"/>
      <c r="D840" s="469"/>
      <c r="E840" s="469"/>
      <c r="F840" s="469"/>
      <c r="G840" s="469"/>
      <c r="H840" s="468"/>
      <c r="I840" s="468"/>
      <c r="J840" s="468"/>
      <c r="K840" s="468"/>
      <c r="L840" s="468"/>
      <c r="M840" s="468"/>
      <c r="N840" s="468"/>
      <c r="O840" s="468"/>
    </row>
    <row r="841" spans="1:15" ht="23.25" customHeight="1" x14ac:dyDescent="0.2">
      <c r="A841" s="468"/>
      <c r="B841" s="469"/>
      <c r="C841" s="469"/>
      <c r="D841" s="469"/>
      <c r="E841" s="469"/>
      <c r="F841" s="469"/>
      <c r="G841" s="469"/>
      <c r="H841" s="468"/>
      <c r="I841" s="468"/>
      <c r="J841" s="468"/>
      <c r="K841" s="468"/>
      <c r="L841" s="468"/>
      <c r="M841" s="468"/>
      <c r="N841" s="468"/>
      <c r="O841" s="468"/>
    </row>
    <row r="842" spans="1:15" ht="23.25" customHeight="1" x14ac:dyDescent="0.2">
      <c r="A842" s="468"/>
      <c r="B842" s="469"/>
      <c r="C842" s="469"/>
      <c r="D842" s="469"/>
      <c r="E842" s="469"/>
      <c r="F842" s="469"/>
      <c r="G842" s="469"/>
      <c r="H842" s="468"/>
      <c r="I842" s="468"/>
      <c r="J842" s="468"/>
      <c r="K842" s="468"/>
      <c r="L842" s="468"/>
      <c r="M842" s="468"/>
      <c r="N842" s="468"/>
      <c r="O842" s="468"/>
    </row>
    <row r="843" spans="1:15" ht="23.25" customHeight="1" x14ac:dyDescent="0.2">
      <c r="A843" s="468"/>
      <c r="B843" s="469"/>
      <c r="C843" s="469"/>
      <c r="D843" s="469"/>
      <c r="E843" s="469"/>
      <c r="F843" s="469"/>
      <c r="G843" s="469"/>
      <c r="H843" s="468"/>
      <c r="I843" s="468"/>
      <c r="J843" s="468"/>
      <c r="K843" s="468"/>
      <c r="L843" s="468"/>
      <c r="M843" s="468"/>
      <c r="N843" s="468"/>
      <c r="O843" s="468"/>
    </row>
    <row r="844" spans="1:15" ht="23.25" customHeight="1" x14ac:dyDescent="0.2">
      <c r="A844" s="468"/>
      <c r="B844" s="469"/>
      <c r="C844" s="469"/>
      <c r="D844" s="469"/>
      <c r="E844" s="469"/>
      <c r="F844" s="469"/>
      <c r="G844" s="469"/>
      <c r="H844" s="468"/>
      <c r="I844" s="468"/>
      <c r="J844" s="468"/>
      <c r="K844" s="468"/>
      <c r="L844" s="468"/>
      <c r="M844" s="468"/>
      <c r="N844" s="468"/>
      <c r="O844" s="468"/>
    </row>
    <row r="845" spans="1:15" ht="23.25" customHeight="1" x14ac:dyDescent="0.2">
      <c r="A845" s="468"/>
      <c r="B845" s="469"/>
      <c r="C845" s="469"/>
      <c r="D845" s="469"/>
      <c r="E845" s="469"/>
      <c r="F845" s="469"/>
      <c r="G845" s="469"/>
      <c r="H845" s="468"/>
      <c r="I845" s="468"/>
      <c r="J845" s="468"/>
      <c r="K845" s="468"/>
      <c r="L845" s="468"/>
      <c r="M845" s="468"/>
      <c r="N845" s="468"/>
      <c r="O845" s="468"/>
    </row>
    <row r="846" spans="1:15" ht="23.25" customHeight="1" x14ac:dyDescent="0.2">
      <c r="A846" s="468"/>
      <c r="B846" s="469"/>
      <c r="C846" s="469"/>
      <c r="D846" s="469"/>
      <c r="E846" s="469"/>
      <c r="F846" s="469"/>
      <c r="G846" s="469"/>
      <c r="H846" s="468"/>
      <c r="I846" s="468"/>
      <c r="J846" s="468"/>
      <c r="K846" s="468"/>
      <c r="L846" s="468"/>
      <c r="M846" s="468"/>
      <c r="N846" s="468"/>
      <c r="O846" s="468"/>
    </row>
    <row r="847" spans="1:15" ht="23.25" customHeight="1" x14ac:dyDescent="0.2">
      <c r="A847" s="468"/>
      <c r="B847" s="469"/>
      <c r="C847" s="469"/>
      <c r="D847" s="469"/>
      <c r="E847" s="469"/>
      <c r="F847" s="469"/>
      <c r="G847" s="469"/>
      <c r="H847" s="468"/>
      <c r="I847" s="468"/>
      <c r="J847" s="468"/>
      <c r="K847" s="468"/>
      <c r="L847" s="468"/>
      <c r="M847" s="468"/>
      <c r="N847" s="468"/>
      <c r="O847" s="468"/>
    </row>
    <row r="848" spans="1:15" ht="23.25" customHeight="1" x14ac:dyDescent="0.2">
      <c r="A848" s="468"/>
      <c r="B848" s="469"/>
      <c r="C848" s="469"/>
      <c r="D848" s="469"/>
      <c r="E848" s="469"/>
      <c r="F848" s="469"/>
      <c r="G848" s="469"/>
      <c r="H848" s="468"/>
      <c r="I848" s="468"/>
      <c r="J848" s="468"/>
      <c r="K848" s="468"/>
      <c r="L848" s="468"/>
      <c r="M848" s="468"/>
      <c r="N848" s="468"/>
      <c r="O848" s="468"/>
    </row>
    <row r="849" spans="1:15" ht="23.25" customHeight="1" x14ac:dyDescent="0.2">
      <c r="A849" s="468"/>
      <c r="B849" s="469"/>
      <c r="C849" s="469"/>
      <c r="D849" s="469"/>
      <c r="E849" s="469"/>
      <c r="F849" s="469"/>
      <c r="G849" s="469"/>
      <c r="H849" s="468"/>
      <c r="I849" s="468"/>
      <c r="J849" s="468"/>
      <c r="K849" s="468"/>
      <c r="L849" s="468"/>
      <c r="M849" s="468"/>
      <c r="N849" s="468"/>
      <c r="O849" s="468"/>
    </row>
    <row r="850" spans="1:15" ht="23.25" customHeight="1" x14ac:dyDescent="0.2">
      <c r="A850" s="468"/>
      <c r="B850" s="469"/>
      <c r="C850" s="469"/>
      <c r="D850" s="469"/>
      <c r="E850" s="469"/>
      <c r="F850" s="469"/>
      <c r="G850" s="469"/>
      <c r="H850" s="468"/>
      <c r="I850" s="468"/>
      <c r="J850" s="468"/>
      <c r="K850" s="468"/>
      <c r="L850" s="468"/>
      <c r="M850" s="468"/>
      <c r="N850" s="468"/>
      <c r="O850" s="468"/>
    </row>
    <row r="851" spans="1:15" ht="23.25" customHeight="1" x14ac:dyDescent="0.2">
      <c r="A851" s="468"/>
      <c r="B851" s="469"/>
      <c r="C851" s="469"/>
      <c r="D851" s="469"/>
      <c r="E851" s="469"/>
      <c r="F851" s="469"/>
      <c r="G851" s="469"/>
      <c r="H851" s="468"/>
      <c r="I851" s="468"/>
      <c r="J851" s="468"/>
      <c r="K851" s="468"/>
      <c r="L851" s="468"/>
      <c r="M851" s="468"/>
      <c r="N851" s="468"/>
      <c r="O851" s="468"/>
    </row>
    <row r="852" spans="1:15" ht="23.25" customHeight="1" x14ac:dyDescent="0.2">
      <c r="A852" s="468"/>
      <c r="B852" s="469"/>
      <c r="C852" s="469"/>
      <c r="D852" s="469"/>
      <c r="E852" s="469"/>
      <c r="F852" s="469"/>
      <c r="G852" s="469"/>
      <c r="H852" s="468"/>
      <c r="I852" s="468"/>
      <c r="J852" s="468"/>
      <c r="K852" s="468"/>
      <c r="L852" s="468"/>
      <c r="M852" s="468"/>
      <c r="N852" s="468"/>
      <c r="O852" s="468"/>
    </row>
    <row r="853" spans="1:15" ht="23.25" customHeight="1" x14ac:dyDescent="0.2">
      <c r="A853" s="468"/>
      <c r="B853" s="469"/>
      <c r="C853" s="469"/>
      <c r="D853" s="469"/>
      <c r="E853" s="469"/>
      <c r="F853" s="469"/>
      <c r="G853" s="469"/>
      <c r="H853" s="468"/>
      <c r="I853" s="468"/>
      <c r="J853" s="468"/>
      <c r="K853" s="468"/>
      <c r="L853" s="468"/>
      <c r="M853" s="468"/>
      <c r="N853" s="468"/>
      <c r="O853" s="468"/>
    </row>
    <row r="854" spans="1:15" ht="23.25" customHeight="1" x14ac:dyDescent="0.2">
      <c r="A854" s="468"/>
      <c r="B854" s="469"/>
      <c r="C854" s="469"/>
      <c r="D854" s="469"/>
      <c r="E854" s="469"/>
      <c r="F854" s="469"/>
      <c r="G854" s="469"/>
      <c r="H854" s="468"/>
      <c r="I854" s="468"/>
      <c r="J854" s="468"/>
      <c r="K854" s="468"/>
      <c r="L854" s="468"/>
      <c r="M854" s="468"/>
      <c r="N854" s="468"/>
      <c r="O854" s="468"/>
    </row>
    <row r="855" spans="1:15" ht="23.25" customHeight="1" x14ac:dyDescent="0.2">
      <c r="A855" s="468"/>
      <c r="B855" s="469"/>
      <c r="C855" s="469"/>
      <c r="D855" s="469"/>
      <c r="E855" s="469"/>
      <c r="F855" s="469"/>
      <c r="G855" s="469"/>
      <c r="H855" s="468"/>
      <c r="I855" s="468"/>
      <c r="J855" s="468"/>
      <c r="K855" s="468"/>
      <c r="L855" s="468"/>
      <c r="M855" s="468"/>
      <c r="N855" s="468"/>
      <c r="O855" s="468"/>
    </row>
    <row r="856" spans="1:15" ht="23.25" customHeight="1" x14ac:dyDescent="0.2">
      <c r="A856" s="468"/>
      <c r="B856" s="469"/>
      <c r="C856" s="469"/>
      <c r="D856" s="469"/>
      <c r="E856" s="469"/>
      <c r="F856" s="469"/>
      <c r="G856" s="469"/>
      <c r="H856" s="468"/>
      <c r="I856" s="468"/>
      <c r="J856" s="468"/>
      <c r="K856" s="468"/>
      <c r="L856" s="468"/>
      <c r="M856" s="468"/>
      <c r="N856" s="468"/>
      <c r="O856" s="468"/>
    </row>
    <row r="857" spans="1:15" ht="23.25" customHeight="1" x14ac:dyDescent="0.2">
      <c r="A857" s="468"/>
      <c r="B857" s="469"/>
      <c r="C857" s="469"/>
      <c r="D857" s="469"/>
      <c r="E857" s="469"/>
      <c r="F857" s="469"/>
      <c r="G857" s="469"/>
      <c r="H857" s="468"/>
      <c r="I857" s="468"/>
      <c r="J857" s="468"/>
      <c r="K857" s="468"/>
      <c r="L857" s="468"/>
      <c r="M857" s="468"/>
      <c r="N857" s="468"/>
      <c r="O857" s="468"/>
    </row>
    <row r="858" spans="1:15" ht="23.25" customHeight="1" x14ac:dyDescent="0.2">
      <c r="A858" s="468"/>
      <c r="B858" s="469"/>
      <c r="C858" s="469"/>
      <c r="D858" s="469"/>
      <c r="E858" s="469"/>
      <c r="F858" s="469"/>
      <c r="G858" s="469"/>
      <c r="H858" s="468"/>
      <c r="I858" s="468"/>
      <c r="J858" s="468"/>
      <c r="K858" s="468"/>
      <c r="L858" s="468"/>
      <c r="M858" s="468"/>
      <c r="N858" s="468"/>
      <c r="O858" s="468"/>
    </row>
    <row r="859" spans="1:15" ht="23.25" customHeight="1" x14ac:dyDescent="0.2">
      <c r="A859" s="468"/>
      <c r="B859" s="469"/>
      <c r="C859" s="469"/>
      <c r="D859" s="469"/>
      <c r="E859" s="469"/>
      <c r="F859" s="469"/>
      <c r="G859" s="469"/>
      <c r="H859" s="468"/>
      <c r="I859" s="468"/>
      <c r="J859" s="468"/>
      <c r="K859" s="468"/>
      <c r="L859" s="468"/>
      <c r="M859" s="468"/>
      <c r="N859" s="468"/>
      <c r="O859" s="468"/>
    </row>
    <row r="860" spans="1:15" ht="23.25" customHeight="1" x14ac:dyDescent="0.2">
      <c r="A860" s="468"/>
      <c r="B860" s="469"/>
      <c r="C860" s="469"/>
      <c r="D860" s="469"/>
      <c r="E860" s="469"/>
      <c r="F860" s="469"/>
      <c r="G860" s="469"/>
      <c r="H860" s="468"/>
      <c r="I860" s="468"/>
      <c r="J860" s="468"/>
      <c r="K860" s="468"/>
      <c r="L860" s="468"/>
      <c r="M860" s="468"/>
      <c r="N860" s="468"/>
      <c r="O860" s="468"/>
    </row>
    <row r="861" spans="1:15" ht="23.25" customHeight="1" x14ac:dyDescent="0.2">
      <c r="A861" s="468"/>
      <c r="B861" s="469"/>
      <c r="C861" s="469"/>
      <c r="D861" s="469"/>
      <c r="E861" s="469"/>
      <c r="F861" s="469"/>
      <c r="G861" s="469"/>
      <c r="H861" s="468"/>
      <c r="I861" s="468"/>
      <c r="J861" s="468"/>
      <c r="K861" s="468"/>
      <c r="L861" s="468"/>
      <c r="M861" s="468"/>
      <c r="N861" s="468"/>
      <c r="O861" s="468"/>
    </row>
    <row r="862" spans="1:15" ht="23.25" customHeight="1" x14ac:dyDescent="0.2">
      <c r="A862" s="468"/>
      <c r="B862" s="469"/>
      <c r="C862" s="469"/>
      <c r="D862" s="469"/>
      <c r="E862" s="469"/>
      <c r="F862" s="469"/>
      <c r="G862" s="469"/>
      <c r="H862" s="468"/>
      <c r="I862" s="468"/>
      <c r="J862" s="468"/>
      <c r="K862" s="468"/>
      <c r="L862" s="468"/>
      <c r="M862" s="468"/>
      <c r="N862" s="468"/>
      <c r="O862" s="468"/>
    </row>
    <row r="863" spans="1:15" ht="23.25" customHeight="1" x14ac:dyDescent="0.2">
      <c r="A863" s="468"/>
      <c r="B863" s="469"/>
      <c r="C863" s="469"/>
      <c r="D863" s="469"/>
      <c r="E863" s="469"/>
      <c r="F863" s="469"/>
      <c r="G863" s="469"/>
      <c r="H863" s="468"/>
      <c r="I863" s="468"/>
      <c r="J863" s="468"/>
      <c r="K863" s="468"/>
      <c r="L863" s="468"/>
      <c r="M863" s="468"/>
      <c r="N863" s="468"/>
      <c r="O863" s="468"/>
    </row>
    <row r="864" spans="1:15" ht="23.25" customHeight="1" x14ac:dyDescent="0.2">
      <c r="A864" s="468"/>
      <c r="B864" s="469"/>
      <c r="C864" s="469"/>
      <c r="D864" s="469"/>
      <c r="E864" s="469"/>
      <c r="F864" s="469"/>
      <c r="G864" s="469"/>
      <c r="H864" s="468"/>
      <c r="I864" s="468"/>
      <c r="J864" s="468"/>
      <c r="K864" s="468"/>
      <c r="L864" s="468"/>
      <c r="M864" s="468"/>
      <c r="N864" s="468"/>
      <c r="O864" s="468"/>
    </row>
    <row r="865" spans="1:15" ht="23.25" customHeight="1" x14ac:dyDescent="0.2">
      <c r="A865" s="468"/>
      <c r="B865" s="469"/>
      <c r="C865" s="469"/>
      <c r="D865" s="469"/>
      <c r="E865" s="469"/>
      <c r="F865" s="469"/>
      <c r="G865" s="469"/>
      <c r="H865" s="468"/>
      <c r="I865" s="468"/>
      <c r="J865" s="468"/>
      <c r="K865" s="468"/>
      <c r="L865" s="468"/>
      <c r="M865" s="468"/>
      <c r="N865" s="468"/>
      <c r="O865" s="468"/>
    </row>
    <row r="866" spans="1:15" ht="23.25" customHeight="1" x14ac:dyDescent="0.2">
      <c r="A866" s="468"/>
      <c r="B866" s="469"/>
      <c r="C866" s="469"/>
      <c r="D866" s="469"/>
      <c r="E866" s="469"/>
      <c r="F866" s="469"/>
      <c r="G866" s="469"/>
      <c r="H866" s="468"/>
      <c r="I866" s="468"/>
      <c r="J866" s="468"/>
      <c r="K866" s="468"/>
      <c r="L866" s="468"/>
      <c r="M866" s="468"/>
      <c r="N866" s="468"/>
      <c r="O866" s="468"/>
    </row>
    <row r="867" spans="1:15" ht="23.25" customHeight="1" x14ac:dyDescent="0.2">
      <c r="A867" s="468"/>
      <c r="B867" s="469"/>
      <c r="C867" s="469"/>
      <c r="D867" s="469"/>
      <c r="E867" s="469"/>
      <c r="F867" s="469"/>
      <c r="G867" s="469"/>
      <c r="H867" s="468"/>
      <c r="I867" s="468"/>
      <c r="J867" s="468"/>
      <c r="K867" s="468"/>
      <c r="L867" s="468"/>
      <c r="M867" s="468"/>
      <c r="N867" s="468"/>
      <c r="O867" s="468"/>
    </row>
    <row r="868" spans="1:15" ht="23.25" customHeight="1" x14ac:dyDescent="0.2">
      <c r="A868" s="468"/>
      <c r="B868" s="469"/>
      <c r="C868" s="469"/>
      <c r="D868" s="469"/>
      <c r="E868" s="469"/>
      <c r="F868" s="469"/>
      <c r="G868" s="469"/>
      <c r="H868" s="468"/>
      <c r="I868" s="468"/>
      <c r="J868" s="468"/>
      <c r="K868" s="468"/>
      <c r="L868" s="468"/>
      <c r="M868" s="468"/>
      <c r="N868" s="468"/>
      <c r="O868" s="468"/>
    </row>
    <row r="869" spans="1:15" ht="23.25" customHeight="1" x14ac:dyDescent="0.2">
      <c r="A869" s="468"/>
      <c r="B869" s="469"/>
      <c r="C869" s="469"/>
      <c r="D869" s="469"/>
      <c r="E869" s="469"/>
      <c r="F869" s="469"/>
      <c r="G869" s="469"/>
      <c r="H869" s="468"/>
      <c r="I869" s="468"/>
      <c r="J869" s="468"/>
      <c r="K869" s="468"/>
      <c r="L869" s="468"/>
      <c r="M869" s="468"/>
      <c r="N869" s="468"/>
      <c r="O869" s="468"/>
    </row>
    <row r="870" spans="1:15" ht="23.25" customHeight="1" x14ac:dyDescent="0.2">
      <c r="A870" s="468"/>
      <c r="B870" s="469"/>
      <c r="C870" s="469"/>
      <c r="D870" s="469"/>
      <c r="E870" s="469"/>
      <c r="F870" s="469"/>
      <c r="G870" s="469"/>
      <c r="H870" s="468"/>
      <c r="I870" s="468"/>
      <c r="J870" s="468"/>
      <c r="K870" s="468"/>
      <c r="L870" s="468"/>
      <c r="M870" s="468"/>
      <c r="N870" s="468"/>
      <c r="O870" s="468"/>
    </row>
    <row r="871" spans="1:15" ht="23.25" customHeight="1" x14ac:dyDescent="0.2">
      <c r="A871" s="468"/>
      <c r="B871" s="469"/>
      <c r="C871" s="469"/>
      <c r="D871" s="469"/>
      <c r="E871" s="469"/>
      <c r="F871" s="469"/>
      <c r="G871" s="469"/>
      <c r="H871" s="468"/>
      <c r="I871" s="468"/>
      <c r="J871" s="468"/>
      <c r="K871" s="468"/>
      <c r="L871" s="468"/>
      <c r="M871" s="468"/>
      <c r="N871" s="468"/>
      <c r="O871" s="468"/>
    </row>
    <row r="872" spans="1:15" ht="23.25" customHeight="1" x14ac:dyDescent="0.2">
      <c r="A872" s="468"/>
      <c r="B872" s="469"/>
      <c r="C872" s="469"/>
      <c r="D872" s="469"/>
      <c r="E872" s="469"/>
      <c r="F872" s="469"/>
      <c r="G872" s="469"/>
      <c r="H872" s="468"/>
      <c r="I872" s="468"/>
      <c r="J872" s="468"/>
      <c r="K872" s="468"/>
      <c r="L872" s="468"/>
      <c r="M872" s="468"/>
      <c r="N872" s="468"/>
      <c r="O872" s="468"/>
    </row>
    <row r="873" spans="1:15" ht="23.25" customHeight="1" x14ac:dyDescent="0.2">
      <c r="A873" s="468"/>
      <c r="B873" s="469"/>
      <c r="C873" s="469"/>
      <c r="D873" s="469"/>
      <c r="E873" s="469"/>
      <c r="F873" s="469"/>
      <c r="G873" s="469"/>
      <c r="H873" s="468"/>
      <c r="I873" s="468"/>
      <c r="J873" s="468"/>
      <c r="K873" s="468"/>
      <c r="L873" s="468"/>
      <c r="M873" s="468"/>
      <c r="N873" s="468"/>
      <c r="O873" s="468"/>
    </row>
    <row r="874" spans="1:15" ht="23.25" customHeight="1" x14ac:dyDescent="0.2">
      <c r="A874" s="468"/>
      <c r="B874" s="469"/>
      <c r="C874" s="469"/>
      <c r="D874" s="469"/>
      <c r="E874" s="469"/>
      <c r="F874" s="469"/>
      <c r="G874" s="469"/>
      <c r="H874" s="468"/>
      <c r="I874" s="468"/>
      <c r="J874" s="468"/>
      <c r="K874" s="468"/>
      <c r="L874" s="468"/>
      <c r="M874" s="468"/>
      <c r="N874" s="468"/>
      <c r="O874" s="468"/>
    </row>
    <row r="875" spans="1:15" ht="23.25" customHeight="1" x14ac:dyDescent="0.2">
      <c r="A875" s="468"/>
      <c r="B875" s="469"/>
      <c r="C875" s="469"/>
      <c r="D875" s="469"/>
      <c r="E875" s="469"/>
      <c r="F875" s="469"/>
      <c r="G875" s="469"/>
      <c r="H875" s="468"/>
      <c r="I875" s="468"/>
      <c r="J875" s="468"/>
      <c r="K875" s="468"/>
      <c r="L875" s="468"/>
      <c r="M875" s="468"/>
      <c r="N875" s="468"/>
      <c r="O875" s="468"/>
    </row>
    <row r="876" spans="1:15" ht="23.25" customHeight="1" x14ac:dyDescent="0.2">
      <c r="A876" s="468"/>
      <c r="B876" s="469"/>
      <c r="C876" s="469"/>
      <c r="D876" s="469"/>
      <c r="E876" s="469"/>
      <c r="F876" s="469"/>
      <c r="G876" s="469"/>
      <c r="H876" s="468"/>
      <c r="I876" s="468"/>
      <c r="J876" s="468"/>
      <c r="K876" s="468"/>
      <c r="L876" s="468"/>
      <c r="M876" s="468"/>
      <c r="N876" s="468"/>
      <c r="O876" s="468"/>
    </row>
    <row r="877" spans="1:15" ht="23.25" customHeight="1" x14ac:dyDescent="0.2">
      <c r="A877" s="468"/>
      <c r="B877" s="469"/>
      <c r="C877" s="469"/>
      <c r="D877" s="469"/>
      <c r="E877" s="469"/>
      <c r="F877" s="469"/>
      <c r="G877" s="469"/>
      <c r="H877" s="468"/>
      <c r="I877" s="468"/>
      <c r="J877" s="468"/>
      <c r="K877" s="468"/>
      <c r="L877" s="468"/>
      <c r="M877" s="468"/>
      <c r="N877" s="468"/>
      <c r="O877" s="468"/>
    </row>
    <row r="878" spans="1:15" ht="23.25" customHeight="1" x14ac:dyDescent="0.2">
      <c r="A878" s="468"/>
      <c r="B878" s="469"/>
      <c r="C878" s="469"/>
      <c r="D878" s="469"/>
      <c r="E878" s="469"/>
      <c r="F878" s="469"/>
      <c r="G878" s="469"/>
      <c r="H878" s="468"/>
      <c r="I878" s="468"/>
      <c r="J878" s="468"/>
      <c r="K878" s="468"/>
      <c r="L878" s="468"/>
      <c r="M878" s="468"/>
      <c r="N878" s="468"/>
      <c r="O878" s="468"/>
    </row>
    <row r="879" spans="1:15" ht="23.25" customHeight="1" x14ac:dyDescent="0.2">
      <c r="A879" s="468"/>
      <c r="B879" s="469"/>
      <c r="C879" s="469"/>
      <c r="D879" s="469"/>
      <c r="E879" s="469"/>
      <c r="F879" s="469"/>
      <c r="G879" s="469"/>
      <c r="H879" s="468"/>
      <c r="I879" s="468"/>
      <c r="J879" s="468"/>
      <c r="K879" s="468"/>
      <c r="L879" s="468"/>
      <c r="M879" s="468"/>
      <c r="N879" s="468"/>
      <c r="O879" s="468"/>
    </row>
    <row r="880" spans="1:15" ht="23.25" customHeight="1" x14ac:dyDescent="0.2">
      <c r="A880" s="468"/>
      <c r="B880" s="469"/>
      <c r="C880" s="469"/>
      <c r="D880" s="469"/>
      <c r="E880" s="469"/>
      <c r="F880" s="469"/>
      <c r="G880" s="469"/>
      <c r="H880" s="468"/>
      <c r="I880" s="468"/>
      <c r="J880" s="468"/>
      <c r="K880" s="468"/>
      <c r="L880" s="468"/>
      <c r="M880" s="468"/>
      <c r="N880" s="468"/>
      <c r="O880" s="468"/>
    </row>
    <row r="881" spans="1:15" ht="23.25" customHeight="1" x14ac:dyDescent="0.2">
      <c r="A881" s="468"/>
      <c r="B881" s="469"/>
      <c r="C881" s="469"/>
      <c r="D881" s="469"/>
      <c r="E881" s="469"/>
      <c r="F881" s="469"/>
      <c r="G881" s="469"/>
      <c r="H881" s="468"/>
      <c r="I881" s="468"/>
      <c r="J881" s="468"/>
      <c r="K881" s="468"/>
      <c r="L881" s="468"/>
      <c r="M881" s="468"/>
      <c r="N881" s="468"/>
      <c r="O881" s="468"/>
    </row>
    <row r="882" spans="1:15" ht="23.25" customHeight="1" x14ac:dyDescent="0.2">
      <c r="A882" s="468"/>
      <c r="B882" s="469"/>
      <c r="C882" s="469"/>
      <c r="D882" s="469"/>
      <c r="E882" s="469"/>
      <c r="F882" s="469"/>
      <c r="G882" s="469"/>
      <c r="H882" s="468"/>
      <c r="I882" s="468"/>
      <c r="J882" s="468"/>
      <c r="K882" s="468"/>
      <c r="L882" s="468"/>
      <c r="M882" s="468"/>
      <c r="N882" s="468"/>
      <c r="O882" s="468"/>
    </row>
    <row r="883" spans="1:15" ht="23.25" customHeight="1" x14ac:dyDescent="0.2">
      <c r="A883" s="468"/>
      <c r="B883" s="469"/>
      <c r="C883" s="469"/>
      <c r="D883" s="469"/>
      <c r="E883" s="469"/>
      <c r="F883" s="469"/>
      <c r="G883" s="469"/>
      <c r="H883" s="468"/>
      <c r="I883" s="468"/>
      <c r="J883" s="468"/>
      <c r="K883" s="468"/>
      <c r="L883" s="468"/>
      <c r="M883" s="468"/>
      <c r="N883" s="468"/>
      <c r="O883" s="468"/>
    </row>
    <row r="884" spans="1:15" ht="23.25" customHeight="1" x14ac:dyDescent="0.2">
      <c r="A884" s="468"/>
      <c r="B884" s="469"/>
      <c r="C884" s="469"/>
      <c r="D884" s="469"/>
      <c r="E884" s="469"/>
      <c r="F884" s="469"/>
      <c r="G884" s="469"/>
      <c r="H884" s="468"/>
      <c r="I884" s="468"/>
      <c r="J884" s="468"/>
      <c r="K884" s="468"/>
      <c r="L884" s="468"/>
      <c r="M884" s="468"/>
      <c r="N884" s="468"/>
      <c r="O884" s="468"/>
    </row>
    <row r="885" spans="1:15" ht="23.25" customHeight="1" x14ac:dyDescent="0.2">
      <c r="A885" s="468"/>
      <c r="B885" s="469"/>
      <c r="C885" s="469"/>
      <c r="D885" s="469"/>
      <c r="E885" s="469"/>
      <c r="F885" s="469"/>
      <c r="G885" s="469"/>
      <c r="H885" s="468"/>
      <c r="I885" s="468"/>
      <c r="J885" s="468"/>
      <c r="K885" s="468"/>
      <c r="L885" s="468"/>
      <c r="M885" s="468"/>
      <c r="N885" s="468"/>
      <c r="O885" s="468"/>
    </row>
    <row r="886" spans="1:15" ht="23.25" customHeight="1" x14ac:dyDescent="0.2">
      <c r="A886" s="468"/>
      <c r="B886" s="469"/>
      <c r="C886" s="469"/>
      <c r="D886" s="469"/>
      <c r="E886" s="469"/>
      <c r="F886" s="469"/>
      <c r="G886" s="469"/>
      <c r="H886" s="468"/>
      <c r="I886" s="468"/>
      <c r="J886" s="468"/>
      <c r="K886" s="468"/>
      <c r="L886" s="468"/>
      <c r="M886" s="468"/>
      <c r="N886" s="468"/>
      <c r="O886" s="468"/>
    </row>
    <row r="887" spans="1:15" ht="23.25" customHeight="1" x14ac:dyDescent="0.2">
      <c r="A887" s="468"/>
      <c r="B887" s="469"/>
      <c r="C887" s="469"/>
      <c r="D887" s="469"/>
      <c r="E887" s="469"/>
      <c r="F887" s="469"/>
      <c r="G887" s="469"/>
      <c r="H887" s="468"/>
      <c r="I887" s="468"/>
      <c r="J887" s="468"/>
      <c r="K887" s="468"/>
      <c r="L887" s="468"/>
      <c r="M887" s="468"/>
      <c r="N887" s="468"/>
      <c r="O887" s="468"/>
    </row>
    <row r="888" spans="1:15" ht="23.25" customHeight="1" x14ac:dyDescent="0.2">
      <c r="A888" s="468"/>
      <c r="B888" s="469"/>
      <c r="C888" s="469"/>
      <c r="D888" s="469"/>
      <c r="E888" s="469"/>
      <c r="F888" s="469"/>
      <c r="G888" s="469"/>
      <c r="H888" s="468"/>
      <c r="I888" s="468"/>
      <c r="J888" s="468"/>
      <c r="K888" s="468"/>
      <c r="L888" s="468"/>
      <c r="M888" s="468"/>
      <c r="N888" s="468"/>
      <c r="O888" s="468"/>
    </row>
    <row r="889" spans="1:15" ht="23.25" customHeight="1" x14ac:dyDescent="0.2">
      <c r="A889" s="468"/>
      <c r="B889" s="469"/>
      <c r="C889" s="469"/>
      <c r="D889" s="469"/>
      <c r="E889" s="469"/>
      <c r="F889" s="469"/>
      <c r="G889" s="469"/>
      <c r="H889" s="468"/>
      <c r="I889" s="468"/>
      <c r="J889" s="468"/>
      <c r="K889" s="468"/>
      <c r="L889" s="468"/>
      <c r="M889" s="468"/>
      <c r="N889" s="468"/>
      <c r="O889" s="468"/>
    </row>
    <row r="890" spans="1:15" ht="23.25" customHeight="1" x14ac:dyDescent="0.2">
      <c r="A890" s="468"/>
      <c r="B890" s="469"/>
      <c r="C890" s="469"/>
      <c r="D890" s="469"/>
      <c r="E890" s="469"/>
      <c r="F890" s="469"/>
      <c r="G890" s="469"/>
      <c r="H890" s="468"/>
      <c r="I890" s="468"/>
      <c r="J890" s="468"/>
      <c r="K890" s="468"/>
      <c r="L890" s="468"/>
      <c r="M890" s="468"/>
      <c r="N890" s="468"/>
      <c r="O890" s="468"/>
    </row>
    <row r="891" spans="1:15" ht="23.25" customHeight="1" x14ac:dyDescent="0.2">
      <c r="A891" s="468"/>
      <c r="B891" s="469"/>
      <c r="C891" s="469"/>
      <c r="D891" s="469"/>
      <c r="E891" s="469"/>
      <c r="F891" s="469"/>
      <c r="G891" s="469"/>
      <c r="H891" s="468"/>
      <c r="I891" s="468"/>
      <c r="J891" s="468"/>
      <c r="K891" s="468"/>
      <c r="L891" s="468"/>
      <c r="M891" s="468"/>
      <c r="N891" s="468"/>
      <c r="O891" s="468"/>
    </row>
    <row r="892" spans="1:15" ht="23.25" customHeight="1" x14ac:dyDescent="0.2">
      <c r="A892" s="468"/>
      <c r="B892" s="469"/>
      <c r="C892" s="469"/>
      <c r="D892" s="469"/>
      <c r="E892" s="469"/>
      <c r="F892" s="469"/>
      <c r="G892" s="469"/>
      <c r="H892" s="468"/>
      <c r="I892" s="468"/>
      <c r="J892" s="468"/>
      <c r="K892" s="468"/>
      <c r="L892" s="468"/>
      <c r="M892" s="468"/>
      <c r="N892" s="468"/>
      <c r="O892" s="468"/>
    </row>
    <row r="893" spans="1:15" ht="23.25" customHeight="1" x14ac:dyDescent="0.2">
      <c r="A893" s="468"/>
      <c r="B893" s="469"/>
      <c r="C893" s="469"/>
      <c r="D893" s="469"/>
      <c r="E893" s="469"/>
      <c r="F893" s="469"/>
      <c r="G893" s="469"/>
      <c r="H893" s="468"/>
      <c r="I893" s="468"/>
      <c r="J893" s="468"/>
      <c r="K893" s="468"/>
      <c r="L893" s="468"/>
      <c r="M893" s="468"/>
      <c r="N893" s="468"/>
      <c r="O893" s="468"/>
    </row>
    <row r="894" spans="1:15" ht="23.25" customHeight="1" x14ac:dyDescent="0.2">
      <c r="A894" s="468"/>
      <c r="B894" s="469"/>
      <c r="C894" s="469"/>
      <c r="D894" s="469"/>
      <c r="E894" s="469"/>
      <c r="F894" s="469"/>
      <c r="G894" s="469"/>
      <c r="H894" s="468"/>
      <c r="I894" s="468"/>
      <c r="J894" s="468"/>
      <c r="K894" s="468"/>
      <c r="L894" s="468"/>
      <c r="M894" s="468"/>
      <c r="N894" s="468"/>
      <c r="O894" s="468"/>
    </row>
    <row r="895" spans="1:15" ht="23.25" customHeight="1" x14ac:dyDescent="0.2">
      <c r="A895" s="468"/>
      <c r="B895" s="469"/>
      <c r="C895" s="469"/>
      <c r="D895" s="469"/>
      <c r="E895" s="469"/>
      <c r="F895" s="469"/>
      <c r="G895" s="469"/>
      <c r="H895" s="468"/>
      <c r="I895" s="468"/>
      <c r="J895" s="468"/>
      <c r="K895" s="468"/>
      <c r="L895" s="468"/>
      <c r="M895" s="468"/>
      <c r="N895" s="468"/>
      <c r="O895" s="468"/>
    </row>
    <row r="896" spans="1:15" ht="23.25" customHeight="1" x14ac:dyDescent="0.2">
      <c r="A896" s="468"/>
      <c r="B896" s="469"/>
      <c r="C896" s="469"/>
      <c r="D896" s="469"/>
      <c r="E896" s="469"/>
      <c r="F896" s="469"/>
      <c r="G896" s="469"/>
      <c r="H896" s="468"/>
      <c r="I896" s="468"/>
      <c r="J896" s="468"/>
      <c r="K896" s="468"/>
      <c r="L896" s="468"/>
      <c r="M896" s="468"/>
      <c r="N896" s="468"/>
      <c r="O896" s="468"/>
    </row>
    <row r="897" spans="1:15" ht="23.25" customHeight="1" x14ac:dyDescent="0.2">
      <c r="A897" s="468"/>
      <c r="B897" s="469"/>
      <c r="C897" s="469"/>
      <c r="D897" s="469"/>
      <c r="E897" s="469"/>
      <c r="F897" s="469"/>
      <c r="G897" s="469"/>
      <c r="H897" s="468"/>
      <c r="I897" s="468"/>
      <c r="J897" s="468"/>
      <c r="K897" s="468"/>
      <c r="L897" s="468"/>
      <c r="M897" s="468"/>
      <c r="N897" s="468"/>
      <c r="O897" s="468"/>
    </row>
    <row r="898" spans="1:15" ht="23.25" customHeight="1" x14ac:dyDescent="0.2">
      <c r="A898" s="468"/>
      <c r="B898" s="469"/>
      <c r="C898" s="469"/>
      <c r="D898" s="469"/>
      <c r="E898" s="469"/>
      <c r="F898" s="469"/>
      <c r="G898" s="469"/>
      <c r="H898" s="468"/>
      <c r="I898" s="468"/>
      <c r="J898" s="468"/>
      <c r="K898" s="468"/>
      <c r="L898" s="468"/>
      <c r="M898" s="468"/>
      <c r="N898" s="468"/>
      <c r="O898" s="468"/>
    </row>
    <row r="899" spans="1:15" ht="23.25" customHeight="1" x14ac:dyDescent="0.2">
      <c r="A899" s="468"/>
      <c r="B899" s="469"/>
      <c r="C899" s="469"/>
      <c r="D899" s="469"/>
      <c r="E899" s="469"/>
      <c r="F899" s="469"/>
      <c r="G899" s="469"/>
      <c r="H899" s="468"/>
      <c r="I899" s="468"/>
      <c r="J899" s="468"/>
      <c r="K899" s="468"/>
      <c r="L899" s="468"/>
      <c r="M899" s="468"/>
      <c r="N899" s="468"/>
      <c r="O899" s="468"/>
    </row>
    <row r="900" spans="1:15" ht="23.25" customHeight="1" x14ac:dyDescent="0.2">
      <c r="A900" s="468"/>
      <c r="B900" s="469"/>
      <c r="C900" s="469"/>
      <c r="D900" s="469"/>
      <c r="E900" s="469"/>
      <c r="F900" s="469"/>
      <c r="G900" s="469"/>
      <c r="H900" s="468"/>
      <c r="I900" s="468"/>
      <c r="J900" s="468"/>
      <c r="K900" s="468"/>
      <c r="L900" s="468"/>
      <c r="M900" s="468"/>
      <c r="N900" s="468"/>
      <c r="O900" s="468"/>
    </row>
    <row r="901" spans="1:15" ht="23.25" customHeight="1" x14ac:dyDescent="0.2">
      <c r="A901" s="468"/>
      <c r="B901" s="469"/>
      <c r="C901" s="469"/>
      <c r="D901" s="469"/>
      <c r="E901" s="469"/>
      <c r="F901" s="469"/>
      <c r="G901" s="469"/>
      <c r="H901" s="468"/>
      <c r="I901" s="468"/>
      <c r="J901" s="468"/>
      <c r="K901" s="468"/>
      <c r="L901" s="468"/>
      <c r="M901" s="468"/>
      <c r="N901" s="468"/>
      <c r="O901" s="468"/>
    </row>
    <row r="902" spans="1:15" ht="23.25" customHeight="1" x14ac:dyDescent="0.2">
      <c r="A902" s="468"/>
      <c r="B902" s="469"/>
      <c r="C902" s="469"/>
      <c r="D902" s="469"/>
      <c r="E902" s="469"/>
      <c r="F902" s="469"/>
      <c r="G902" s="469"/>
      <c r="H902" s="468"/>
      <c r="I902" s="468"/>
      <c r="J902" s="468"/>
      <c r="K902" s="468"/>
      <c r="L902" s="468"/>
      <c r="M902" s="468"/>
      <c r="N902" s="468"/>
      <c r="O902" s="468"/>
    </row>
    <row r="903" spans="1:15" ht="23.25" customHeight="1" x14ac:dyDescent="0.2">
      <c r="A903" s="468"/>
      <c r="B903" s="469"/>
      <c r="C903" s="469"/>
      <c r="D903" s="469"/>
      <c r="E903" s="469"/>
      <c r="F903" s="469"/>
      <c r="G903" s="469"/>
      <c r="H903" s="468"/>
      <c r="I903" s="468"/>
      <c r="J903" s="468"/>
      <c r="K903" s="468"/>
      <c r="L903" s="468"/>
      <c r="M903" s="468"/>
      <c r="N903" s="468"/>
      <c r="O903" s="468"/>
    </row>
    <row r="904" spans="1:15" ht="23.25" customHeight="1" x14ac:dyDescent="0.2">
      <c r="A904" s="468"/>
      <c r="B904" s="469"/>
      <c r="C904" s="469"/>
      <c r="D904" s="469"/>
      <c r="E904" s="469"/>
      <c r="F904" s="469"/>
      <c r="G904" s="469"/>
      <c r="H904" s="468"/>
      <c r="I904" s="468"/>
      <c r="J904" s="468"/>
      <c r="K904" s="468"/>
      <c r="L904" s="468"/>
      <c r="M904" s="468"/>
      <c r="N904" s="468"/>
      <c r="O904" s="468"/>
    </row>
    <row r="905" spans="1:15" ht="23.25" customHeight="1" x14ac:dyDescent="0.2">
      <c r="A905" s="468"/>
      <c r="B905" s="469"/>
      <c r="C905" s="469"/>
      <c r="D905" s="469"/>
      <c r="E905" s="469"/>
      <c r="F905" s="469"/>
      <c r="G905" s="469"/>
      <c r="H905" s="468"/>
      <c r="I905" s="468"/>
      <c r="J905" s="468"/>
      <c r="K905" s="468"/>
      <c r="L905" s="468"/>
      <c r="M905" s="468"/>
      <c r="N905" s="468"/>
      <c r="O905" s="468"/>
    </row>
    <row r="906" spans="1:15" ht="23.25" customHeight="1" x14ac:dyDescent="0.2">
      <c r="A906" s="468"/>
      <c r="B906" s="469"/>
      <c r="C906" s="469"/>
      <c r="D906" s="469"/>
      <c r="E906" s="469"/>
      <c r="F906" s="469"/>
      <c r="G906" s="469"/>
      <c r="H906" s="468"/>
      <c r="I906" s="468"/>
      <c r="J906" s="468"/>
      <c r="K906" s="468"/>
      <c r="L906" s="468"/>
      <c r="M906" s="468"/>
      <c r="N906" s="468"/>
      <c r="O906" s="468"/>
    </row>
    <row r="907" spans="1:15" ht="23.25" customHeight="1" x14ac:dyDescent="0.2">
      <c r="A907" s="468"/>
      <c r="B907" s="469"/>
      <c r="C907" s="469"/>
      <c r="D907" s="469"/>
      <c r="E907" s="469"/>
      <c r="F907" s="469"/>
      <c r="G907" s="469"/>
      <c r="H907" s="468"/>
      <c r="I907" s="468"/>
      <c r="J907" s="468"/>
      <c r="K907" s="468"/>
      <c r="L907" s="468"/>
      <c r="M907" s="468"/>
      <c r="N907" s="468"/>
      <c r="O907" s="468"/>
    </row>
    <row r="908" spans="1:15" ht="23.25" customHeight="1" x14ac:dyDescent="0.2">
      <c r="A908" s="468"/>
      <c r="B908" s="469"/>
      <c r="C908" s="469"/>
      <c r="D908" s="469"/>
      <c r="E908" s="469"/>
      <c r="F908" s="469"/>
      <c r="G908" s="469"/>
      <c r="H908" s="468"/>
      <c r="I908" s="468"/>
      <c r="J908" s="468"/>
      <c r="K908" s="468"/>
      <c r="L908" s="468"/>
      <c r="M908" s="468"/>
      <c r="N908" s="468"/>
      <c r="O908" s="468"/>
    </row>
    <row r="909" spans="1:15" ht="23.25" customHeight="1" x14ac:dyDescent="0.2">
      <c r="A909" s="468"/>
      <c r="B909" s="469"/>
      <c r="C909" s="469"/>
      <c r="D909" s="469"/>
      <c r="E909" s="469"/>
      <c r="F909" s="469"/>
      <c r="G909" s="469"/>
      <c r="H909" s="468"/>
      <c r="I909" s="468"/>
      <c r="J909" s="468"/>
      <c r="K909" s="468"/>
      <c r="L909" s="468"/>
      <c r="M909" s="468"/>
      <c r="N909" s="468"/>
      <c r="O909" s="468"/>
    </row>
    <row r="910" spans="1:15" ht="23.25" customHeight="1" x14ac:dyDescent="0.2">
      <c r="A910" s="468"/>
      <c r="B910" s="469"/>
      <c r="C910" s="469"/>
      <c r="D910" s="469"/>
      <c r="E910" s="469"/>
      <c r="F910" s="469"/>
      <c r="G910" s="469"/>
      <c r="H910" s="468"/>
      <c r="I910" s="468"/>
      <c r="J910" s="468"/>
      <c r="K910" s="468"/>
      <c r="L910" s="468"/>
      <c r="M910" s="468"/>
      <c r="N910" s="468"/>
      <c r="O910" s="468"/>
    </row>
    <row r="911" spans="1:15" ht="23.25" customHeight="1" x14ac:dyDescent="0.2">
      <c r="A911" s="468"/>
      <c r="B911" s="469"/>
      <c r="C911" s="469"/>
      <c r="D911" s="469"/>
      <c r="E911" s="469"/>
      <c r="F911" s="469"/>
      <c r="G911" s="469"/>
      <c r="H911" s="468"/>
      <c r="I911" s="468"/>
      <c r="J911" s="468"/>
      <c r="K911" s="468"/>
      <c r="L911" s="468"/>
      <c r="M911" s="468"/>
      <c r="N911" s="468"/>
      <c r="O911" s="468"/>
    </row>
    <row r="912" spans="1:15" ht="23.25" customHeight="1" x14ac:dyDescent="0.2">
      <c r="A912" s="468"/>
      <c r="B912" s="469"/>
      <c r="C912" s="469"/>
      <c r="D912" s="469"/>
      <c r="E912" s="469"/>
      <c r="F912" s="469"/>
      <c r="G912" s="469"/>
      <c r="H912" s="468"/>
      <c r="I912" s="468"/>
      <c r="J912" s="468"/>
      <c r="K912" s="468"/>
      <c r="L912" s="468"/>
      <c r="M912" s="468"/>
      <c r="N912" s="468"/>
      <c r="O912" s="468"/>
    </row>
    <row r="913" spans="1:15" ht="23.25" customHeight="1" x14ac:dyDescent="0.2">
      <c r="A913" s="468"/>
      <c r="B913" s="469"/>
      <c r="C913" s="469"/>
      <c r="D913" s="469"/>
      <c r="E913" s="469"/>
      <c r="F913" s="469"/>
      <c r="G913" s="469"/>
      <c r="H913" s="468"/>
      <c r="I913" s="468"/>
      <c r="J913" s="468"/>
      <c r="K913" s="468"/>
      <c r="L913" s="468"/>
      <c r="M913" s="468"/>
      <c r="N913" s="468"/>
      <c r="O913" s="468"/>
    </row>
    <row r="914" spans="1:15" ht="23.25" customHeight="1" x14ac:dyDescent="0.2">
      <c r="A914" s="468"/>
      <c r="B914" s="469"/>
      <c r="C914" s="469"/>
      <c r="D914" s="469"/>
      <c r="E914" s="469"/>
      <c r="F914" s="469"/>
      <c r="G914" s="469"/>
      <c r="H914" s="468"/>
      <c r="I914" s="468"/>
      <c r="J914" s="468"/>
      <c r="K914" s="468"/>
      <c r="L914" s="468"/>
      <c r="M914" s="468"/>
      <c r="N914" s="468"/>
      <c r="O914" s="468"/>
    </row>
    <row r="915" spans="1:15" ht="23.25" customHeight="1" x14ac:dyDescent="0.2">
      <c r="A915" s="468"/>
      <c r="B915" s="469"/>
      <c r="C915" s="469"/>
      <c r="D915" s="469"/>
      <c r="E915" s="469"/>
      <c r="F915" s="469"/>
      <c r="G915" s="469"/>
      <c r="H915" s="468"/>
      <c r="I915" s="468"/>
      <c r="J915" s="468"/>
      <c r="K915" s="468"/>
      <c r="L915" s="468"/>
      <c r="M915" s="468"/>
      <c r="N915" s="468"/>
      <c r="O915" s="468"/>
    </row>
    <row r="916" spans="1:15" ht="23.25" customHeight="1" x14ac:dyDescent="0.2">
      <c r="A916" s="468"/>
      <c r="B916" s="469"/>
      <c r="C916" s="469"/>
      <c r="D916" s="469"/>
      <c r="E916" s="469"/>
      <c r="F916" s="469"/>
      <c r="G916" s="469"/>
      <c r="H916" s="468"/>
      <c r="I916" s="468"/>
      <c r="J916" s="468"/>
      <c r="K916" s="468"/>
      <c r="L916" s="468"/>
      <c r="M916" s="468"/>
      <c r="N916" s="468"/>
      <c r="O916" s="468"/>
    </row>
    <row r="917" spans="1:15" ht="23.25" customHeight="1" x14ac:dyDescent="0.2">
      <c r="A917" s="468"/>
      <c r="B917" s="469"/>
      <c r="C917" s="469"/>
      <c r="D917" s="469"/>
      <c r="E917" s="469"/>
      <c r="F917" s="469"/>
      <c r="G917" s="469"/>
      <c r="H917" s="468"/>
      <c r="I917" s="468"/>
      <c r="J917" s="468"/>
      <c r="K917" s="468"/>
      <c r="L917" s="468"/>
      <c r="M917" s="468"/>
      <c r="N917" s="468"/>
      <c r="O917" s="468"/>
    </row>
    <row r="918" spans="1:15" ht="23.25" customHeight="1" x14ac:dyDescent="0.2">
      <c r="A918" s="468"/>
      <c r="B918" s="469"/>
      <c r="C918" s="469"/>
      <c r="D918" s="469"/>
      <c r="E918" s="469"/>
      <c r="F918" s="469"/>
      <c r="G918" s="469"/>
      <c r="H918" s="468"/>
      <c r="I918" s="468"/>
      <c r="J918" s="468"/>
      <c r="K918" s="468"/>
      <c r="L918" s="468"/>
      <c r="M918" s="468"/>
      <c r="N918" s="468"/>
      <c r="O918" s="468"/>
    </row>
    <row r="919" spans="1:15" ht="23.25" customHeight="1" x14ac:dyDescent="0.2">
      <c r="A919" s="468"/>
      <c r="B919" s="469"/>
      <c r="C919" s="469"/>
      <c r="D919" s="469"/>
      <c r="E919" s="469"/>
      <c r="F919" s="469"/>
      <c r="G919" s="469"/>
      <c r="H919" s="468"/>
      <c r="I919" s="468"/>
      <c r="J919" s="468"/>
      <c r="K919" s="468"/>
      <c r="L919" s="468"/>
      <c r="M919" s="468"/>
      <c r="N919" s="468"/>
      <c r="O919" s="468"/>
    </row>
    <row r="920" spans="1:15" ht="23.25" customHeight="1" x14ac:dyDescent="0.2">
      <c r="A920" s="468"/>
      <c r="B920" s="469"/>
      <c r="C920" s="469"/>
      <c r="D920" s="469"/>
      <c r="E920" s="469"/>
      <c r="F920" s="469"/>
      <c r="G920" s="469"/>
      <c r="H920" s="468"/>
      <c r="I920" s="468"/>
      <c r="J920" s="468"/>
      <c r="K920" s="468"/>
      <c r="L920" s="468"/>
      <c r="M920" s="468"/>
      <c r="N920" s="468"/>
      <c r="O920" s="468"/>
    </row>
    <row r="921" spans="1:15" ht="23.25" customHeight="1" x14ac:dyDescent="0.2">
      <c r="A921" s="468"/>
      <c r="B921" s="469"/>
      <c r="C921" s="469"/>
      <c r="D921" s="469"/>
      <c r="E921" s="469"/>
      <c r="F921" s="469"/>
      <c r="G921" s="469"/>
      <c r="H921" s="468"/>
      <c r="I921" s="468"/>
      <c r="J921" s="468"/>
      <c r="K921" s="468"/>
      <c r="L921" s="468"/>
      <c r="M921" s="468"/>
      <c r="N921" s="468"/>
      <c r="O921" s="468"/>
    </row>
    <row r="922" spans="1:15" ht="23.25" customHeight="1" x14ac:dyDescent="0.2">
      <c r="A922" s="468"/>
      <c r="B922" s="469"/>
      <c r="C922" s="469"/>
      <c r="D922" s="469"/>
      <c r="E922" s="469"/>
      <c r="F922" s="469"/>
      <c r="G922" s="469"/>
      <c r="H922" s="468"/>
      <c r="I922" s="468"/>
      <c r="J922" s="468"/>
      <c r="K922" s="468"/>
      <c r="L922" s="468"/>
      <c r="M922" s="468"/>
      <c r="N922" s="468"/>
      <c r="O922" s="468"/>
    </row>
    <row r="923" spans="1:15" ht="23.25" customHeight="1" x14ac:dyDescent="0.2">
      <c r="A923" s="468"/>
      <c r="B923" s="469"/>
      <c r="C923" s="469"/>
      <c r="D923" s="469"/>
      <c r="E923" s="469"/>
      <c r="F923" s="469"/>
      <c r="G923" s="469"/>
      <c r="H923" s="468"/>
      <c r="I923" s="468"/>
      <c r="J923" s="468"/>
      <c r="K923" s="468"/>
      <c r="L923" s="468"/>
      <c r="M923" s="468"/>
      <c r="N923" s="468"/>
      <c r="O923" s="468"/>
    </row>
    <row r="924" spans="1:15" ht="23.25" customHeight="1" x14ac:dyDescent="0.2">
      <c r="A924" s="468"/>
      <c r="B924" s="469"/>
      <c r="C924" s="469"/>
      <c r="D924" s="469"/>
      <c r="E924" s="469"/>
      <c r="F924" s="469"/>
      <c r="G924" s="469"/>
      <c r="H924" s="468"/>
      <c r="I924" s="468"/>
      <c r="J924" s="468"/>
      <c r="K924" s="468"/>
      <c r="L924" s="468"/>
      <c r="M924" s="468"/>
      <c r="N924" s="468"/>
      <c r="O924" s="468"/>
    </row>
    <row r="925" spans="1:15" ht="23.25" customHeight="1" x14ac:dyDescent="0.2">
      <c r="A925" s="468"/>
      <c r="B925" s="469"/>
      <c r="C925" s="469"/>
      <c r="D925" s="469"/>
      <c r="E925" s="469"/>
      <c r="F925" s="469"/>
      <c r="G925" s="469"/>
      <c r="H925" s="468"/>
      <c r="I925" s="468"/>
      <c r="J925" s="468"/>
      <c r="K925" s="468"/>
      <c r="L925" s="468"/>
      <c r="M925" s="468"/>
      <c r="N925" s="468"/>
      <c r="O925" s="468"/>
    </row>
    <row r="926" spans="1:15" ht="23.25" customHeight="1" x14ac:dyDescent="0.2">
      <c r="A926" s="468"/>
      <c r="B926" s="469"/>
      <c r="C926" s="469"/>
      <c r="D926" s="469"/>
      <c r="E926" s="469"/>
      <c r="F926" s="469"/>
      <c r="G926" s="469"/>
      <c r="H926" s="468"/>
      <c r="I926" s="468"/>
      <c r="J926" s="468"/>
      <c r="K926" s="468"/>
      <c r="L926" s="468"/>
      <c r="M926" s="468"/>
      <c r="N926" s="468"/>
      <c r="O926" s="468"/>
    </row>
    <row r="927" spans="1:15" ht="23.25" customHeight="1" x14ac:dyDescent="0.2">
      <c r="A927" s="468"/>
      <c r="B927" s="469"/>
      <c r="C927" s="469"/>
      <c r="D927" s="469"/>
      <c r="E927" s="469"/>
      <c r="F927" s="469"/>
      <c r="G927" s="469"/>
      <c r="H927" s="468"/>
      <c r="I927" s="468"/>
      <c r="J927" s="468"/>
      <c r="K927" s="468"/>
      <c r="L927" s="468"/>
      <c r="M927" s="468"/>
      <c r="N927" s="468"/>
      <c r="O927" s="468"/>
    </row>
    <row r="928" spans="1:15" ht="23.25" customHeight="1" x14ac:dyDescent="0.2">
      <c r="A928" s="468"/>
      <c r="B928" s="469"/>
      <c r="C928" s="469"/>
      <c r="D928" s="469"/>
      <c r="E928" s="469"/>
      <c r="F928" s="469"/>
      <c r="G928" s="469"/>
      <c r="H928" s="468"/>
      <c r="I928" s="468"/>
      <c r="J928" s="468"/>
      <c r="K928" s="468"/>
      <c r="L928" s="468"/>
      <c r="M928" s="468"/>
      <c r="N928" s="468"/>
      <c r="O928" s="468"/>
    </row>
    <row r="929" spans="1:15" ht="23.25" customHeight="1" x14ac:dyDescent="0.2">
      <c r="A929" s="468"/>
      <c r="B929" s="469"/>
      <c r="C929" s="469"/>
      <c r="D929" s="469"/>
      <c r="E929" s="469"/>
      <c r="F929" s="469"/>
      <c r="G929" s="469"/>
      <c r="H929" s="468"/>
      <c r="I929" s="468"/>
      <c r="J929" s="468"/>
      <c r="K929" s="468"/>
      <c r="L929" s="468"/>
      <c r="M929" s="468"/>
      <c r="N929" s="468"/>
      <c r="O929" s="468"/>
    </row>
    <row r="930" spans="1:15" ht="23.25" customHeight="1" x14ac:dyDescent="0.2">
      <c r="A930" s="468"/>
      <c r="B930" s="469"/>
      <c r="C930" s="469"/>
      <c r="D930" s="469"/>
      <c r="E930" s="469"/>
      <c r="F930" s="469"/>
      <c r="G930" s="469"/>
      <c r="H930" s="468"/>
      <c r="I930" s="468"/>
      <c r="J930" s="468"/>
      <c r="K930" s="468"/>
      <c r="L930" s="468"/>
      <c r="M930" s="468"/>
      <c r="N930" s="468"/>
      <c r="O930" s="468"/>
    </row>
    <row r="931" spans="1:15" ht="23.25" customHeight="1" x14ac:dyDescent="0.2">
      <c r="A931" s="468"/>
      <c r="B931" s="469"/>
      <c r="C931" s="469"/>
      <c r="D931" s="469"/>
      <c r="E931" s="469"/>
      <c r="F931" s="469"/>
      <c r="G931" s="469"/>
      <c r="H931" s="468"/>
      <c r="I931" s="468"/>
      <c r="J931" s="468"/>
      <c r="K931" s="468"/>
      <c r="L931" s="468"/>
      <c r="M931" s="468"/>
      <c r="N931" s="468"/>
      <c r="O931" s="468"/>
    </row>
    <row r="932" spans="1:15" ht="23.25" customHeight="1" x14ac:dyDescent="0.2">
      <c r="A932" s="468"/>
      <c r="B932" s="469"/>
      <c r="C932" s="469"/>
      <c r="D932" s="469"/>
      <c r="E932" s="469"/>
      <c r="F932" s="469"/>
      <c r="G932" s="469"/>
      <c r="H932" s="468"/>
      <c r="I932" s="468"/>
      <c r="J932" s="468"/>
      <c r="K932" s="468"/>
      <c r="L932" s="468"/>
      <c r="M932" s="468"/>
      <c r="N932" s="468"/>
      <c r="O932" s="468"/>
    </row>
    <row r="933" spans="1:15" ht="23.25" customHeight="1" x14ac:dyDescent="0.2">
      <c r="A933" s="468"/>
      <c r="B933" s="469"/>
      <c r="C933" s="469"/>
      <c r="D933" s="469"/>
      <c r="E933" s="469"/>
      <c r="F933" s="469"/>
      <c r="G933" s="469"/>
      <c r="H933" s="468"/>
      <c r="I933" s="468"/>
      <c r="J933" s="468"/>
      <c r="K933" s="468"/>
      <c r="L933" s="468"/>
      <c r="M933" s="468"/>
      <c r="N933" s="468"/>
      <c r="O933" s="468"/>
    </row>
    <row r="934" spans="1:15" ht="23.25" customHeight="1" x14ac:dyDescent="0.2">
      <c r="A934" s="468"/>
      <c r="B934" s="469"/>
      <c r="C934" s="469"/>
      <c r="D934" s="469"/>
      <c r="E934" s="469"/>
      <c r="F934" s="469"/>
      <c r="G934" s="469"/>
      <c r="H934" s="468"/>
      <c r="I934" s="468"/>
      <c r="J934" s="468"/>
      <c r="K934" s="468"/>
      <c r="L934" s="468"/>
      <c r="M934" s="468"/>
      <c r="N934" s="468"/>
      <c r="O934" s="468"/>
    </row>
    <row r="935" spans="1:15" ht="23.25" customHeight="1" x14ac:dyDescent="0.2">
      <c r="A935" s="468"/>
      <c r="B935" s="469"/>
      <c r="C935" s="469"/>
      <c r="D935" s="469"/>
      <c r="E935" s="469"/>
      <c r="F935" s="469"/>
      <c r="G935" s="469"/>
      <c r="H935" s="468"/>
      <c r="I935" s="468"/>
      <c r="J935" s="468"/>
      <c r="K935" s="468"/>
      <c r="L935" s="468"/>
      <c r="M935" s="468"/>
      <c r="N935" s="468"/>
      <c r="O935" s="468"/>
    </row>
    <row r="936" spans="1:15" ht="23.25" customHeight="1" x14ac:dyDescent="0.2">
      <c r="A936" s="468"/>
      <c r="B936" s="469"/>
      <c r="C936" s="469"/>
      <c r="D936" s="469"/>
      <c r="E936" s="469"/>
      <c r="F936" s="469"/>
      <c r="G936" s="469"/>
      <c r="H936" s="468"/>
      <c r="I936" s="468"/>
      <c r="J936" s="468"/>
      <c r="K936" s="468"/>
      <c r="L936" s="468"/>
      <c r="M936" s="468"/>
      <c r="N936" s="468"/>
      <c r="O936" s="468"/>
    </row>
    <row r="937" spans="1:15" ht="23.25" customHeight="1" x14ac:dyDescent="0.2">
      <c r="A937" s="468"/>
      <c r="B937" s="469"/>
      <c r="C937" s="469"/>
      <c r="D937" s="469"/>
      <c r="E937" s="469"/>
      <c r="F937" s="469"/>
      <c r="G937" s="469"/>
      <c r="H937" s="468"/>
      <c r="I937" s="468"/>
      <c r="J937" s="468"/>
      <c r="K937" s="468"/>
      <c r="L937" s="468"/>
      <c r="M937" s="468"/>
      <c r="N937" s="468"/>
      <c r="O937" s="468"/>
    </row>
    <row r="938" spans="1:15" ht="23.25" customHeight="1" x14ac:dyDescent="0.2">
      <c r="A938" s="468"/>
      <c r="B938" s="469"/>
      <c r="C938" s="469"/>
      <c r="D938" s="469"/>
      <c r="E938" s="469"/>
      <c r="F938" s="469"/>
      <c r="G938" s="469"/>
      <c r="H938" s="468"/>
      <c r="I938" s="468"/>
      <c r="J938" s="468"/>
      <c r="K938" s="468"/>
      <c r="L938" s="468"/>
      <c r="M938" s="468"/>
      <c r="N938" s="468"/>
      <c r="O938" s="468"/>
    </row>
    <row r="939" spans="1:15" ht="23.25" customHeight="1" x14ac:dyDescent="0.2">
      <c r="A939" s="468"/>
      <c r="B939" s="469"/>
      <c r="C939" s="469"/>
      <c r="D939" s="469"/>
      <c r="E939" s="469"/>
      <c r="F939" s="469"/>
      <c r="G939" s="469"/>
      <c r="H939" s="468"/>
      <c r="I939" s="468"/>
      <c r="J939" s="468"/>
      <c r="K939" s="468"/>
      <c r="L939" s="468"/>
      <c r="M939" s="468"/>
      <c r="N939" s="468"/>
      <c r="O939" s="468"/>
    </row>
    <row r="940" spans="1:15" ht="23.25" customHeight="1" x14ac:dyDescent="0.2">
      <c r="A940" s="468"/>
      <c r="B940" s="469"/>
      <c r="C940" s="469"/>
      <c r="D940" s="469"/>
      <c r="E940" s="469"/>
      <c r="F940" s="469"/>
      <c r="G940" s="469"/>
      <c r="H940" s="468"/>
      <c r="I940" s="468"/>
      <c r="J940" s="468"/>
      <c r="K940" s="468"/>
      <c r="L940" s="468"/>
      <c r="M940" s="468"/>
      <c r="N940" s="468"/>
      <c r="O940" s="468"/>
    </row>
    <row r="941" spans="1:15" ht="23.25" customHeight="1" x14ac:dyDescent="0.2">
      <c r="A941" s="468"/>
      <c r="B941" s="469"/>
      <c r="C941" s="469"/>
      <c r="D941" s="469"/>
      <c r="E941" s="469"/>
      <c r="F941" s="469"/>
      <c r="G941" s="469"/>
      <c r="H941" s="468"/>
      <c r="I941" s="468"/>
      <c r="J941" s="468"/>
      <c r="K941" s="468"/>
      <c r="L941" s="468"/>
      <c r="M941" s="468"/>
      <c r="N941" s="468"/>
      <c r="O941" s="468"/>
    </row>
    <row r="942" spans="1:15" ht="23.25" customHeight="1" x14ac:dyDescent="0.2">
      <c r="A942" s="468"/>
      <c r="B942" s="469"/>
      <c r="C942" s="469"/>
      <c r="D942" s="469"/>
      <c r="E942" s="469"/>
      <c r="F942" s="469"/>
      <c r="G942" s="469"/>
      <c r="H942" s="468"/>
      <c r="I942" s="468"/>
      <c r="J942" s="468"/>
      <c r="K942" s="468"/>
      <c r="L942" s="468"/>
      <c r="M942" s="468"/>
      <c r="N942" s="468"/>
      <c r="O942" s="468"/>
    </row>
    <row r="943" spans="1:15" ht="23.25" customHeight="1" x14ac:dyDescent="0.2">
      <c r="A943" s="468"/>
      <c r="B943" s="469"/>
      <c r="C943" s="469"/>
      <c r="D943" s="469"/>
      <c r="E943" s="469"/>
      <c r="F943" s="469"/>
      <c r="G943" s="469"/>
      <c r="H943" s="468"/>
      <c r="I943" s="468"/>
      <c r="J943" s="468"/>
      <c r="K943" s="468"/>
      <c r="L943" s="468"/>
      <c r="M943" s="468"/>
      <c r="N943" s="468"/>
      <c r="O943" s="468"/>
    </row>
    <row r="944" spans="1:15" ht="23.25" customHeight="1" x14ac:dyDescent="0.2">
      <c r="A944" s="468"/>
      <c r="B944" s="469"/>
      <c r="C944" s="469"/>
      <c r="D944" s="469"/>
      <c r="E944" s="469"/>
      <c r="F944" s="469"/>
      <c r="G944" s="469"/>
      <c r="H944" s="468"/>
      <c r="I944" s="468"/>
      <c r="J944" s="468"/>
      <c r="K944" s="468"/>
      <c r="L944" s="468"/>
      <c r="M944" s="468"/>
      <c r="N944" s="468"/>
      <c r="O944" s="468"/>
    </row>
    <row r="945" spans="1:15" ht="23.25" customHeight="1" x14ac:dyDescent="0.2">
      <c r="A945" s="468"/>
      <c r="B945" s="469"/>
      <c r="C945" s="469"/>
      <c r="D945" s="469"/>
      <c r="E945" s="469"/>
      <c r="F945" s="469"/>
      <c r="G945" s="469"/>
      <c r="H945" s="468"/>
      <c r="I945" s="468"/>
      <c r="J945" s="468"/>
      <c r="K945" s="468"/>
      <c r="L945" s="468"/>
      <c r="M945" s="468"/>
      <c r="N945" s="468"/>
      <c r="O945" s="468"/>
    </row>
    <row r="946" spans="1:15" ht="23.25" customHeight="1" x14ac:dyDescent="0.2">
      <c r="A946" s="468"/>
      <c r="B946" s="469"/>
      <c r="C946" s="469"/>
      <c r="D946" s="469"/>
      <c r="E946" s="469"/>
      <c r="F946" s="469"/>
      <c r="G946" s="469"/>
      <c r="H946" s="468"/>
      <c r="I946" s="468"/>
      <c r="J946" s="468"/>
      <c r="K946" s="468"/>
      <c r="L946" s="468"/>
      <c r="M946" s="468"/>
      <c r="N946" s="468"/>
      <c r="O946" s="468"/>
    </row>
    <row r="947" spans="1:15" ht="23.25" customHeight="1" x14ac:dyDescent="0.2">
      <c r="A947" s="468"/>
      <c r="B947" s="469"/>
      <c r="C947" s="469"/>
      <c r="D947" s="469"/>
      <c r="E947" s="469"/>
      <c r="F947" s="469"/>
      <c r="G947" s="469"/>
      <c r="H947" s="468"/>
      <c r="I947" s="468"/>
      <c r="J947" s="468"/>
      <c r="K947" s="468"/>
      <c r="L947" s="468"/>
      <c r="M947" s="468"/>
      <c r="N947" s="468"/>
      <c r="O947" s="468"/>
    </row>
    <row r="948" spans="1:15" ht="23.25" customHeight="1" x14ac:dyDescent="0.2">
      <c r="A948" s="468"/>
      <c r="B948" s="469"/>
      <c r="C948" s="469"/>
      <c r="D948" s="469"/>
      <c r="E948" s="469"/>
      <c r="F948" s="469"/>
      <c r="G948" s="469"/>
      <c r="H948" s="468"/>
      <c r="I948" s="468"/>
      <c r="J948" s="468"/>
      <c r="K948" s="468"/>
      <c r="L948" s="468"/>
      <c r="M948" s="468"/>
      <c r="N948" s="468"/>
      <c r="O948" s="468"/>
    </row>
    <row r="949" spans="1:15" ht="23.25" customHeight="1" x14ac:dyDescent="0.2">
      <c r="A949" s="468"/>
      <c r="B949" s="469"/>
      <c r="C949" s="469"/>
      <c r="D949" s="469"/>
      <c r="E949" s="469"/>
      <c r="F949" s="469"/>
      <c r="G949" s="469"/>
      <c r="H949" s="468"/>
      <c r="I949" s="468"/>
      <c r="J949" s="468"/>
      <c r="K949" s="468"/>
      <c r="L949" s="468"/>
      <c r="M949" s="468"/>
      <c r="N949" s="468"/>
      <c r="O949" s="468"/>
    </row>
    <row r="950" spans="1:15" ht="23.25" customHeight="1" x14ac:dyDescent="0.2">
      <c r="A950" s="468"/>
      <c r="B950" s="469"/>
      <c r="C950" s="469"/>
      <c r="D950" s="469"/>
      <c r="E950" s="469"/>
      <c r="F950" s="469"/>
      <c r="G950" s="469"/>
      <c r="H950" s="468"/>
      <c r="I950" s="468"/>
      <c r="J950" s="468"/>
      <c r="K950" s="468"/>
      <c r="L950" s="468"/>
      <c r="M950" s="468"/>
      <c r="N950" s="468"/>
      <c r="O950" s="468"/>
    </row>
    <row r="951" spans="1:15" ht="23.25" customHeight="1" x14ac:dyDescent="0.2">
      <c r="A951" s="468"/>
      <c r="B951" s="469"/>
      <c r="C951" s="469"/>
      <c r="D951" s="469"/>
      <c r="E951" s="469"/>
      <c r="F951" s="469"/>
      <c r="G951" s="469"/>
      <c r="H951" s="468"/>
      <c r="I951" s="468"/>
      <c r="J951" s="468"/>
      <c r="K951" s="468"/>
      <c r="L951" s="468"/>
      <c r="M951" s="468"/>
      <c r="N951" s="468"/>
      <c r="O951" s="468"/>
    </row>
    <row r="952" spans="1:15" ht="15" customHeight="1" x14ac:dyDescent="0.2">
      <c r="B952" s="469"/>
      <c r="C952" s="469"/>
      <c r="D952" s="469"/>
      <c r="E952" s="469"/>
      <c r="F952" s="469"/>
    </row>
  </sheetData>
  <phoneticPr fontId="4" type="noConversion"/>
  <pageMargins left="0.78740157499999996" right="0.78740157499999996" top="0.984251969" bottom="0.984251969" header="0.4921259845" footer="0.4921259845"/>
  <pageSetup paperSize="9" scale="25" orientation="portrait" r:id="rId1"/>
  <headerFooter alignWithMargins="0">
    <oddFooter>&amp;L&amp;1#&amp;"Calibri"&amp;1&amp;KFFFFFFC1 - Public Natixis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5">
    <pageSetUpPr fitToPage="1"/>
  </sheetPr>
  <dimension ref="A1:AZ236"/>
  <sheetViews>
    <sheetView showGridLines="0" workbookViewId="0"/>
  </sheetViews>
  <sheetFormatPr baseColWidth="10" defaultColWidth="11" defaultRowHeight="14" x14ac:dyDescent="0.15"/>
  <cols>
    <col min="1" max="1" width="22.1640625" style="3" bestFit="1" customWidth="1"/>
    <col min="2" max="2" width="12.83203125" style="3" customWidth="1"/>
    <col min="3" max="3" width="11" style="3"/>
    <col min="4" max="4" width="13" style="3" bestFit="1" customWidth="1"/>
    <col min="5" max="5" width="16.83203125" style="3" customWidth="1"/>
    <col min="6" max="6" width="20.1640625" style="3" bestFit="1" customWidth="1"/>
    <col min="7" max="7" width="11" style="3"/>
    <col min="8" max="8" width="26.1640625" style="3" bestFit="1" customWidth="1"/>
    <col min="9" max="16384" width="11" style="3"/>
  </cols>
  <sheetData>
    <row r="1" spans="1:4" ht="15" x14ac:dyDescent="0.15">
      <c r="A1" s="1" t="s">
        <v>1225</v>
      </c>
    </row>
    <row r="2" spans="1:4" x14ac:dyDescent="0.15">
      <c r="A2" s="3" t="s">
        <v>84</v>
      </c>
      <c r="B2" s="74">
        <v>100</v>
      </c>
      <c r="C2" s="74">
        <v>100</v>
      </c>
      <c r="D2" s="74">
        <v>100</v>
      </c>
    </row>
    <row r="3" spans="1:4" x14ac:dyDescent="0.15">
      <c r="A3" s="3" t="s">
        <v>359</v>
      </c>
      <c r="B3" s="3">
        <v>3</v>
      </c>
      <c r="C3" s="3">
        <v>3</v>
      </c>
      <c r="D3" s="3">
        <v>3</v>
      </c>
    </row>
    <row r="4" spans="1:4" x14ac:dyDescent="0.15">
      <c r="A4" s="3" t="s">
        <v>356</v>
      </c>
      <c r="B4" s="80">
        <v>0.05</v>
      </c>
      <c r="C4" s="80">
        <v>0.1</v>
      </c>
      <c r="D4" s="80">
        <v>0.2</v>
      </c>
    </row>
    <row r="5" spans="1:4" x14ac:dyDescent="0.15">
      <c r="A5" s="3" t="s">
        <v>357</v>
      </c>
      <c r="B5" s="251">
        <f>B2/POWER(1+B4,B3)</f>
        <v>86.383759853147595</v>
      </c>
      <c r="C5" s="251">
        <f>C2/POWER(1+C4,C3)</f>
        <v>75.131480090157751</v>
      </c>
      <c r="D5" s="251">
        <f>D2/POWER(1+D4,D3)</f>
        <v>57.870370370370374</v>
      </c>
    </row>
    <row r="7" spans="1:4" ht="15" x14ac:dyDescent="0.15">
      <c r="A7" s="8" t="s">
        <v>1227</v>
      </c>
    </row>
    <row r="8" spans="1:4" x14ac:dyDescent="0.15">
      <c r="A8" s="3" t="s">
        <v>358</v>
      </c>
      <c r="B8" s="74">
        <v>100</v>
      </c>
      <c r="C8" s="74">
        <v>100</v>
      </c>
      <c r="D8" s="74">
        <v>100</v>
      </c>
    </row>
    <row r="9" spans="1:4" x14ac:dyDescent="0.15">
      <c r="A9" s="3" t="s">
        <v>359</v>
      </c>
      <c r="B9" s="3">
        <v>3</v>
      </c>
      <c r="C9" s="3">
        <v>5</v>
      </c>
      <c r="D9" s="3">
        <v>10</v>
      </c>
    </row>
    <row r="10" spans="1:4" x14ac:dyDescent="0.15">
      <c r="A10" s="3" t="s">
        <v>356</v>
      </c>
      <c r="B10" s="80">
        <v>0.1</v>
      </c>
      <c r="C10" s="80">
        <v>0.1</v>
      </c>
      <c r="D10" s="80">
        <v>0.1</v>
      </c>
    </row>
    <row r="11" spans="1:4" x14ac:dyDescent="0.15">
      <c r="A11" s="3" t="s">
        <v>357</v>
      </c>
      <c r="B11" s="251">
        <f>B8/POWER(1+B10,B9)</f>
        <v>75.131480090157751</v>
      </c>
      <c r="C11" s="251">
        <f>C8/POWER(1+C10,C9)</f>
        <v>62.092132305915499</v>
      </c>
      <c r="D11" s="251">
        <f>D8/POWER(1+D10,D9)</f>
        <v>38.554328942953148</v>
      </c>
    </row>
    <row r="12" spans="1:4" x14ac:dyDescent="0.15">
      <c r="A12" s="3" t="s">
        <v>360</v>
      </c>
      <c r="B12" s="99">
        <f>B11/B8</f>
        <v>0.75131480090157754</v>
      </c>
      <c r="C12" s="99">
        <f>C11/C8</f>
        <v>0.62092132305915504</v>
      </c>
      <c r="D12" s="99">
        <f>D11/D8</f>
        <v>0.38554328942953148</v>
      </c>
    </row>
    <row r="14" spans="1:4" ht="15" x14ac:dyDescent="0.15">
      <c r="A14" s="8" t="s">
        <v>193</v>
      </c>
    </row>
    <row r="15" spans="1:4" x14ac:dyDescent="0.15">
      <c r="A15" s="3" t="s">
        <v>361</v>
      </c>
      <c r="B15" s="74">
        <v>1000</v>
      </c>
      <c r="C15" s="74">
        <v>1000</v>
      </c>
      <c r="D15" s="74">
        <v>1000</v>
      </c>
    </row>
    <row r="16" spans="1:4" x14ac:dyDescent="0.15">
      <c r="A16" s="3" t="s">
        <v>359</v>
      </c>
      <c r="B16" s="3">
        <v>5</v>
      </c>
      <c r="C16" s="3">
        <v>5</v>
      </c>
      <c r="D16" s="3">
        <v>5</v>
      </c>
    </row>
    <row r="17" spans="1:10" x14ac:dyDescent="0.15">
      <c r="A17" s="3" t="s">
        <v>356</v>
      </c>
      <c r="B17" s="80">
        <v>0.05</v>
      </c>
      <c r="C17" s="80">
        <v>0.1</v>
      </c>
      <c r="D17" s="80">
        <v>0.2</v>
      </c>
    </row>
    <row r="18" spans="1:10" x14ac:dyDescent="0.15">
      <c r="A18" s="3" t="s">
        <v>1129</v>
      </c>
      <c r="B18" s="166">
        <f>B15*POWER(1+B17,B16)</f>
        <v>1276.2815625000001</v>
      </c>
      <c r="C18" s="166">
        <f>C15*POWER(1+C17,C16)</f>
        <v>1610.5100000000004</v>
      </c>
      <c r="D18" s="166">
        <f>D15*POWER(1+D17,D16)</f>
        <v>2488.3199999999997</v>
      </c>
    </row>
    <row r="20" spans="1:10" ht="15" x14ac:dyDescent="0.15">
      <c r="A20" s="8" t="s">
        <v>157</v>
      </c>
    </row>
    <row r="21" spans="1:10" x14ac:dyDescent="0.15">
      <c r="A21" s="3" t="s">
        <v>361</v>
      </c>
      <c r="B21" s="74">
        <v>1000</v>
      </c>
      <c r="C21" s="74">
        <v>1000</v>
      </c>
      <c r="D21" s="74">
        <v>1000</v>
      </c>
    </row>
    <row r="22" spans="1:10" x14ac:dyDescent="0.15">
      <c r="A22" s="3" t="s">
        <v>359</v>
      </c>
      <c r="B22" s="3">
        <v>5</v>
      </c>
      <c r="C22" s="3">
        <v>10</v>
      </c>
      <c r="D22" s="3">
        <v>20</v>
      </c>
    </row>
    <row r="23" spans="1:10" x14ac:dyDescent="0.15">
      <c r="A23" s="3" t="s">
        <v>356</v>
      </c>
      <c r="B23" s="80">
        <v>0.08</v>
      </c>
      <c r="C23" s="80">
        <v>0.08</v>
      </c>
      <c r="D23" s="80">
        <v>0.08</v>
      </c>
    </row>
    <row r="24" spans="1:10" x14ac:dyDescent="0.15">
      <c r="A24" s="3" t="s">
        <v>1129</v>
      </c>
      <c r="B24" s="166">
        <f>B21*POWER(1+B23,B22)</f>
        <v>1469.3280768000004</v>
      </c>
      <c r="C24" s="166">
        <f>C21*POWER(1+C23,C22)</f>
        <v>2158.9249972727876</v>
      </c>
      <c r="D24" s="166">
        <f>D21*POWER(1+D23,D22)</f>
        <v>4660.9571438493067</v>
      </c>
    </row>
    <row r="26" spans="1:10" ht="15" x14ac:dyDescent="0.15">
      <c r="A26" s="8" t="s">
        <v>171</v>
      </c>
    </row>
    <row r="27" spans="1:10" x14ac:dyDescent="0.15">
      <c r="A27" s="88" t="s">
        <v>362</v>
      </c>
      <c r="B27" s="138" t="s">
        <v>366</v>
      </c>
      <c r="C27" s="88"/>
      <c r="D27" s="138" t="s">
        <v>365</v>
      </c>
      <c r="E27" s="88"/>
      <c r="F27" s="252" t="s">
        <v>936</v>
      </c>
    </row>
    <row r="28" spans="1:10" x14ac:dyDescent="0.15">
      <c r="A28" s="3" t="s">
        <v>363</v>
      </c>
      <c r="B28" s="139">
        <v>0</v>
      </c>
      <c r="C28" s="3">
        <v>1</v>
      </c>
      <c r="D28" s="139"/>
      <c r="F28" s="139"/>
    </row>
    <row r="29" spans="1:10" x14ac:dyDescent="0.15">
      <c r="A29" s="3" t="s">
        <v>86</v>
      </c>
      <c r="B29" s="75">
        <f>10000*0.95</f>
        <v>9500</v>
      </c>
      <c r="C29" s="74"/>
      <c r="D29" s="75">
        <f>B29/POWER(1+$B$32,B$28)</f>
        <v>9500</v>
      </c>
      <c r="E29" s="74">
        <f>C29/POWER(1+$B$32,C$28)</f>
        <v>0</v>
      </c>
      <c r="F29" s="75">
        <f>SUM(D29:E29)</f>
        <v>9500</v>
      </c>
      <c r="G29" s="74"/>
      <c r="H29" s="74"/>
      <c r="I29" s="74"/>
      <c r="J29" s="74"/>
    </row>
    <row r="30" spans="1:10" x14ac:dyDescent="0.15">
      <c r="A30" s="3" t="s">
        <v>85</v>
      </c>
      <c r="B30" s="75">
        <v>5000</v>
      </c>
      <c r="C30" s="74">
        <v>5000</v>
      </c>
      <c r="D30" s="75">
        <f>B30/POWER(1+$B$32,B$28)</f>
        <v>5000</v>
      </c>
      <c r="E30" s="74">
        <f>C30/POWER(1+$B$32,C$28)</f>
        <v>4500</v>
      </c>
      <c r="F30" s="75">
        <f>SUM(D30:E30)</f>
        <v>9500</v>
      </c>
      <c r="G30" s="51"/>
    </row>
    <row r="31" spans="1:10" x14ac:dyDescent="0.15">
      <c r="B31" s="253">
        <f>-B29+B30</f>
        <v>-4500</v>
      </c>
      <c r="C31" s="254">
        <f>+C30</f>
        <v>5000</v>
      </c>
    </row>
    <row r="32" spans="1:10" x14ac:dyDescent="0.15">
      <c r="A32" s="3" t="s">
        <v>364</v>
      </c>
      <c r="B32" s="111">
        <f>+IRR(B31:C31)</f>
        <v>0.11111111111111116</v>
      </c>
    </row>
    <row r="33" spans="1:6" x14ac:dyDescent="0.15">
      <c r="B33" s="255"/>
    </row>
    <row r="34" spans="1:6" ht="15" x14ac:dyDescent="0.15">
      <c r="A34" s="8" t="s">
        <v>367</v>
      </c>
    </row>
    <row r="35" spans="1:6" x14ac:dyDescent="0.15">
      <c r="A35" s="3" t="s">
        <v>24</v>
      </c>
      <c r="B35" s="256">
        <f>3+5/12+17/365</f>
        <v>3.4632420091324199</v>
      </c>
      <c r="C35" s="3" t="s">
        <v>506</v>
      </c>
    </row>
    <row r="36" spans="1:6" x14ac:dyDescent="0.15">
      <c r="A36" s="3" t="s">
        <v>25</v>
      </c>
      <c r="B36" s="29">
        <f>100/(1.08^B35)</f>
        <v>76.602941382517059</v>
      </c>
    </row>
    <row r="37" spans="1:6" x14ac:dyDescent="0.15">
      <c r="B37" s="81"/>
    </row>
    <row r="39" spans="1:6" ht="15" x14ac:dyDescent="0.15">
      <c r="A39" s="8" t="s">
        <v>369</v>
      </c>
    </row>
    <row r="40" spans="1:6" x14ac:dyDescent="0.15">
      <c r="A40" s="3" t="s">
        <v>371</v>
      </c>
      <c r="B40" s="3">
        <v>8</v>
      </c>
    </row>
    <row r="41" spans="1:6" x14ac:dyDescent="0.15">
      <c r="A41" s="3" t="s">
        <v>356</v>
      </c>
      <c r="B41" s="257">
        <v>0.05</v>
      </c>
      <c r="C41" s="80"/>
    </row>
    <row r="42" spans="1:6" x14ac:dyDescent="0.15">
      <c r="A42" s="3" t="s">
        <v>370</v>
      </c>
      <c r="B42" s="68">
        <f>POWER(1+B41,B40)</f>
        <v>1.4774554437890626</v>
      </c>
      <c r="C42" s="68"/>
    </row>
    <row r="43" spans="1:6" x14ac:dyDescent="0.15">
      <c r="A43" s="3" t="s">
        <v>372</v>
      </c>
      <c r="B43" s="74">
        <v>100</v>
      </c>
      <c r="C43" s="74"/>
    </row>
    <row r="45" spans="1:6" x14ac:dyDescent="0.15">
      <c r="A45" s="3" t="s">
        <v>373</v>
      </c>
      <c r="B45" s="251">
        <f>B43/B42</f>
        <v>67.683936202868722</v>
      </c>
      <c r="C45" s="196"/>
    </row>
    <row r="47" spans="1:6" ht="15" x14ac:dyDescent="0.15">
      <c r="A47" s="8" t="s">
        <v>374</v>
      </c>
    </row>
    <row r="48" spans="1:6" x14ac:dyDescent="0.15">
      <c r="A48" s="88" t="s">
        <v>362</v>
      </c>
      <c r="B48" s="138" t="s">
        <v>366</v>
      </c>
      <c r="C48" s="88"/>
      <c r="D48" s="138" t="s">
        <v>365</v>
      </c>
      <c r="E48" s="88"/>
      <c r="F48" s="252" t="s">
        <v>936</v>
      </c>
    </row>
    <row r="49" spans="1:7" x14ac:dyDescent="0.15">
      <c r="A49" s="3" t="s">
        <v>363</v>
      </c>
      <c r="B49" s="139">
        <v>0</v>
      </c>
      <c r="C49" s="3">
        <v>4</v>
      </c>
      <c r="D49" s="139"/>
      <c r="F49" s="139"/>
    </row>
    <row r="50" spans="1:7" x14ac:dyDescent="0.15">
      <c r="A50" s="3" t="s">
        <v>375</v>
      </c>
      <c r="B50" s="75">
        <v>100</v>
      </c>
      <c r="C50" s="74"/>
      <c r="D50" s="75">
        <f>B50/POWER(1+$B$53,B$49)</f>
        <v>100</v>
      </c>
      <c r="E50" s="74">
        <f>C50/POWER(1+$B$53,C$49)</f>
        <v>0</v>
      </c>
      <c r="F50" s="75">
        <f>SUM(D50:E50)</f>
        <v>100</v>
      </c>
    </row>
    <row r="51" spans="1:7" x14ac:dyDescent="0.15">
      <c r="A51" s="3" t="s">
        <v>376</v>
      </c>
      <c r="B51" s="75">
        <v>0</v>
      </c>
      <c r="C51" s="74">
        <v>131.08000000000001</v>
      </c>
      <c r="D51" s="75">
        <f>B51/POWER(1+$B$53,B$49)</f>
        <v>0</v>
      </c>
      <c r="E51" s="74">
        <f>C51/POWER(1+$B$53,C$49)</f>
        <v>100.00030439518962</v>
      </c>
      <c r="F51" s="75">
        <f>SUM(D51:E51)</f>
        <v>100.00030439518962</v>
      </c>
    </row>
    <row r="53" spans="1:7" x14ac:dyDescent="0.15">
      <c r="A53" s="3" t="s">
        <v>364</v>
      </c>
      <c r="B53" s="80">
        <v>7.0000000000000007E-2</v>
      </c>
    </row>
    <row r="55" spans="1:7" ht="15" x14ac:dyDescent="0.15">
      <c r="A55" s="8" t="s">
        <v>377</v>
      </c>
    </row>
    <row r="56" spans="1:7" x14ac:dyDescent="0.15">
      <c r="A56" s="3" t="s">
        <v>87</v>
      </c>
      <c r="B56" s="3">
        <v>2</v>
      </c>
    </row>
    <row r="57" spans="1:7" x14ac:dyDescent="0.15">
      <c r="A57" s="3" t="s">
        <v>939</v>
      </c>
      <c r="B57" s="3">
        <v>1</v>
      </c>
      <c r="C57" s="3">
        <v>2</v>
      </c>
      <c r="D57" s="3">
        <v>3</v>
      </c>
      <c r="E57" s="3">
        <v>4</v>
      </c>
      <c r="F57" s="3">
        <v>5</v>
      </c>
      <c r="G57" s="3">
        <v>6</v>
      </c>
    </row>
    <row r="58" spans="1:7" x14ac:dyDescent="0.15">
      <c r="A58" s="3" t="s">
        <v>356</v>
      </c>
      <c r="B58" s="67">
        <f t="shared" ref="B58:G58" si="0">POWER($B56,1/B57)-1</f>
        <v>1</v>
      </c>
      <c r="C58" s="67">
        <f t="shared" si="0"/>
        <v>0.41421356237309515</v>
      </c>
      <c r="D58" s="67">
        <f t="shared" si="0"/>
        <v>0.25992104989487319</v>
      </c>
      <c r="E58" s="67">
        <f t="shared" si="0"/>
        <v>0.18920711500272103</v>
      </c>
      <c r="F58" s="67">
        <f t="shared" si="0"/>
        <v>0.1486983549970351</v>
      </c>
      <c r="G58" s="67">
        <f t="shared" si="0"/>
        <v>0.12246204830937302</v>
      </c>
    </row>
    <row r="59" spans="1:7" x14ac:dyDescent="0.15">
      <c r="A59" s="3" t="s">
        <v>378</v>
      </c>
      <c r="B59" s="81">
        <f t="shared" ref="B59:G59" si="1">0.75/B57</f>
        <v>0.75</v>
      </c>
      <c r="C59" s="81">
        <f t="shared" si="1"/>
        <v>0.375</v>
      </c>
      <c r="D59" s="81">
        <f t="shared" si="1"/>
        <v>0.25</v>
      </c>
      <c r="E59" s="81">
        <f t="shared" si="1"/>
        <v>0.1875</v>
      </c>
      <c r="F59" s="81">
        <f t="shared" si="1"/>
        <v>0.15</v>
      </c>
      <c r="G59" s="81">
        <f t="shared" si="1"/>
        <v>0.125</v>
      </c>
    </row>
    <row r="61" spans="1:7" ht="15" x14ac:dyDescent="0.15">
      <c r="A61" s="8" t="s">
        <v>379</v>
      </c>
    </row>
    <row r="62" spans="1:7" x14ac:dyDescent="0.15">
      <c r="A62" s="3" t="s">
        <v>87</v>
      </c>
      <c r="B62" s="3">
        <v>3</v>
      </c>
    </row>
    <row r="63" spans="1:7" x14ac:dyDescent="0.15">
      <c r="A63" s="3" t="s">
        <v>939</v>
      </c>
      <c r="B63" s="3">
        <v>1</v>
      </c>
      <c r="C63" s="3">
        <v>2</v>
      </c>
      <c r="D63" s="3">
        <v>3</v>
      </c>
      <c r="E63" s="3">
        <v>4</v>
      </c>
      <c r="F63" s="3">
        <v>5</v>
      </c>
      <c r="G63" s="3">
        <v>6</v>
      </c>
    </row>
    <row r="64" spans="1:7" x14ac:dyDescent="0.15">
      <c r="A64" s="3" t="s">
        <v>356</v>
      </c>
      <c r="B64" s="67">
        <f t="shared" ref="B64:G64" si="2">POWER($B62,1/B63)-1</f>
        <v>2</v>
      </c>
      <c r="C64" s="67">
        <f t="shared" si="2"/>
        <v>0.73205080756887719</v>
      </c>
      <c r="D64" s="67">
        <f t="shared" si="2"/>
        <v>0.4422495703074083</v>
      </c>
      <c r="E64" s="67">
        <f t="shared" si="2"/>
        <v>0.3160740129524926</v>
      </c>
      <c r="F64" s="67">
        <f t="shared" si="2"/>
        <v>0.2457309396155174</v>
      </c>
      <c r="G64" s="67">
        <f t="shared" si="2"/>
        <v>0.20093695517600274</v>
      </c>
    </row>
    <row r="65" spans="1:8" x14ac:dyDescent="0.15">
      <c r="A65" s="3" t="s">
        <v>380</v>
      </c>
      <c r="B65" s="81">
        <f t="shared" ref="B65:G65" si="3">1.25/B63</f>
        <v>1.25</v>
      </c>
      <c r="C65" s="81">
        <f t="shared" si="3"/>
        <v>0.625</v>
      </c>
      <c r="D65" s="81">
        <f t="shared" si="3"/>
        <v>0.41666666666666669</v>
      </c>
      <c r="E65" s="81">
        <f t="shared" si="3"/>
        <v>0.3125</v>
      </c>
      <c r="F65" s="81">
        <f t="shared" si="3"/>
        <v>0.25</v>
      </c>
      <c r="G65" s="81">
        <f t="shared" si="3"/>
        <v>0.20833333333333334</v>
      </c>
    </row>
    <row r="67" spans="1:8" ht="15" x14ac:dyDescent="0.15">
      <c r="A67" s="8" t="s">
        <v>381</v>
      </c>
    </row>
    <row r="68" spans="1:8" x14ac:dyDescent="0.15">
      <c r="A68" s="3" t="s">
        <v>382</v>
      </c>
      <c r="B68" s="74">
        <v>121</v>
      </c>
      <c r="C68" s="74">
        <v>121</v>
      </c>
    </row>
    <row r="69" spans="1:8" x14ac:dyDescent="0.15">
      <c r="A69" s="3" t="s">
        <v>359</v>
      </c>
      <c r="B69" s="3">
        <v>2</v>
      </c>
      <c r="C69" s="3">
        <v>2</v>
      </c>
    </row>
    <row r="70" spans="1:8" x14ac:dyDescent="0.15">
      <c r="A70" s="3" t="s">
        <v>383</v>
      </c>
      <c r="B70" s="80">
        <v>0.09</v>
      </c>
      <c r="C70" s="80">
        <v>0.08</v>
      </c>
    </row>
    <row r="71" spans="1:8" x14ac:dyDescent="0.15">
      <c r="A71" s="3" t="s">
        <v>393</v>
      </c>
      <c r="B71" s="251">
        <f>B68/POWER(1+B70,B69)</f>
        <v>101.84327918525375</v>
      </c>
      <c r="C71" s="251">
        <f>C68/POWER(1+C70,C69)</f>
        <v>103.73799725651577</v>
      </c>
    </row>
    <row r="73" spans="1:8" ht="15" x14ac:dyDescent="0.15">
      <c r="A73" s="8" t="s">
        <v>384</v>
      </c>
    </row>
    <row r="74" spans="1:8" x14ac:dyDescent="0.15">
      <c r="A74" s="3" t="s">
        <v>385</v>
      </c>
      <c r="B74" s="74">
        <v>30</v>
      </c>
      <c r="C74" s="3" t="s">
        <v>387</v>
      </c>
      <c r="E74" s="3" t="s">
        <v>385</v>
      </c>
      <c r="F74" s="74">
        <v>30</v>
      </c>
      <c r="G74" s="3" t="s">
        <v>387</v>
      </c>
    </row>
    <row r="75" spans="1:8" x14ac:dyDescent="0.15">
      <c r="A75" s="3" t="s">
        <v>386</v>
      </c>
      <c r="B75" s="3">
        <v>30</v>
      </c>
      <c r="C75" s="3" t="s">
        <v>951</v>
      </c>
      <c r="E75" s="3" t="s">
        <v>386</v>
      </c>
      <c r="F75" s="3">
        <v>30</v>
      </c>
      <c r="G75" s="3" t="s">
        <v>951</v>
      </c>
    </row>
    <row r="76" spans="1:8" x14ac:dyDescent="0.15">
      <c r="A76" s="3" t="s">
        <v>1709</v>
      </c>
      <c r="B76" s="3">
        <f>2026-B75</f>
        <v>1996</v>
      </c>
      <c r="E76" s="3" t="s">
        <v>1709</v>
      </c>
      <c r="F76" s="3">
        <f>B76</f>
        <v>1996</v>
      </c>
    </row>
    <row r="77" spans="1:8" x14ac:dyDescent="0.15">
      <c r="A77" s="3" t="s">
        <v>356</v>
      </c>
      <c r="B77" s="80">
        <v>0.03</v>
      </c>
      <c r="E77" s="3" t="s">
        <v>356</v>
      </c>
      <c r="F77" s="80">
        <v>0.01</v>
      </c>
    </row>
    <row r="78" spans="1:8" x14ac:dyDescent="0.15">
      <c r="A78" s="3" t="s">
        <v>368</v>
      </c>
      <c r="B78" s="386">
        <f>B74*POWER(1+B77,B76)</f>
        <v>1.2595684281447848E+27</v>
      </c>
      <c r="C78" s="3" t="s">
        <v>387</v>
      </c>
      <c r="E78" s="3" t="s">
        <v>368</v>
      </c>
      <c r="F78" s="87">
        <f>F74*POWER(1+F77,F76)</f>
        <v>12664362259.668003</v>
      </c>
      <c r="G78" s="3" t="s">
        <v>387</v>
      </c>
      <c r="H78" s="258">
        <f>B78/F78</f>
        <v>9.9457706777396336E+16</v>
      </c>
    </row>
    <row r="79" spans="1:8" x14ac:dyDescent="0.15">
      <c r="F79" s="258"/>
    </row>
    <row r="80" spans="1:8" ht="15" x14ac:dyDescent="0.15">
      <c r="A80" s="8" t="s">
        <v>388</v>
      </c>
      <c r="B80" s="3" t="s">
        <v>389</v>
      </c>
      <c r="F80" s="102"/>
    </row>
    <row r="81" spans="1:6" x14ac:dyDescent="0.15">
      <c r="A81" s="3" t="s">
        <v>385</v>
      </c>
      <c r="B81" s="74">
        <v>100</v>
      </c>
    </row>
    <row r="82" spans="1:6" x14ac:dyDescent="0.15">
      <c r="A82" s="3" t="s">
        <v>359</v>
      </c>
      <c r="B82" s="3">
        <v>4</v>
      </c>
    </row>
    <row r="83" spans="1:6" x14ac:dyDescent="0.15">
      <c r="A83" s="3" t="s">
        <v>356</v>
      </c>
      <c r="B83" s="80">
        <v>0.06</v>
      </c>
    </row>
    <row r="84" spans="1:6" x14ac:dyDescent="0.15">
      <c r="A84" s="3" t="s">
        <v>382</v>
      </c>
      <c r="B84" s="99">
        <f>B81*POWER(1+B83,B82)</f>
        <v>126.24769600000003</v>
      </c>
    </row>
    <row r="86" spans="1:6" ht="15" x14ac:dyDescent="0.15">
      <c r="A86" s="8" t="s">
        <v>390</v>
      </c>
      <c r="B86" s="3" t="s">
        <v>392</v>
      </c>
    </row>
    <row r="87" spans="1:6" x14ac:dyDescent="0.15">
      <c r="A87" s="3" t="s">
        <v>368</v>
      </c>
      <c r="B87" s="74">
        <v>11</v>
      </c>
    </row>
    <row r="88" spans="1:6" x14ac:dyDescent="0.15">
      <c r="A88" s="3" t="s">
        <v>391</v>
      </c>
      <c r="B88" s="80">
        <v>0.12</v>
      </c>
    </row>
    <row r="89" spans="1:6" x14ac:dyDescent="0.15">
      <c r="A89" s="3" t="s">
        <v>359</v>
      </c>
      <c r="B89" s="3">
        <v>4</v>
      </c>
      <c r="C89" s="3" t="s">
        <v>1677</v>
      </c>
    </row>
    <row r="90" spans="1:6" x14ac:dyDescent="0.15">
      <c r="A90" s="3" t="s">
        <v>382</v>
      </c>
      <c r="B90" s="251">
        <f>B87*POWER(1+B88,B89)</f>
        <v>17.308712960000005</v>
      </c>
    </row>
    <row r="91" spans="1:6" x14ac:dyDescent="0.15">
      <c r="B91" s="251"/>
    </row>
    <row r="92" spans="1:6" ht="15" x14ac:dyDescent="0.15">
      <c r="A92" s="8" t="s">
        <v>1509</v>
      </c>
    </row>
    <row r="93" spans="1:6" x14ac:dyDescent="0.15">
      <c r="A93" s="3" t="s">
        <v>394</v>
      </c>
      <c r="B93" s="3">
        <v>897</v>
      </c>
    </row>
    <row r="95" spans="1:6" x14ac:dyDescent="0.15">
      <c r="A95" s="259" t="s">
        <v>939</v>
      </c>
      <c r="B95" s="260">
        <v>1</v>
      </c>
      <c r="C95" s="260">
        <v>2</v>
      </c>
      <c r="D95" s="260">
        <v>3</v>
      </c>
      <c r="E95" s="260">
        <v>4</v>
      </c>
      <c r="F95" s="260">
        <v>5</v>
      </c>
    </row>
    <row r="96" spans="1:6" x14ac:dyDescent="0.15">
      <c r="A96" s="259" t="s">
        <v>395</v>
      </c>
      <c r="B96" s="260">
        <v>300</v>
      </c>
      <c r="C96" s="260">
        <v>300</v>
      </c>
      <c r="D96" s="260">
        <v>300</v>
      </c>
      <c r="E96" s="260">
        <v>300</v>
      </c>
      <c r="F96" s="260">
        <v>300</v>
      </c>
    </row>
    <row r="98" spans="1:6" x14ac:dyDescent="0.15">
      <c r="A98" s="3" t="s">
        <v>356</v>
      </c>
      <c r="B98" s="80" t="s">
        <v>396</v>
      </c>
      <c r="C98" s="80"/>
      <c r="D98" s="80"/>
      <c r="E98" s="80"/>
      <c r="F98" s="80"/>
    </row>
    <row r="99" spans="1:6" x14ac:dyDescent="0.15">
      <c r="A99" s="261">
        <v>0.05</v>
      </c>
      <c r="B99" s="13">
        <f>SUMPRODUCT(B$96:F$96,POWER(1+$A99,-B$95:F$95))-B$93</f>
        <v>401.8430011892458</v>
      </c>
    </row>
    <row r="100" spans="1:6" x14ac:dyDescent="0.15">
      <c r="A100" s="261">
        <v>0.1</v>
      </c>
      <c r="B100" s="13">
        <f>SUMPRODUCT(B$96:F$96,POWER(1+$A100,-B$95:F$95))-B$93</f>
        <v>240.2360308225343</v>
      </c>
    </row>
    <row r="101" spans="1:6" x14ac:dyDescent="0.15">
      <c r="A101" s="261">
        <v>0.15</v>
      </c>
      <c r="B101" s="13">
        <f>SUMPRODUCT(B$96:F$96,POWER(1+$A101,-B$95:F$95))-B$93</f>
        <v>108.6465294034208</v>
      </c>
    </row>
    <row r="102" spans="1:6" x14ac:dyDescent="0.15">
      <c r="A102" s="261">
        <v>0.2</v>
      </c>
      <c r="B102" s="13">
        <f>SUMPRODUCT(B$96:F$96,POWER(1+$A102,-B$95:F$95))-B$93</f>
        <v>0.18364197530866022</v>
      </c>
    </row>
    <row r="103" spans="1:6" x14ac:dyDescent="0.15">
      <c r="A103" s="261">
        <v>0.25</v>
      </c>
      <c r="B103" s="13">
        <f>SUMPRODUCT(B$96:F$96,POWER(1+$A103,-B$95:F$95))-B$93</f>
        <v>-90.216000000000008</v>
      </c>
    </row>
    <row r="114" spans="1:3" ht="15" x14ac:dyDescent="0.15">
      <c r="A114" s="8" t="s">
        <v>1510</v>
      </c>
    </row>
    <row r="115" spans="1:3" x14ac:dyDescent="0.15">
      <c r="A115" s="3" t="s">
        <v>397</v>
      </c>
      <c r="B115" s="3">
        <v>100</v>
      </c>
    </row>
    <row r="116" spans="1:3" x14ac:dyDescent="0.15">
      <c r="A116" s="3" t="s">
        <v>356</v>
      </c>
      <c r="B116" s="80">
        <v>0.1</v>
      </c>
    </row>
    <row r="118" spans="1:3" ht="30" x14ac:dyDescent="0.15">
      <c r="A118" s="6" t="s">
        <v>398</v>
      </c>
      <c r="B118" s="3">
        <f>B115/B116</f>
        <v>1000</v>
      </c>
    </row>
    <row r="119" spans="1:3" x14ac:dyDescent="0.15">
      <c r="A119" s="6"/>
    </row>
    <row r="120" spans="1:3" x14ac:dyDescent="0.15">
      <c r="A120" s="3" t="s">
        <v>400</v>
      </c>
      <c r="B120" s="80">
        <v>0.03</v>
      </c>
    </row>
    <row r="121" spans="1:3" x14ac:dyDescent="0.15">
      <c r="C121" s="189"/>
    </row>
    <row r="122" spans="1:3" ht="30" x14ac:dyDescent="0.15">
      <c r="A122" s="6" t="s">
        <v>399</v>
      </c>
      <c r="B122" s="13">
        <f>B115/(B116-B120)</f>
        <v>1428.5714285714284</v>
      </c>
    </row>
    <row r="124" spans="1:3" ht="15" x14ac:dyDescent="0.15">
      <c r="A124" s="8" t="s">
        <v>1511</v>
      </c>
    </row>
    <row r="125" spans="1:3" x14ac:dyDescent="0.15">
      <c r="A125" s="3" t="s">
        <v>397</v>
      </c>
      <c r="B125" s="3">
        <v>100</v>
      </c>
    </row>
    <row r="126" spans="1:3" x14ac:dyDescent="0.15">
      <c r="A126" s="3" t="s">
        <v>356</v>
      </c>
      <c r="B126" s="80">
        <v>0.1</v>
      </c>
    </row>
    <row r="128" spans="1:3" ht="30" x14ac:dyDescent="0.15">
      <c r="A128" s="6" t="s">
        <v>398</v>
      </c>
      <c r="B128" s="29">
        <f>B125/B126</f>
        <v>1000</v>
      </c>
    </row>
    <row r="129" spans="1:17" x14ac:dyDescent="0.15">
      <c r="A129" s="6"/>
    </row>
    <row r="130" spans="1:17" x14ac:dyDescent="0.15">
      <c r="A130" s="3" t="s">
        <v>371</v>
      </c>
      <c r="B130" s="102">
        <v>3</v>
      </c>
    </row>
    <row r="132" spans="1:17" ht="30" x14ac:dyDescent="0.15">
      <c r="A132" s="6" t="s">
        <v>88</v>
      </c>
      <c r="B132" s="29">
        <f>B125/B126*(1-1/POWER(1+B126,B130))</f>
        <v>248.68519909842246</v>
      </c>
    </row>
    <row r="134" spans="1:17" ht="15" x14ac:dyDescent="0.15">
      <c r="A134" s="8" t="s">
        <v>1512</v>
      </c>
    </row>
    <row r="135" spans="1:17" x14ac:dyDescent="0.15">
      <c r="A135" s="260" t="s">
        <v>401</v>
      </c>
      <c r="B135" s="260">
        <v>1</v>
      </c>
      <c r="C135" s="260">
        <v>2</v>
      </c>
      <c r="D135" s="260">
        <v>3</v>
      </c>
      <c r="E135" s="260">
        <v>4</v>
      </c>
      <c r="F135" s="82"/>
      <c r="G135" s="82"/>
      <c r="H135" s="82"/>
      <c r="I135" s="82"/>
      <c r="J135" s="82"/>
      <c r="K135" s="82"/>
      <c r="L135" s="82"/>
      <c r="M135" s="82"/>
      <c r="N135" s="82"/>
      <c r="O135" s="82"/>
      <c r="P135" s="82"/>
      <c r="Q135" s="82"/>
    </row>
    <row r="136" spans="1:17" x14ac:dyDescent="0.15">
      <c r="A136" s="260" t="s">
        <v>395</v>
      </c>
      <c r="B136" s="260">
        <v>52</v>
      </c>
      <c r="C136" s="260">
        <f>B136</f>
        <v>52</v>
      </c>
      <c r="D136" s="260">
        <f>C136</f>
        <v>52</v>
      </c>
      <c r="E136" s="260">
        <f>D136</f>
        <v>52</v>
      </c>
    </row>
    <row r="138" spans="1:17" x14ac:dyDescent="0.15">
      <c r="A138" s="3" t="s">
        <v>402</v>
      </c>
      <c r="B138" s="104">
        <v>0.08</v>
      </c>
    </row>
    <row r="139" spans="1:17" x14ac:dyDescent="0.15">
      <c r="A139" s="3" t="s">
        <v>403</v>
      </c>
      <c r="B139" s="29">
        <f>SUMPRODUCT(B136:E136,POWER(1+B138,-B135:E135))</f>
        <v>172.23059568230528</v>
      </c>
    </row>
    <row r="141" spans="1:17" x14ac:dyDescent="0.15">
      <c r="A141" s="3" t="s">
        <v>404</v>
      </c>
      <c r="B141" s="3">
        <v>165</v>
      </c>
    </row>
    <row r="142" spans="1:17" x14ac:dyDescent="0.15">
      <c r="A142" s="86" t="s">
        <v>405</v>
      </c>
    </row>
    <row r="143" spans="1:17" x14ac:dyDescent="0.15">
      <c r="A143" s="3" t="s">
        <v>396</v>
      </c>
      <c r="B143" s="68">
        <f>B139-B141</f>
        <v>7.2305956823052782</v>
      </c>
    </row>
    <row r="145" spans="1:3" ht="15" x14ac:dyDescent="0.15">
      <c r="A145" s="6" t="s">
        <v>406</v>
      </c>
      <c r="B145" s="104">
        <v>9.9532807563535428E-2</v>
      </c>
    </row>
    <row r="146" spans="1:3" x14ac:dyDescent="0.15">
      <c r="B146" s="68">
        <f>SUMPRODUCT(B136:E136,POWER(1+B145,-B135:E135))</f>
        <v>164.99984210023899</v>
      </c>
    </row>
    <row r="148" spans="1:3" ht="15" x14ac:dyDescent="0.15">
      <c r="A148" s="8" t="s">
        <v>1513</v>
      </c>
    </row>
    <row r="149" spans="1:3" x14ac:dyDescent="0.15">
      <c r="A149" s="3" t="s">
        <v>356</v>
      </c>
      <c r="B149" s="80">
        <v>0.08</v>
      </c>
      <c r="C149" s="80">
        <v>0.15</v>
      </c>
    </row>
    <row r="150" spans="1:3" x14ac:dyDescent="0.15">
      <c r="A150" s="3" t="s">
        <v>89</v>
      </c>
      <c r="B150" s="3">
        <v>100</v>
      </c>
      <c r="C150" s="3">
        <v>100</v>
      </c>
    </row>
    <row r="151" spans="1:3" x14ac:dyDescent="0.15">
      <c r="A151" s="3" t="s">
        <v>407</v>
      </c>
      <c r="B151" s="68">
        <f>B150/B149</f>
        <v>1250</v>
      </c>
      <c r="C151" s="68">
        <f>C150/C149</f>
        <v>666.66666666666674</v>
      </c>
    </row>
    <row r="153" spans="1:3" x14ac:dyDescent="0.15">
      <c r="A153" s="3" t="s">
        <v>408</v>
      </c>
      <c r="B153" s="3">
        <v>40</v>
      </c>
      <c r="C153" s="3">
        <v>40</v>
      </c>
    </row>
    <row r="154" spans="1:3" x14ac:dyDescent="0.15">
      <c r="A154" s="3" t="s">
        <v>409</v>
      </c>
      <c r="B154" s="68">
        <f>B150*(1-POWER(1+B149,-B153))/B149</f>
        <v>1192.4613333746324</v>
      </c>
      <c r="C154" s="68">
        <f>C150*(1-POWER(1+C149,-C153))/C149</f>
        <v>664.17783727559106</v>
      </c>
    </row>
    <row r="155" spans="1:3" x14ac:dyDescent="0.15">
      <c r="B155" s="68"/>
      <c r="C155" s="68"/>
    </row>
    <row r="156" spans="1:3" x14ac:dyDescent="0.15">
      <c r="A156" s="3" t="s">
        <v>90</v>
      </c>
      <c r="B156" s="80">
        <f>B151/B154-1</f>
        <v>4.825201875731655E-2</v>
      </c>
      <c r="C156" s="104">
        <f>C151/C154-1</f>
        <v>3.7472334236334781E-3</v>
      </c>
    </row>
    <row r="158" spans="1:3" ht="15" x14ac:dyDescent="0.15">
      <c r="A158" s="8" t="s">
        <v>1514</v>
      </c>
    </row>
    <row r="159" spans="1:3" x14ac:dyDescent="0.15">
      <c r="A159" s="3" t="s">
        <v>410</v>
      </c>
      <c r="B159" s="166">
        <v>2000</v>
      </c>
    </row>
    <row r="160" spans="1:3" x14ac:dyDescent="0.15">
      <c r="A160" s="3" t="s">
        <v>411</v>
      </c>
      <c r="B160" s="80">
        <v>0.02</v>
      </c>
    </row>
    <row r="161" spans="1:2" x14ac:dyDescent="0.15">
      <c r="A161" s="3" t="s">
        <v>359</v>
      </c>
      <c r="B161" s="3">
        <v>75</v>
      </c>
    </row>
    <row r="162" spans="1:2" x14ac:dyDescent="0.15">
      <c r="A162" s="3" t="s">
        <v>412</v>
      </c>
      <c r="B162" s="80">
        <v>0.05</v>
      </c>
    </row>
    <row r="164" spans="1:2" x14ac:dyDescent="0.15">
      <c r="A164" s="3" t="s">
        <v>413</v>
      </c>
      <c r="B164" s="166">
        <f>B159/(B162-B160)*(1-POWER((1+B160)/(1+B162),B161))</f>
        <v>59085.706881400954</v>
      </c>
    </row>
    <row r="166" spans="1:2" ht="15" x14ac:dyDescent="0.15">
      <c r="A166" s="8" t="s">
        <v>1515</v>
      </c>
    </row>
    <row r="167" spans="1:2" x14ac:dyDescent="0.15">
      <c r="A167" s="3" t="s">
        <v>414</v>
      </c>
      <c r="B167" s="3">
        <v>0.8</v>
      </c>
    </row>
    <row r="168" spans="1:2" x14ac:dyDescent="0.15">
      <c r="A168" s="3" t="s">
        <v>356</v>
      </c>
      <c r="B168" s="104">
        <v>0.06</v>
      </c>
    </row>
    <row r="169" spans="1:2" x14ac:dyDescent="0.15">
      <c r="A169" s="3" t="s">
        <v>429</v>
      </c>
      <c r="B169" s="104">
        <f>(1+B168)*(1+B168)-1</f>
        <v>0.12360000000000015</v>
      </c>
    </row>
    <row r="170" spans="1:2" x14ac:dyDescent="0.15">
      <c r="A170" s="3" t="s">
        <v>418</v>
      </c>
      <c r="B170" s="262">
        <v>15</v>
      </c>
    </row>
    <row r="172" spans="1:2" x14ac:dyDescent="0.15">
      <c r="A172" s="3" t="s">
        <v>416</v>
      </c>
      <c r="B172" s="68">
        <f>B167/B169*(1-POWER(1+B169,-B170))</f>
        <v>5.3455654957240437</v>
      </c>
    </row>
    <row r="173" spans="1:2" x14ac:dyDescent="0.15">
      <c r="A173" s="3" t="s">
        <v>417</v>
      </c>
      <c r="B173" s="68">
        <f>B167/B169</f>
        <v>6.4724919093851057</v>
      </c>
    </row>
    <row r="175" spans="1:2" ht="15" x14ac:dyDescent="0.15">
      <c r="A175" s="8" t="s">
        <v>1516</v>
      </c>
    </row>
    <row r="176" spans="1:2" x14ac:dyDescent="0.15">
      <c r="A176" s="3" t="s">
        <v>419</v>
      </c>
      <c r="B176" s="166">
        <v>12000</v>
      </c>
    </row>
    <row r="177" spans="1:4" x14ac:dyDescent="0.15">
      <c r="A177" s="3" t="s">
        <v>411</v>
      </c>
      <c r="B177" s="80">
        <v>0.03</v>
      </c>
    </row>
    <row r="178" spans="1:4" x14ac:dyDescent="0.15">
      <c r="A178" s="3" t="s">
        <v>356</v>
      </c>
      <c r="B178" s="80">
        <v>7.0000000000000007E-2</v>
      </c>
    </row>
    <row r="180" spans="1:4" x14ac:dyDescent="0.15">
      <c r="A180" s="3" t="s">
        <v>420</v>
      </c>
      <c r="B180" s="166">
        <f>B176/(B178-B177)</f>
        <v>299999.99999999994</v>
      </c>
    </row>
    <row r="182" spans="1:4" ht="15" x14ac:dyDescent="0.15">
      <c r="A182" s="8" t="s">
        <v>1517</v>
      </c>
    </row>
    <row r="183" spans="1:4" x14ac:dyDescent="0.15">
      <c r="A183" s="3" t="s">
        <v>421</v>
      </c>
      <c r="B183" s="166">
        <v>50000</v>
      </c>
    </row>
    <row r="184" spans="1:4" x14ac:dyDescent="0.15">
      <c r="A184" s="3" t="s">
        <v>411</v>
      </c>
      <c r="B184" s="80">
        <v>0.03</v>
      </c>
    </row>
    <row r="185" spans="1:4" x14ac:dyDescent="0.15">
      <c r="D185" s="189"/>
    </row>
    <row r="186" spans="1:4" x14ac:dyDescent="0.15">
      <c r="A186" s="3" t="s">
        <v>423</v>
      </c>
      <c r="B186" s="3">
        <v>2</v>
      </c>
      <c r="D186" s="189"/>
    </row>
    <row r="187" spans="1:4" x14ac:dyDescent="0.15">
      <c r="A187" s="3" t="s">
        <v>422</v>
      </c>
      <c r="B187" s="166">
        <v>65000</v>
      </c>
    </row>
    <row r="188" spans="1:4" x14ac:dyDescent="0.15">
      <c r="A188" s="3" t="s">
        <v>411</v>
      </c>
      <c r="B188" s="80">
        <v>0.05</v>
      </c>
    </row>
    <row r="189" spans="1:4" x14ac:dyDescent="0.15">
      <c r="A189" s="3" t="s">
        <v>427</v>
      </c>
      <c r="B189" s="166">
        <v>50000</v>
      </c>
    </row>
    <row r="191" spans="1:4" x14ac:dyDescent="0.15">
      <c r="A191" s="3" t="s">
        <v>639</v>
      </c>
      <c r="B191" s="3">
        <v>40</v>
      </c>
    </row>
    <row r="192" spans="1:4" x14ac:dyDescent="0.15">
      <c r="A192" s="3" t="s">
        <v>424</v>
      </c>
      <c r="B192" s="80">
        <v>0.03</v>
      </c>
    </row>
    <row r="194" spans="1:52" x14ac:dyDescent="0.15">
      <c r="A194" s="3" t="s">
        <v>425</v>
      </c>
      <c r="B194" s="166">
        <f>B183*B191/(1+B192)</f>
        <v>1941747.572815534</v>
      </c>
    </row>
    <row r="195" spans="1:52" x14ac:dyDescent="0.15">
      <c r="A195" s="3" t="s">
        <v>426</v>
      </c>
      <c r="B195" s="166">
        <f>B187/(B192-B188)*(1-POWER((1+B188)/(1+B192),B191-B186))/POWER(1+B192,B186)-B189</f>
        <v>3248476.4660042902</v>
      </c>
    </row>
    <row r="196" spans="1:52" x14ac:dyDescent="0.15">
      <c r="A196" s="3" t="s">
        <v>428</v>
      </c>
      <c r="B196" s="166">
        <f>B195-B194</f>
        <v>1306728.8931887562</v>
      </c>
    </row>
    <row r="198" spans="1:52" ht="15" x14ac:dyDescent="0.15">
      <c r="A198" s="8" t="s">
        <v>1518</v>
      </c>
    </row>
    <row r="200" spans="1:52" x14ac:dyDescent="0.15">
      <c r="A200" s="3" t="s">
        <v>395</v>
      </c>
      <c r="B200" s="3">
        <v>1200</v>
      </c>
    </row>
    <row r="201" spans="1:52" x14ac:dyDescent="0.15">
      <c r="A201" s="3" t="s">
        <v>359</v>
      </c>
      <c r="B201" s="3">
        <v>40</v>
      </c>
    </row>
    <row r="202" spans="1:52" x14ac:dyDescent="0.15">
      <c r="A202" s="3" t="s">
        <v>356</v>
      </c>
      <c r="B202" s="80">
        <v>0.04</v>
      </c>
    </row>
    <row r="203" spans="1:52" x14ac:dyDescent="0.15">
      <c r="B203" s="80"/>
    </row>
    <row r="204" spans="1:52" x14ac:dyDescent="0.15">
      <c r="A204" s="3" t="s">
        <v>952</v>
      </c>
      <c r="B204" s="263">
        <v>25</v>
      </c>
      <c r="C204" s="3">
        <f t="shared" ref="C204:AP204" si="4">B204+1</f>
        <v>26</v>
      </c>
      <c r="D204" s="3">
        <f t="shared" si="4"/>
        <v>27</v>
      </c>
      <c r="E204" s="3">
        <f t="shared" si="4"/>
        <v>28</v>
      </c>
      <c r="F204" s="3">
        <f t="shared" si="4"/>
        <v>29</v>
      </c>
      <c r="G204" s="3">
        <f t="shared" si="4"/>
        <v>30</v>
      </c>
      <c r="H204" s="3">
        <f t="shared" si="4"/>
        <v>31</v>
      </c>
      <c r="I204" s="3">
        <f t="shared" si="4"/>
        <v>32</v>
      </c>
      <c r="J204" s="3">
        <f t="shared" si="4"/>
        <v>33</v>
      </c>
      <c r="K204" s="3">
        <f t="shared" si="4"/>
        <v>34</v>
      </c>
      <c r="L204" s="3">
        <f t="shared" si="4"/>
        <v>35</v>
      </c>
      <c r="M204" s="3">
        <f t="shared" si="4"/>
        <v>36</v>
      </c>
      <c r="N204" s="3">
        <f t="shared" si="4"/>
        <v>37</v>
      </c>
      <c r="O204" s="3">
        <f t="shared" si="4"/>
        <v>38</v>
      </c>
      <c r="P204" s="3">
        <f t="shared" si="4"/>
        <v>39</v>
      </c>
      <c r="Q204" s="3">
        <f t="shared" si="4"/>
        <v>40</v>
      </c>
      <c r="R204" s="3">
        <f t="shared" si="4"/>
        <v>41</v>
      </c>
      <c r="S204" s="3">
        <f t="shared" si="4"/>
        <v>42</v>
      </c>
      <c r="T204" s="3">
        <f t="shared" si="4"/>
        <v>43</v>
      </c>
      <c r="U204" s="3">
        <f t="shared" si="4"/>
        <v>44</v>
      </c>
      <c r="V204" s="3">
        <f t="shared" si="4"/>
        <v>45</v>
      </c>
      <c r="W204" s="3">
        <f t="shared" si="4"/>
        <v>46</v>
      </c>
      <c r="X204" s="3">
        <f t="shared" si="4"/>
        <v>47</v>
      </c>
      <c r="Y204" s="3">
        <f t="shared" si="4"/>
        <v>48</v>
      </c>
      <c r="Z204" s="3">
        <f t="shared" si="4"/>
        <v>49</v>
      </c>
      <c r="AA204" s="3">
        <f t="shared" si="4"/>
        <v>50</v>
      </c>
      <c r="AB204" s="3">
        <f t="shared" si="4"/>
        <v>51</v>
      </c>
      <c r="AC204" s="3">
        <f t="shared" si="4"/>
        <v>52</v>
      </c>
      <c r="AD204" s="3">
        <f t="shared" si="4"/>
        <v>53</v>
      </c>
      <c r="AE204" s="3">
        <f t="shared" si="4"/>
        <v>54</v>
      </c>
      <c r="AF204" s="3">
        <f t="shared" si="4"/>
        <v>55</v>
      </c>
      <c r="AG204" s="3">
        <f t="shared" si="4"/>
        <v>56</v>
      </c>
      <c r="AH204" s="3">
        <f t="shared" si="4"/>
        <v>57</v>
      </c>
      <c r="AI204" s="3">
        <f t="shared" si="4"/>
        <v>58</v>
      </c>
      <c r="AJ204" s="3">
        <f t="shared" si="4"/>
        <v>59</v>
      </c>
      <c r="AK204" s="3">
        <f t="shared" si="4"/>
        <v>60</v>
      </c>
      <c r="AL204" s="3">
        <f t="shared" si="4"/>
        <v>61</v>
      </c>
      <c r="AM204" s="3">
        <f t="shared" si="4"/>
        <v>62</v>
      </c>
      <c r="AN204" s="3">
        <f t="shared" si="4"/>
        <v>63</v>
      </c>
      <c r="AO204" s="3">
        <f t="shared" si="4"/>
        <v>64</v>
      </c>
      <c r="AP204" s="3">
        <f t="shared" si="4"/>
        <v>65</v>
      </c>
    </row>
    <row r="205" spans="1:52" x14ac:dyDescent="0.15">
      <c r="A205" s="3" t="s">
        <v>955</v>
      </c>
      <c r="B205" s="3">
        <f>B201</f>
        <v>40</v>
      </c>
      <c r="C205" s="3">
        <f t="shared" ref="C205:AP205" si="5">B205-1</f>
        <v>39</v>
      </c>
      <c r="D205" s="3">
        <f t="shared" si="5"/>
        <v>38</v>
      </c>
      <c r="E205" s="3">
        <f t="shared" si="5"/>
        <v>37</v>
      </c>
      <c r="F205" s="3">
        <f t="shared" si="5"/>
        <v>36</v>
      </c>
      <c r="G205" s="3">
        <f t="shared" si="5"/>
        <v>35</v>
      </c>
      <c r="H205" s="3">
        <f t="shared" si="5"/>
        <v>34</v>
      </c>
      <c r="I205" s="3">
        <f t="shared" si="5"/>
        <v>33</v>
      </c>
      <c r="J205" s="3">
        <f t="shared" si="5"/>
        <v>32</v>
      </c>
      <c r="K205" s="3">
        <f t="shared" si="5"/>
        <v>31</v>
      </c>
      <c r="L205" s="3">
        <f t="shared" si="5"/>
        <v>30</v>
      </c>
      <c r="M205" s="3">
        <f t="shared" si="5"/>
        <v>29</v>
      </c>
      <c r="N205" s="3">
        <f t="shared" si="5"/>
        <v>28</v>
      </c>
      <c r="O205" s="3">
        <f t="shared" si="5"/>
        <v>27</v>
      </c>
      <c r="P205" s="3">
        <f t="shared" si="5"/>
        <v>26</v>
      </c>
      <c r="Q205" s="3">
        <f t="shared" si="5"/>
        <v>25</v>
      </c>
      <c r="R205" s="3">
        <f t="shared" si="5"/>
        <v>24</v>
      </c>
      <c r="S205" s="3">
        <f t="shared" si="5"/>
        <v>23</v>
      </c>
      <c r="T205" s="3">
        <f t="shared" si="5"/>
        <v>22</v>
      </c>
      <c r="U205" s="3">
        <f t="shared" si="5"/>
        <v>21</v>
      </c>
      <c r="V205" s="3">
        <f t="shared" si="5"/>
        <v>20</v>
      </c>
      <c r="W205" s="3">
        <f t="shared" si="5"/>
        <v>19</v>
      </c>
      <c r="X205" s="3">
        <f t="shared" si="5"/>
        <v>18</v>
      </c>
      <c r="Y205" s="3">
        <f t="shared" si="5"/>
        <v>17</v>
      </c>
      <c r="Z205" s="3">
        <f t="shared" si="5"/>
        <v>16</v>
      </c>
      <c r="AA205" s="3">
        <f t="shared" si="5"/>
        <v>15</v>
      </c>
      <c r="AB205" s="3">
        <f t="shared" si="5"/>
        <v>14</v>
      </c>
      <c r="AC205" s="3">
        <f t="shared" si="5"/>
        <v>13</v>
      </c>
      <c r="AD205" s="3">
        <f t="shared" si="5"/>
        <v>12</v>
      </c>
      <c r="AE205" s="3">
        <f t="shared" si="5"/>
        <v>11</v>
      </c>
      <c r="AF205" s="3">
        <f t="shared" si="5"/>
        <v>10</v>
      </c>
      <c r="AG205" s="3">
        <f t="shared" si="5"/>
        <v>9</v>
      </c>
      <c r="AH205" s="3">
        <f t="shared" si="5"/>
        <v>8</v>
      </c>
      <c r="AI205" s="3">
        <f t="shared" si="5"/>
        <v>7</v>
      </c>
      <c r="AJ205" s="3">
        <f t="shared" si="5"/>
        <v>6</v>
      </c>
      <c r="AK205" s="3">
        <f t="shared" si="5"/>
        <v>5</v>
      </c>
      <c r="AL205" s="3">
        <f t="shared" si="5"/>
        <v>4</v>
      </c>
      <c r="AM205" s="3">
        <f t="shared" si="5"/>
        <v>3</v>
      </c>
      <c r="AN205" s="3">
        <f t="shared" si="5"/>
        <v>2</v>
      </c>
      <c r="AO205" s="3">
        <f t="shared" si="5"/>
        <v>1</v>
      </c>
      <c r="AP205" s="3">
        <f t="shared" si="5"/>
        <v>0</v>
      </c>
    </row>
    <row r="206" spans="1:52" x14ac:dyDescent="0.15">
      <c r="A206" s="3" t="s">
        <v>953</v>
      </c>
      <c r="B206" s="13">
        <f t="shared" ref="B206:AP206" si="6">$B200*(1+$B202)^B205</f>
        <v>5761.2247535239912</v>
      </c>
      <c r="C206" s="13">
        <f t="shared" si="6"/>
        <v>5539.6391860807589</v>
      </c>
      <c r="D206" s="13">
        <f t="shared" si="6"/>
        <v>5326.576140462269</v>
      </c>
      <c r="E206" s="13">
        <f t="shared" si="6"/>
        <v>5121.707827367567</v>
      </c>
      <c r="F206" s="13">
        <f t="shared" si="6"/>
        <v>4924.7190647765055</v>
      </c>
      <c r="G206" s="13">
        <f t="shared" si="6"/>
        <v>4735.306793054332</v>
      </c>
      <c r="H206" s="13">
        <f t="shared" si="6"/>
        <v>4553.1796087060884</v>
      </c>
      <c r="I206" s="13">
        <f t="shared" si="6"/>
        <v>4378.0573160635458</v>
      </c>
      <c r="J206" s="13">
        <f t="shared" si="6"/>
        <v>4209.6704962149479</v>
      </c>
      <c r="K206" s="13">
        <f t="shared" si="6"/>
        <v>4047.7600925143729</v>
      </c>
      <c r="L206" s="13">
        <f t="shared" si="6"/>
        <v>3892.0770120330508</v>
      </c>
      <c r="M206" s="13">
        <f t="shared" si="6"/>
        <v>3742.3817423394721</v>
      </c>
      <c r="N206" s="13">
        <f t="shared" si="6"/>
        <v>3598.4439830187234</v>
      </c>
      <c r="O206" s="13">
        <f t="shared" si="6"/>
        <v>3460.0422913641564</v>
      </c>
      <c r="P206" s="13">
        <f t="shared" si="6"/>
        <v>3326.9637416963042</v>
      </c>
      <c r="Q206" s="13">
        <f t="shared" si="6"/>
        <v>3199.0035977849079</v>
      </c>
      <c r="R206" s="13">
        <f t="shared" si="6"/>
        <v>3075.9649978701032</v>
      </c>
      <c r="S206" s="13">
        <f t="shared" si="6"/>
        <v>2957.6586517981759</v>
      </c>
      <c r="T206" s="13">
        <f t="shared" si="6"/>
        <v>2843.9025498059386</v>
      </c>
      <c r="U206" s="13">
        <f t="shared" si="6"/>
        <v>2734.5216825057105</v>
      </c>
      <c r="V206" s="13">
        <f t="shared" si="6"/>
        <v>2629.3477716401053</v>
      </c>
      <c r="W206" s="13">
        <f t="shared" si="6"/>
        <v>2528.2190111924092</v>
      </c>
      <c r="X206" s="13">
        <f t="shared" si="6"/>
        <v>2430.9798184542396</v>
      </c>
      <c r="Y206" s="13">
        <f t="shared" si="6"/>
        <v>2337.4805946675378</v>
      </c>
      <c r="Z206" s="13">
        <f t="shared" si="6"/>
        <v>2247.5774948726325</v>
      </c>
      <c r="AA206" s="13">
        <f t="shared" si="6"/>
        <v>2161.1322066083003</v>
      </c>
      <c r="AB206" s="13">
        <f t="shared" si="6"/>
        <v>2078.0117371233655</v>
      </c>
      <c r="AC206" s="13">
        <f t="shared" si="6"/>
        <v>1998.0882087724669</v>
      </c>
      <c r="AD206" s="13">
        <f t="shared" si="6"/>
        <v>1921.238662281218</v>
      </c>
      <c r="AE206" s="13">
        <f t="shared" si="6"/>
        <v>1847.344867578094</v>
      </c>
      <c r="AF206" s="13">
        <f t="shared" si="6"/>
        <v>1776.2931419020135</v>
      </c>
      <c r="AG206" s="13">
        <f t="shared" si="6"/>
        <v>1707.9741749057823</v>
      </c>
      <c r="AH206" s="13">
        <f t="shared" si="6"/>
        <v>1642.2828604863289</v>
      </c>
      <c r="AI206" s="13">
        <f t="shared" si="6"/>
        <v>1579.1181350830084</v>
      </c>
      <c r="AJ206" s="13">
        <f t="shared" si="6"/>
        <v>1518.3828221952003</v>
      </c>
      <c r="AK206" s="13">
        <f t="shared" si="6"/>
        <v>1459.9834828800003</v>
      </c>
      <c r="AL206" s="13">
        <f t="shared" si="6"/>
        <v>1403.8302720000002</v>
      </c>
      <c r="AM206" s="13">
        <f t="shared" si="6"/>
        <v>1349.8368</v>
      </c>
      <c r="AN206" s="13">
        <f t="shared" si="6"/>
        <v>1297.92</v>
      </c>
      <c r="AO206" s="13">
        <f t="shared" si="6"/>
        <v>1248</v>
      </c>
      <c r="AP206" s="13">
        <f t="shared" si="6"/>
        <v>1200</v>
      </c>
      <c r="AQ206" s="13"/>
      <c r="AR206" s="13"/>
      <c r="AS206" s="13"/>
      <c r="AT206" s="13"/>
      <c r="AU206" s="13"/>
      <c r="AV206" s="13"/>
      <c r="AW206" s="13"/>
      <c r="AX206" s="13"/>
      <c r="AY206" s="13"/>
      <c r="AZ206" s="13"/>
    </row>
    <row r="207" spans="1:52" x14ac:dyDescent="0.15">
      <c r="A207" s="3" t="s">
        <v>954</v>
      </c>
      <c r="B207" s="13">
        <f>B206</f>
        <v>5761.2247535239912</v>
      </c>
      <c r="C207" s="13">
        <f t="shared" ref="C207:AP207" si="7">B207+C206</f>
        <v>11300.863939604751</v>
      </c>
      <c r="D207" s="13">
        <f t="shared" si="7"/>
        <v>16627.440080067019</v>
      </c>
      <c r="E207" s="13">
        <f t="shared" si="7"/>
        <v>21749.147907434584</v>
      </c>
      <c r="F207" s="13">
        <f t="shared" si="7"/>
        <v>26673.86697221109</v>
      </c>
      <c r="G207" s="13">
        <f t="shared" si="7"/>
        <v>31409.173765265423</v>
      </c>
      <c r="H207" s="13">
        <f t="shared" si="7"/>
        <v>35962.353373971513</v>
      </c>
      <c r="I207" s="13">
        <f t="shared" si="7"/>
        <v>40340.41069003506</v>
      </c>
      <c r="J207" s="13">
        <f t="shared" si="7"/>
        <v>44550.081186250005</v>
      </c>
      <c r="K207" s="13">
        <f t="shared" si="7"/>
        <v>48597.841278764376</v>
      </c>
      <c r="L207" s="13">
        <f t="shared" si="7"/>
        <v>52489.918290797425</v>
      </c>
      <c r="M207" s="13">
        <f t="shared" si="7"/>
        <v>56232.300033136897</v>
      </c>
      <c r="N207" s="13">
        <f t="shared" si="7"/>
        <v>59830.744016155622</v>
      </c>
      <c r="O207" s="13">
        <f t="shared" si="7"/>
        <v>63290.786307519782</v>
      </c>
      <c r="P207" s="13">
        <f t="shared" si="7"/>
        <v>66617.750049216091</v>
      </c>
      <c r="Q207" s="13">
        <f t="shared" si="7"/>
        <v>69816.753647000995</v>
      </c>
      <c r="R207" s="13">
        <f t="shared" si="7"/>
        <v>72892.7186448711</v>
      </c>
      <c r="S207" s="13">
        <f t="shared" si="7"/>
        <v>75850.377296669278</v>
      </c>
      <c r="T207" s="13">
        <f t="shared" si="7"/>
        <v>78694.279846475212</v>
      </c>
      <c r="U207" s="13">
        <f t="shared" si="7"/>
        <v>81428.801528980926</v>
      </c>
      <c r="V207" s="13">
        <f t="shared" si="7"/>
        <v>84058.149300621037</v>
      </c>
      <c r="W207" s="13">
        <f t="shared" si="7"/>
        <v>86586.36831181345</v>
      </c>
      <c r="X207" s="13">
        <f t="shared" si="7"/>
        <v>89017.348130267696</v>
      </c>
      <c r="Y207" s="13">
        <f t="shared" si="7"/>
        <v>91354.828724935229</v>
      </c>
      <c r="Z207" s="13">
        <f t="shared" si="7"/>
        <v>93602.406219807861</v>
      </c>
      <c r="AA207" s="13">
        <f t="shared" si="7"/>
        <v>95763.538426416155</v>
      </c>
      <c r="AB207" s="13">
        <f t="shared" si="7"/>
        <v>97841.550163539519</v>
      </c>
      <c r="AC207" s="13">
        <f t="shared" si="7"/>
        <v>99839.63837231198</v>
      </c>
      <c r="AD207" s="13">
        <f t="shared" si="7"/>
        <v>101760.8770345932</v>
      </c>
      <c r="AE207" s="13">
        <f t="shared" si="7"/>
        <v>103608.2219021713</v>
      </c>
      <c r="AF207" s="13">
        <f t="shared" si="7"/>
        <v>105384.51504407331</v>
      </c>
      <c r="AG207" s="13">
        <f t="shared" si="7"/>
        <v>107092.4892189791</v>
      </c>
      <c r="AH207" s="13">
        <f t="shared" si="7"/>
        <v>108734.77207946543</v>
      </c>
      <c r="AI207" s="13">
        <f t="shared" si="7"/>
        <v>110313.89021454845</v>
      </c>
      <c r="AJ207" s="13">
        <f t="shared" si="7"/>
        <v>111832.27303674365</v>
      </c>
      <c r="AK207" s="13">
        <f t="shared" si="7"/>
        <v>113292.25651962364</v>
      </c>
      <c r="AL207" s="13">
        <f t="shared" si="7"/>
        <v>114696.08679162365</v>
      </c>
      <c r="AM207" s="13">
        <f t="shared" si="7"/>
        <v>116045.92359162365</v>
      </c>
      <c r="AN207" s="13">
        <f t="shared" si="7"/>
        <v>117343.84359162365</v>
      </c>
      <c r="AO207" s="13">
        <f t="shared" si="7"/>
        <v>118591.84359162365</v>
      </c>
      <c r="AP207" s="13">
        <f t="shared" si="7"/>
        <v>119791.84359162365</v>
      </c>
      <c r="AQ207" s="13"/>
      <c r="AR207" s="13"/>
      <c r="AS207" s="13"/>
      <c r="AT207" s="13"/>
      <c r="AU207" s="13"/>
      <c r="AV207" s="13"/>
      <c r="AW207" s="13"/>
      <c r="AX207" s="13"/>
      <c r="AY207" s="13"/>
      <c r="AZ207" s="13"/>
    </row>
    <row r="208" spans="1:52" x14ac:dyDescent="0.15">
      <c r="B208" s="80"/>
    </row>
    <row r="210" spans="1:48" x14ac:dyDescent="0.15">
      <c r="A210" s="3" t="s">
        <v>466</v>
      </c>
      <c r="B210" s="264">
        <f>AP207</f>
        <v>119791.84359162365</v>
      </c>
    </row>
    <row r="213" spans="1:48" x14ac:dyDescent="0.15">
      <c r="A213" s="3" t="s">
        <v>956</v>
      </c>
      <c r="B213" s="264">
        <v>200000</v>
      </c>
      <c r="C213" s="3" t="s">
        <v>958</v>
      </c>
      <c r="F213" s="264">
        <f>B213/B210*B200</f>
        <v>2003.4753018592146</v>
      </c>
      <c r="G213" s="3" t="s">
        <v>957</v>
      </c>
    </row>
    <row r="215" spans="1:48" x14ac:dyDescent="0.15">
      <c r="A215" s="3" t="s">
        <v>395</v>
      </c>
      <c r="B215" s="3">
        <v>1200</v>
      </c>
    </row>
    <row r="216" spans="1:48" x14ac:dyDescent="0.15">
      <c r="A216" s="3" t="s">
        <v>359</v>
      </c>
      <c r="B216" s="3">
        <v>40</v>
      </c>
    </row>
    <row r="217" spans="1:48" x14ac:dyDescent="0.15">
      <c r="A217" s="3" t="s">
        <v>356</v>
      </c>
      <c r="B217" s="55">
        <v>6.03765E-2</v>
      </c>
    </row>
    <row r="218" spans="1:48" x14ac:dyDescent="0.15">
      <c r="B218" s="80"/>
    </row>
    <row r="219" spans="1:48" x14ac:dyDescent="0.15">
      <c r="A219" s="3" t="s">
        <v>952</v>
      </c>
      <c r="B219" s="263">
        <v>25</v>
      </c>
      <c r="C219" s="3">
        <f t="shared" ref="C219:AP219" si="8">B219+1</f>
        <v>26</v>
      </c>
      <c r="D219" s="3">
        <f t="shared" si="8"/>
        <v>27</v>
      </c>
      <c r="E219" s="3">
        <f t="shared" si="8"/>
        <v>28</v>
      </c>
      <c r="F219" s="3">
        <f t="shared" si="8"/>
        <v>29</v>
      </c>
      <c r="G219" s="3">
        <f t="shared" si="8"/>
        <v>30</v>
      </c>
      <c r="H219" s="3">
        <f t="shared" si="8"/>
        <v>31</v>
      </c>
      <c r="I219" s="3">
        <f t="shared" si="8"/>
        <v>32</v>
      </c>
      <c r="J219" s="3">
        <f t="shared" si="8"/>
        <v>33</v>
      </c>
      <c r="K219" s="3">
        <f t="shared" si="8"/>
        <v>34</v>
      </c>
      <c r="L219" s="3">
        <f t="shared" si="8"/>
        <v>35</v>
      </c>
      <c r="M219" s="3">
        <f t="shared" si="8"/>
        <v>36</v>
      </c>
      <c r="N219" s="3">
        <f t="shared" si="8"/>
        <v>37</v>
      </c>
      <c r="O219" s="3">
        <f t="shared" si="8"/>
        <v>38</v>
      </c>
      <c r="P219" s="3">
        <f t="shared" si="8"/>
        <v>39</v>
      </c>
      <c r="Q219" s="3">
        <f t="shared" si="8"/>
        <v>40</v>
      </c>
      <c r="R219" s="3">
        <f t="shared" si="8"/>
        <v>41</v>
      </c>
      <c r="S219" s="3">
        <f t="shared" si="8"/>
        <v>42</v>
      </c>
      <c r="T219" s="3">
        <f t="shared" si="8"/>
        <v>43</v>
      </c>
      <c r="U219" s="3">
        <f t="shared" si="8"/>
        <v>44</v>
      </c>
      <c r="V219" s="3">
        <f t="shared" si="8"/>
        <v>45</v>
      </c>
      <c r="W219" s="3">
        <f t="shared" si="8"/>
        <v>46</v>
      </c>
      <c r="X219" s="3">
        <f t="shared" si="8"/>
        <v>47</v>
      </c>
      <c r="Y219" s="3">
        <f t="shared" si="8"/>
        <v>48</v>
      </c>
      <c r="Z219" s="3">
        <f t="shared" si="8"/>
        <v>49</v>
      </c>
      <c r="AA219" s="3">
        <f t="shared" si="8"/>
        <v>50</v>
      </c>
      <c r="AB219" s="3">
        <f t="shared" si="8"/>
        <v>51</v>
      </c>
      <c r="AC219" s="3">
        <f t="shared" si="8"/>
        <v>52</v>
      </c>
      <c r="AD219" s="3">
        <f t="shared" si="8"/>
        <v>53</v>
      </c>
      <c r="AE219" s="3">
        <f t="shared" si="8"/>
        <v>54</v>
      </c>
      <c r="AF219" s="3">
        <f t="shared" si="8"/>
        <v>55</v>
      </c>
      <c r="AG219" s="3">
        <f t="shared" si="8"/>
        <v>56</v>
      </c>
      <c r="AH219" s="3">
        <f t="shared" si="8"/>
        <v>57</v>
      </c>
      <c r="AI219" s="3">
        <f t="shared" si="8"/>
        <v>58</v>
      </c>
      <c r="AJ219" s="3">
        <f t="shared" si="8"/>
        <v>59</v>
      </c>
      <c r="AK219" s="3">
        <f t="shared" si="8"/>
        <v>60</v>
      </c>
      <c r="AL219" s="3">
        <f t="shared" si="8"/>
        <v>61</v>
      </c>
      <c r="AM219" s="3">
        <f t="shared" si="8"/>
        <v>62</v>
      </c>
      <c r="AN219" s="3">
        <f t="shared" si="8"/>
        <v>63</v>
      </c>
      <c r="AO219" s="3">
        <f t="shared" si="8"/>
        <v>64</v>
      </c>
      <c r="AP219" s="3">
        <f t="shared" si="8"/>
        <v>65</v>
      </c>
    </row>
    <row r="220" spans="1:48" x14ac:dyDescent="0.15">
      <c r="A220" s="3" t="s">
        <v>955</v>
      </c>
      <c r="B220" s="3">
        <f>B216</f>
        <v>40</v>
      </c>
      <c r="C220" s="3">
        <f t="shared" ref="C220:AP220" si="9">B220-1</f>
        <v>39</v>
      </c>
      <c r="D220" s="3">
        <f t="shared" si="9"/>
        <v>38</v>
      </c>
      <c r="E220" s="3">
        <f t="shared" si="9"/>
        <v>37</v>
      </c>
      <c r="F220" s="3">
        <f t="shared" si="9"/>
        <v>36</v>
      </c>
      <c r="G220" s="3">
        <f t="shared" si="9"/>
        <v>35</v>
      </c>
      <c r="H220" s="3">
        <f t="shared" si="9"/>
        <v>34</v>
      </c>
      <c r="I220" s="3">
        <f t="shared" si="9"/>
        <v>33</v>
      </c>
      <c r="J220" s="3">
        <f t="shared" si="9"/>
        <v>32</v>
      </c>
      <c r="K220" s="3">
        <f t="shared" si="9"/>
        <v>31</v>
      </c>
      <c r="L220" s="3">
        <f t="shared" si="9"/>
        <v>30</v>
      </c>
      <c r="M220" s="3">
        <f t="shared" si="9"/>
        <v>29</v>
      </c>
      <c r="N220" s="3">
        <f t="shared" si="9"/>
        <v>28</v>
      </c>
      <c r="O220" s="3">
        <f t="shared" si="9"/>
        <v>27</v>
      </c>
      <c r="P220" s="3">
        <f t="shared" si="9"/>
        <v>26</v>
      </c>
      <c r="Q220" s="3">
        <f t="shared" si="9"/>
        <v>25</v>
      </c>
      <c r="R220" s="3">
        <f t="shared" si="9"/>
        <v>24</v>
      </c>
      <c r="S220" s="3">
        <f t="shared" si="9"/>
        <v>23</v>
      </c>
      <c r="T220" s="3">
        <f t="shared" si="9"/>
        <v>22</v>
      </c>
      <c r="U220" s="3">
        <f t="shared" si="9"/>
        <v>21</v>
      </c>
      <c r="V220" s="3">
        <f t="shared" si="9"/>
        <v>20</v>
      </c>
      <c r="W220" s="3">
        <f t="shared" si="9"/>
        <v>19</v>
      </c>
      <c r="X220" s="3">
        <f t="shared" si="9"/>
        <v>18</v>
      </c>
      <c r="Y220" s="3">
        <f t="shared" si="9"/>
        <v>17</v>
      </c>
      <c r="Z220" s="3">
        <f t="shared" si="9"/>
        <v>16</v>
      </c>
      <c r="AA220" s="3">
        <f t="shared" si="9"/>
        <v>15</v>
      </c>
      <c r="AB220" s="3">
        <f t="shared" si="9"/>
        <v>14</v>
      </c>
      <c r="AC220" s="3">
        <f t="shared" si="9"/>
        <v>13</v>
      </c>
      <c r="AD220" s="3">
        <f t="shared" si="9"/>
        <v>12</v>
      </c>
      <c r="AE220" s="3">
        <f t="shared" si="9"/>
        <v>11</v>
      </c>
      <c r="AF220" s="3">
        <f t="shared" si="9"/>
        <v>10</v>
      </c>
      <c r="AG220" s="3">
        <f t="shared" si="9"/>
        <v>9</v>
      </c>
      <c r="AH220" s="3">
        <f t="shared" si="9"/>
        <v>8</v>
      </c>
      <c r="AI220" s="3">
        <f t="shared" si="9"/>
        <v>7</v>
      </c>
      <c r="AJ220" s="3">
        <f t="shared" si="9"/>
        <v>6</v>
      </c>
      <c r="AK220" s="3">
        <f t="shared" si="9"/>
        <v>5</v>
      </c>
      <c r="AL220" s="3">
        <f t="shared" si="9"/>
        <v>4</v>
      </c>
      <c r="AM220" s="3">
        <f t="shared" si="9"/>
        <v>3</v>
      </c>
      <c r="AN220" s="3">
        <f t="shared" si="9"/>
        <v>2</v>
      </c>
      <c r="AO220" s="3">
        <f t="shared" si="9"/>
        <v>1</v>
      </c>
      <c r="AP220" s="3">
        <f t="shared" si="9"/>
        <v>0</v>
      </c>
    </row>
    <row r="221" spans="1:48" x14ac:dyDescent="0.15">
      <c r="A221" s="3" t="s">
        <v>953</v>
      </c>
      <c r="B221" s="13">
        <f t="shared" ref="B221:AP221" si="10">$B215*(1+$B217)^B220</f>
        <v>12519.443381539419</v>
      </c>
      <c r="C221" s="13">
        <f t="shared" si="10"/>
        <v>11806.602071565541</v>
      </c>
      <c r="D221" s="13">
        <f t="shared" si="10"/>
        <v>11134.349046367528</v>
      </c>
      <c r="E221" s="13">
        <f t="shared" si="10"/>
        <v>10500.373260221751</v>
      </c>
      <c r="F221" s="13">
        <f t="shared" si="10"/>
        <v>9902.4952554321517</v>
      </c>
      <c r="G221" s="13">
        <f t="shared" si="10"/>
        <v>9338.6596698740013</v>
      </c>
      <c r="H221" s="13">
        <f t="shared" si="10"/>
        <v>8806.9281711486437</v>
      </c>
      <c r="I221" s="13">
        <f t="shared" si="10"/>
        <v>8305.472793058545</v>
      </c>
      <c r="J221" s="13">
        <f t="shared" si="10"/>
        <v>7832.5696514950532</v>
      </c>
      <c r="K221" s="13">
        <f t="shared" si="10"/>
        <v>7386.5930181355898</v>
      </c>
      <c r="L221" s="13">
        <f t="shared" si="10"/>
        <v>6966.0097315770272</v>
      </c>
      <c r="M221" s="13">
        <f t="shared" si="10"/>
        <v>6569.3739266921011</v>
      </c>
      <c r="N221" s="13">
        <f t="shared" si="10"/>
        <v>6195.3220640895952</v>
      </c>
      <c r="O221" s="13">
        <f t="shared" si="10"/>
        <v>5842.5682425908108</v>
      </c>
      <c r="P221" s="13">
        <f t="shared" si="10"/>
        <v>5509.8997786077025</v>
      </c>
      <c r="Q221" s="13">
        <f t="shared" si="10"/>
        <v>5196.1730372256479</v>
      </c>
      <c r="R221" s="13">
        <f t="shared" si="10"/>
        <v>4900.3095006591029</v>
      </c>
      <c r="S221" s="13">
        <f t="shared" si="10"/>
        <v>4621.292060564434</v>
      </c>
      <c r="T221" s="13">
        <f t="shared" si="10"/>
        <v>4358.161521463775</v>
      </c>
      <c r="U221" s="13">
        <f t="shared" si="10"/>
        <v>4110.0133032595268</v>
      </c>
      <c r="V221" s="13">
        <f t="shared" si="10"/>
        <v>3875.9943315035048</v>
      </c>
      <c r="W221" s="13">
        <f t="shared" si="10"/>
        <v>3655.3001047302578</v>
      </c>
      <c r="X221" s="13">
        <f t="shared" si="10"/>
        <v>3447.1719287727119</v>
      </c>
      <c r="Y221" s="13">
        <f t="shared" si="10"/>
        <v>3250.8943085523979</v>
      </c>
      <c r="Z221" s="13">
        <f t="shared" si="10"/>
        <v>3065.7924883778524</v>
      </c>
      <c r="AA221" s="13">
        <f t="shared" si="10"/>
        <v>2891.2301322953235</v>
      </c>
      <c r="AB221" s="13">
        <f t="shared" si="10"/>
        <v>2726.6071365173812</v>
      </c>
      <c r="AC221" s="13">
        <f t="shared" si="10"/>
        <v>2571.3575664090831</v>
      </c>
      <c r="AD221" s="13">
        <f t="shared" si="10"/>
        <v>2424.9477109395416</v>
      </c>
      <c r="AE221" s="13">
        <f t="shared" si="10"/>
        <v>2286.874247910569</v>
      </c>
      <c r="AF221" s="13">
        <f t="shared" si="10"/>
        <v>2156.6625136548846</v>
      </c>
      <c r="AG221" s="13">
        <f t="shared" si="10"/>
        <v>2033.8648712555253</v>
      </c>
      <c r="AH221" s="13">
        <f t="shared" si="10"/>
        <v>1918.0591716767819</v>
      </c>
      <c r="AI221" s="13">
        <f t="shared" si="10"/>
        <v>1808.8473025164005</v>
      </c>
      <c r="AJ221" s="13">
        <f t="shared" si="10"/>
        <v>1705.8538193899997</v>
      </c>
      <c r="AK221" s="13">
        <f t="shared" si="10"/>
        <v>1608.7246552427366</v>
      </c>
      <c r="AL221" s="13">
        <f t="shared" si="10"/>
        <v>1517.1259031511322</v>
      </c>
      <c r="AM221" s="13">
        <f t="shared" si="10"/>
        <v>1430.7426684306301</v>
      </c>
      <c r="AN221" s="13">
        <f t="shared" si="10"/>
        <v>1349.2779861027002</v>
      </c>
      <c r="AO221" s="13">
        <f t="shared" si="10"/>
        <v>1272.4518</v>
      </c>
      <c r="AP221" s="13">
        <f t="shared" si="10"/>
        <v>1200</v>
      </c>
      <c r="AQ221" s="13"/>
      <c r="AR221" s="13"/>
      <c r="AS221" s="13"/>
      <c r="AT221" s="13"/>
      <c r="AU221" s="13"/>
      <c r="AV221" s="13"/>
    </row>
    <row r="222" spans="1:48" x14ac:dyDescent="0.15">
      <c r="A222" s="3" t="s">
        <v>954</v>
      </c>
      <c r="B222" s="13">
        <f>B221</f>
        <v>12519.443381539419</v>
      </c>
      <c r="C222" s="13">
        <f t="shared" ref="C222:AP222" si="11">B222+C221</f>
        <v>24326.045453104962</v>
      </c>
      <c r="D222" s="13">
        <f t="shared" si="11"/>
        <v>35460.394499472488</v>
      </c>
      <c r="E222" s="13">
        <f t="shared" si="11"/>
        <v>45960.767759694238</v>
      </c>
      <c r="F222" s="13">
        <f t="shared" si="11"/>
        <v>55863.263015126387</v>
      </c>
      <c r="G222" s="13">
        <f t="shared" si="11"/>
        <v>65201.922685000391</v>
      </c>
      <c r="H222" s="13">
        <f t="shared" si="11"/>
        <v>74008.850856149031</v>
      </c>
      <c r="I222" s="13">
        <f t="shared" si="11"/>
        <v>82314.323649207581</v>
      </c>
      <c r="J222" s="13">
        <f t="shared" si="11"/>
        <v>90146.893300702635</v>
      </c>
      <c r="K222" s="13">
        <f t="shared" si="11"/>
        <v>97533.48631883823</v>
      </c>
      <c r="L222" s="13">
        <f t="shared" si="11"/>
        <v>104499.49605041526</v>
      </c>
      <c r="M222" s="13">
        <f t="shared" si="11"/>
        <v>111068.86997710736</v>
      </c>
      <c r="N222" s="13">
        <f t="shared" si="11"/>
        <v>117264.19204119695</v>
      </c>
      <c r="O222" s="13">
        <f t="shared" si="11"/>
        <v>123106.76028378776</v>
      </c>
      <c r="P222" s="13">
        <f t="shared" si="11"/>
        <v>128616.66006239547</v>
      </c>
      <c r="Q222" s="13">
        <f t="shared" si="11"/>
        <v>133812.83309962112</v>
      </c>
      <c r="R222" s="13">
        <f t="shared" si="11"/>
        <v>138713.14260028023</v>
      </c>
      <c r="S222" s="13">
        <f t="shared" si="11"/>
        <v>143334.43466084468</v>
      </c>
      <c r="T222" s="13">
        <f t="shared" si="11"/>
        <v>147692.59618230845</v>
      </c>
      <c r="U222" s="13">
        <f t="shared" si="11"/>
        <v>151802.60948556798</v>
      </c>
      <c r="V222" s="13">
        <f t="shared" si="11"/>
        <v>155678.60381707147</v>
      </c>
      <c r="W222" s="13">
        <f t="shared" si="11"/>
        <v>159333.90392180174</v>
      </c>
      <c r="X222" s="13">
        <f t="shared" si="11"/>
        <v>162781.07585057445</v>
      </c>
      <c r="Y222" s="13">
        <f t="shared" si="11"/>
        <v>166031.97015912685</v>
      </c>
      <c r="Z222" s="13">
        <f t="shared" si="11"/>
        <v>169097.76264750471</v>
      </c>
      <c r="AA222" s="13">
        <f t="shared" si="11"/>
        <v>171988.99277980003</v>
      </c>
      <c r="AB222" s="13">
        <f t="shared" si="11"/>
        <v>174715.59991631741</v>
      </c>
      <c r="AC222" s="13">
        <f t="shared" si="11"/>
        <v>177286.95748272649</v>
      </c>
      <c r="AD222" s="13">
        <f t="shared" si="11"/>
        <v>179711.90519366603</v>
      </c>
      <c r="AE222" s="13">
        <f t="shared" si="11"/>
        <v>181998.7794415766</v>
      </c>
      <c r="AF222" s="13">
        <f t="shared" si="11"/>
        <v>184155.44195523148</v>
      </c>
      <c r="AG222" s="13">
        <f t="shared" si="11"/>
        <v>186189.30682648701</v>
      </c>
      <c r="AH222" s="13">
        <f t="shared" si="11"/>
        <v>188107.36599816379</v>
      </c>
      <c r="AI222" s="13">
        <f t="shared" si="11"/>
        <v>189916.21330068019</v>
      </c>
      <c r="AJ222" s="13">
        <f t="shared" si="11"/>
        <v>191622.06712007019</v>
      </c>
      <c r="AK222" s="13">
        <f t="shared" si="11"/>
        <v>193230.79177531291</v>
      </c>
      <c r="AL222" s="13">
        <f t="shared" si="11"/>
        <v>194747.91767846406</v>
      </c>
      <c r="AM222" s="13">
        <f t="shared" si="11"/>
        <v>196178.6603468947</v>
      </c>
      <c r="AN222" s="13">
        <f t="shared" si="11"/>
        <v>197527.93833299741</v>
      </c>
      <c r="AO222" s="13">
        <f t="shared" si="11"/>
        <v>198800.39013299742</v>
      </c>
      <c r="AP222" s="13">
        <f t="shared" si="11"/>
        <v>200000.39013299742</v>
      </c>
      <c r="AQ222" s="13"/>
      <c r="AR222" s="13"/>
      <c r="AS222" s="13"/>
      <c r="AT222" s="13"/>
      <c r="AU222" s="13"/>
      <c r="AV222" s="13"/>
    </row>
    <row r="223" spans="1:48" x14ac:dyDescent="0.15">
      <c r="B223" s="80"/>
    </row>
    <row r="225" spans="1:3" x14ac:dyDescent="0.15">
      <c r="A225" s="3" t="s">
        <v>466</v>
      </c>
      <c r="B225" s="264">
        <f>AP222</f>
        <v>200000.39013299742</v>
      </c>
    </row>
    <row r="228" spans="1:3" ht="15" x14ac:dyDescent="0.15">
      <c r="A228" s="8" t="s">
        <v>1519</v>
      </c>
    </row>
    <row r="230" spans="1:3" x14ac:dyDescent="0.15">
      <c r="A230" s="3" t="s">
        <v>959</v>
      </c>
    </row>
    <row r="232" spans="1:3" ht="15" x14ac:dyDescent="0.15">
      <c r="A232" s="8" t="s">
        <v>1613</v>
      </c>
    </row>
    <row r="233" spans="1:3" x14ac:dyDescent="0.15">
      <c r="A233" s="3" t="s">
        <v>925</v>
      </c>
      <c r="B233" s="3">
        <v>0</v>
      </c>
      <c r="C233" s="3">
        <v>1</v>
      </c>
    </row>
    <row r="234" spans="1:3" x14ac:dyDescent="0.15">
      <c r="A234" s="3" t="s">
        <v>395</v>
      </c>
      <c r="B234" s="3">
        <v>0</v>
      </c>
      <c r="C234" s="3">
        <v>100</v>
      </c>
    </row>
    <row r="235" spans="1:3" x14ac:dyDescent="0.15">
      <c r="A235" s="3" t="s">
        <v>1614</v>
      </c>
      <c r="B235" s="55">
        <v>-4.0000000000000001E-3</v>
      </c>
    </row>
    <row r="236" spans="1:3" x14ac:dyDescent="0.15">
      <c r="A236" s="3" t="s">
        <v>396</v>
      </c>
      <c r="B236" s="189">
        <f>C234/(1+B235)</f>
        <v>100.40160642570281</v>
      </c>
    </row>
  </sheetData>
  <phoneticPr fontId="4" type="noConversion"/>
  <pageMargins left="0.78740157480314965" right="0.78740157480314965" top="0.98425196850393704" bottom="0.98425196850393704" header="0.51181102362204722" footer="0.51181102362204722"/>
  <pageSetup paperSize="9" scale="22" fitToHeight="4"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7">
    <pageSetUpPr fitToPage="1"/>
  </sheetPr>
  <dimension ref="A1:N213"/>
  <sheetViews>
    <sheetView showGridLines="0" workbookViewId="0">
      <selection activeCell="G14" sqref="G14"/>
    </sheetView>
  </sheetViews>
  <sheetFormatPr baseColWidth="10" defaultColWidth="11" defaultRowHeight="14" x14ac:dyDescent="0.15"/>
  <cols>
    <col min="1" max="1" width="37.83203125" style="3" customWidth="1"/>
    <col min="2" max="2" width="11.1640625" style="3" bestFit="1" customWidth="1"/>
    <col min="3" max="16384" width="11" style="3"/>
  </cols>
  <sheetData>
    <row r="1" spans="1:2" ht="15" x14ac:dyDescent="0.15">
      <c r="A1" s="1" t="s">
        <v>1225</v>
      </c>
    </row>
    <row r="2" spans="1:2" x14ac:dyDescent="0.15">
      <c r="A2" s="3" t="s">
        <v>432</v>
      </c>
      <c r="B2" s="3">
        <v>120</v>
      </c>
    </row>
    <row r="3" spans="1:2" x14ac:dyDescent="0.15">
      <c r="A3" s="3" t="s">
        <v>433</v>
      </c>
      <c r="B3" s="3">
        <v>172.8</v>
      </c>
    </row>
    <row r="4" spans="1:2" x14ac:dyDescent="0.15">
      <c r="A4" s="3" t="s">
        <v>472</v>
      </c>
      <c r="B4" s="81">
        <f>B3/B2-1</f>
        <v>0.44000000000000017</v>
      </c>
    </row>
    <row r="5" spans="1:2" x14ac:dyDescent="0.15">
      <c r="A5" s="3" t="s">
        <v>430</v>
      </c>
      <c r="B5" s="80">
        <f>SQRT(B3/B2)-1</f>
        <v>0.20000000000000018</v>
      </c>
    </row>
    <row r="6" spans="1:2" ht="15" x14ac:dyDescent="0.15">
      <c r="A6" s="6" t="s">
        <v>431</v>
      </c>
      <c r="B6" s="81">
        <f>B5/12*3</f>
        <v>5.0000000000000044E-2</v>
      </c>
    </row>
    <row r="8" spans="1:2" ht="15" x14ac:dyDescent="0.15">
      <c r="A8" s="8" t="s">
        <v>1227</v>
      </c>
    </row>
    <row r="9" spans="1:2" x14ac:dyDescent="0.15">
      <c r="A9" s="3" t="s">
        <v>432</v>
      </c>
      <c r="B9" s="3">
        <v>100</v>
      </c>
    </row>
    <row r="10" spans="1:2" x14ac:dyDescent="0.15">
      <c r="A10" s="3" t="s">
        <v>430</v>
      </c>
      <c r="B10" s="80">
        <v>0.14000000000000001</v>
      </c>
    </row>
    <row r="11" spans="1:2" x14ac:dyDescent="0.15">
      <c r="A11" s="3" t="s">
        <v>435</v>
      </c>
      <c r="B11" s="3">
        <v>7</v>
      </c>
    </row>
    <row r="13" spans="1:2" x14ac:dyDescent="0.15">
      <c r="A13" s="3" t="s">
        <v>434</v>
      </c>
      <c r="B13" s="13">
        <f>B9*POWER(1+B10,B11)</f>
        <v>250.22687912870421</v>
      </c>
    </row>
    <row r="15" spans="1:2" ht="15" x14ac:dyDescent="0.15">
      <c r="A15" s="8" t="s">
        <v>193</v>
      </c>
    </row>
    <row r="16" spans="1:2" x14ac:dyDescent="0.15">
      <c r="A16" s="3" t="s">
        <v>432</v>
      </c>
      <c r="B16" s="3">
        <v>100</v>
      </c>
    </row>
    <row r="17" spans="1:3" x14ac:dyDescent="0.15">
      <c r="A17" s="3" t="s">
        <v>436</v>
      </c>
      <c r="B17" s="3">
        <v>174.9</v>
      </c>
    </row>
    <row r="18" spans="1:3" x14ac:dyDescent="0.15">
      <c r="A18" s="3" t="s">
        <v>430</v>
      </c>
      <c r="B18" s="80">
        <v>0.15</v>
      </c>
    </row>
    <row r="19" spans="1:3" x14ac:dyDescent="0.15">
      <c r="B19" s="80"/>
    </row>
    <row r="20" spans="1:3" x14ac:dyDescent="0.15">
      <c r="A20" s="3" t="s">
        <v>435</v>
      </c>
      <c r="B20" s="29">
        <f>LN(B17/B16)/LN(1+B18)</f>
        <v>3.9999744317794335</v>
      </c>
    </row>
    <row r="22" spans="1:3" ht="15" x14ac:dyDescent="0.15">
      <c r="A22" s="8" t="s">
        <v>157</v>
      </c>
    </row>
    <row r="23" spans="1:3" x14ac:dyDescent="0.15">
      <c r="A23" s="3" t="s">
        <v>432</v>
      </c>
      <c r="B23" s="105">
        <v>1000</v>
      </c>
    </row>
    <row r="24" spans="1:3" x14ac:dyDescent="0.15">
      <c r="A24" s="3" t="s">
        <v>356</v>
      </c>
      <c r="B24" s="55">
        <v>0.06</v>
      </c>
    </row>
    <row r="25" spans="1:3" x14ac:dyDescent="0.15">
      <c r="A25" s="3" t="s">
        <v>437</v>
      </c>
      <c r="B25" s="102">
        <v>0.5</v>
      </c>
      <c r="C25" s="3" t="s">
        <v>438</v>
      </c>
    </row>
    <row r="26" spans="1:3" x14ac:dyDescent="0.15">
      <c r="A26" s="3" t="s">
        <v>435</v>
      </c>
      <c r="B26" s="3">
        <v>4</v>
      </c>
    </row>
    <row r="28" spans="1:3" x14ac:dyDescent="0.15">
      <c r="A28" s="3" t="s">
        <v>430</v>
      </c>
      <c r="B28" s="50">
        <f>B24*B25*(POWER(1+B24,B25)+1)</f>
        <v>6.0886890422960999E-2</v>
      </c>
    </row>
    <row r="29" spans="1:3" x14ac:dyDescent="0.15">
      <c r="A29" s="3" t="s">
        <v>436</v>
      </c>
      <c r="B29" s="68">
        <f>B23*POWER(1+B28,B26)</f>
        <v>1266.7074684659131</v>
      </c>
    </row>
    <row r="31" spans="1:3" ht="15" x14ac:dyDescent="0.15">
      <c r="A31" s="8" t="s">
        <v>171</v>
      </c>
    </row>
    <row r="32" spans="1:3" x14ac:dyDescent="0.15">
      <c r="A32" s="7" t="s">
        <v>440</v>
      </c>
    </row>
    <row r="33" spans="1:14" x14ac:dyDescent="0.15">
      <c r="A33" s="3" t="s">
        <v>401</v>
      </c>
      <c r="B33" s="3">
        <v>0</v>
      </c>
      <c r="C33" s="3">
        <v>1</v>
      </c>
      <c r="D33" s="3">
        <v>2</v>
      </c>
      <c r="E33" s="3">
        <v>3</v>
      </c>
      <c r="F33" s="3">
        <v>4</v>
      </c>
      <c r="G33" s="3">
        <v>5</v>
      </c>
      <c r="H33" s="3">
        <v>6</v>
      </c>
    </row>
    <row r="34" spans="1:14" x14ac:dyDescent="0.15">
      <c r="A34" s="3" t="s">
        <v>395</v>
      </c>
      <c r="B34" s="3">
        <v>-4</v>
      </c>
      <c r="C34" s="3">
        <v>1</v>
      </c>
      <c r="D34" s="3">
        <v>1</v>
      </c>
      <c r="E34" s="3">
        <v>1</v>
      </c>
      <c r="F34" s="3">
        <v>1</v>
      </c>
      <c r="G34" s="3">
        <v>1</v>
      </c>
      <c r="H34" s="3">
        <v>1</v>
      </c>
    </row>
    <row r="36" spans="1:14" x14ac:dyDescent="0.15">
      <c r="B36" s="99"/>
    </row>
    <row r="37" spans="1:14" x14ac:dyDescent="0.15">
      <c r="A37" s="3" t="s">
        <v>687</v>
      </c>
      <c r="B37" s="67">
        <v>0.12976959078756212</v>
      </c>
    </row>
    <row r="39" spans="1:14" x14ac:dyDescent="0.15">
      <c r="A39" s="7" t="s">
        <v>441</v>
      </c>
    </row>
    <row r="40" spans="1:14" x14ac:dyDescent="0.15">
      <c r="A40" s="3" t="s">
        <v>401</v>
      </c>
      <c r="B40" s="3">
        <v>0</v>
      </c>
      <c r="C40" s="3">
        <v>1</v>
      </c>
      <c r="D40" s="3">
        <v>2</v>
      </c>
      <c r="E40" s="3">
        <v>3</v>
      </c>
      <c r="F40" s="3">
        <v>4</v>
      </c>
      <c r="G40" s="3">
        <v>5</v>
      </c>
    </row>
    <row r="41" spans="1:14" x14ac:dyDescent="0.15">
      <c r="A41" s="3" t="s">
        <v>395</v>
      </c>
      <c r="B41" s="3">
        <v>-6</v>
      </c>
      <c r="C41" s="3">
        <v>2</v>
      </c>
      <c r="D41" s="3">
        <v>2</v>
      </c>
      <c r="E41" s="3">
        <v>1.5</v>
      </c>
      <c r="F41" s="3">
        <v>1.5</v>
      </c>
      <c r="G41" s="3">
        <v>1.5</v>
      </c>
    </row>
    <row r="43" spans="1:14" x14ac:dyDescent="0.15">
      <c r="B43" s="99"/>
    </row>
    <row r="44" spans="1:14" x14ac:dyDescent="0.15">
      <c r="A44" s="3" t="s">
        <v>687</v>
      </c>
      <c r="B44" s="67">
        <v>0.13799314135471749</v>
      </c>
    </row>
    <row r="46" spans="1:14" x14ac:dyDescent="0.15">
      <c r="A46" s="3" t="s">
        <v>356</v>
      </c>
      <c r="B46" s="80">
        <v>0.09</v>
      </c>
      <c r="C46" s="80">
        <f>B46+1%</f>
        <v>9.9999999999999992E-2</v>
      </c>
      <c r="D46" s="80">
        <f t="shared" ref="D46:I46" si="0">C46+1%</f>
        <v>0.10999999999999999</v>
      </c>
      <c r="E46" s="80">
        <f t="shared" si="0"/>
        <v>0.11999999999999998</v>
      </c>
      <c r="F46" s="80">
        <f t="shared" si="0"/>
        <v>0.12999999999999998</v>
      </c>
      <c r="G46" s="80">
        <f t="shared" si="0"/>
        <v>0.13999999999999999</v>
      </c>
      <c r="H46" s="80">
        <f t="shared" si="0"/>
        <v>0.15</v>
      </c>
      <c r="I46" s="80">
        <f t="shared" si="0"/>
        <v>0.16</v>
      </c>
      <c r="J46" s="80">
        <f>I46+1%</f>
        <v>0.17</v>
      </c>
      <c r="K46" s="80">
        <f>J46+1%</f>
        <v>0.18000000000000002</v>
      </c>
      <c r="L46" s="80">
        <f>K46+1%</f>
        <v>0.19000000000000003</v>
      </c>
      <c r="M46" s="80">
        <f>L46+1%</f>
        <v>0.20000000000000004</v>
      </c>
      <c r="N46" s="80">
        <f>M46+1%</f>
        <v>0.21000000000000005</v>
      </c>
    </row>
    <row r="47" spans="1:14" x14ac:dyDescent="0.15">
      <c r="A47" s="3" t="s">
        <v>442</v>
      </c>
      <c r="B47" s="248">
        <f t="shared" ref="B47:I47" si="1">SUMPRODUCT($B34:$H34,POWER(1+B46,-$B33:$H33))</f>
        <v>0.48591859023093176</v>
      </c>
      <c r="C47" s="248">
        <f t="shared" si="1"/>
        <v>0.35526069946222483</v>
      </c>
      <c r="D47" s="248">
        <f t="shared" si="1"/>
        <v>0.23053785373825852</v>
      </c>
      <c r="E47" s="248">
        <f t="shared" si="1"/>
        <v>0.11140732352232741</v>
      </c>
      <c r="F47" s="248">
        <f t="shared" si="1"/>
        <v>-2.4502110241529373E-3</v>
      </c>
      <c r="G47" s="248">
        <f t="shared" si="1"/>
        <v>-0.11133248345748997</v>
      </c>
      <c r="H47" s="248">
        <f t="shared" si="1"/>
        <v>-0.21551730607704078</v>
      </c>
      <c r="I47" s="248">
        <f t="shared" si="1"/>
        <v>-0.315264091671348</v>
      </c>
      <c r="J47" s="248">
        <f>SUMPRODUCT($B34:$H34,POWER(1+J46,-$B33:$H33))</f>
        <v>-0.41081524553058452</v>
      </c>
      <c r="K47" s="248">
        <f>SUMPRODUCT($B34:$H34,POWER(1+K46,-$B33:$H33))</f>
        <v>-0.50239743987974805</v>
      </c>
      <c r="L47" s="248">
        <f>SUMPRODUCT($B34:$H34,POWER(1+L46,-$B33:$H33))</f>
        <v>-0.59022278164974096</v>
      </c>
      <c r="M47" s="248">
        <f>SUMPRODUCT($B34:$H34,POWER(1+M46,-$B33:$H33))</f>
        <v>-0.6744898834019204</v>
      </c>
      <c r="N47" s="248">
        <f>SUMPRODUCT($B34:$H34,POWER(1+N46,-$B33:$H33))</f>
        <v>-0.75538484623979396</v>
      </c>
    </row>
    <row r="48" spans="1:14" x14ac:dyDescent="0.15">
      <c r="A48" s="3" t="s">
        <v>443</v>
      </c>
      <c r="B48" s="248">
        <f t="shared" ref="B48:I48" si="2">SUMPRODUCT($B41:$G41,POWER(1+B46,-$B40:$G40))</f>
        <v>0.71403248799112906</v>
      </c>
      <c r="C48" s="248">
        <f t="shared" si="2"/>
        <v>0.55394874915399361</v>
      </c>
      <c r="D48" s="248">
        <f t="shared" si="2"/>
        <v>0.40010719354667768</v>
      </c>
      <c r="E48" s="248">
        <f t="shared" si="2"/>
        <v>0.25218981372159077</v>
      </c>
      <c r="F48" s="248">
        <f t="shared" si="2"/>
        <v>0.10989811010715289</v>
      </c>
      <c r="G48" s="248">
        <f t="shared" si="2"/>
        <v>-2.7048291249088918E-2</v>
      </c>
      <c r="H48" s="248">
        <f t="shared" si="2"/>
        <v>-0.15891291063885038</v>
      </c>
      <c r="I48" s="248">
        <f t="shared" si="2"/>
        <v>-0.2859435860955416</v>
      </c>
      <c r="J48" s="248">
        <f>SUMPRODUCT($B41:$G41,POWER(1+J46,-$B40:$G40))</f>
        <v>-0.4083735530425634</v>
      </c>
      <c r="K48" s="248">
        <f>SUMPRODUCT($B41:$G41,POWER(1+K46,-$B40:$G40))</f>
        <v>-0.52642244014705097</v>
      </c>
      <c r="L48" s="248">
        <f>SUMPRODUCT($B41:$G41,POWER(1+L46,-$B40:$G40))</f>
        <v>-0.64029718858353479</v>
      </c>
      <c r="M48" s="248">
        <f>SUMPRODUCT($B41:$G41,POWER(1+M46,-$B40:$G40))</f>
        <v>-0.75019290123456728</v>
      </c>
      <c r="N48" s="248">
        <f>SUMPRODUCT($B41:$G41,POWER(1+N46,-$B40:$G40))</f>
        <v>-0.85629362774682316</v>
      </c>
    </row>
    <row r="61" spans="1:2" ht="15" x14ac:dyDescent="0.15">
      <c r="A61" s="8" t="s">
        <v>367</v>
      </c>
    </row>
    <row r="62" spans="1:2" x14ac:dyDescent="0.15">
      <c r="A62" s="7" t="s">
        <v>447</v>
      </c>
    </row>
    <row r="63" spans="1:2" x14ac:dyDescent="0.15">
      <c r="A63" s="3" t="s">
        <v>356</v>
      </c>
      <c r="B63" s="55">
        <v>8.0000000000000002E-3</v>
      </c>
    </row>
    <row r="64" spans="1:2" x14ac:dyDescent="0.15">
      <c r="A64" s="3" t="s">
        <v>449</v>
      </c>
      <c r="B64" s="3">
        <v>3</v>
      </c>
    </row>
    <row r="65" spans="1:3" x14ac:dyDescent="0.15">
      <c r="A65" s="3" t="s">
        <v>450</v>
      </c>
      <c r="B65" s="50">
        <f>POWER(1+B63,12/B64)-1</f>
        <v>3.2386052096000206E-2</v>
      </c>
    </row>
    <row r="67" spans="1:3" x14ac:dyDescent="0.15">
      <c r="A67" s="7" t="s">
        <v>448</v>
      </c>
    </row>
    <row r="68" spans="1:3" x14ac:dyDescent="0.15">
      <c r="A68" s="3" t="s">
        <v>356</v>
      </c>
      <c r="B68" s="55">
        <v>1.6E-2</v>
      </c>
    </row>
    <row r="69" spans="1:3" x14ac:dyDescent="0.15">
      <c r="A69" s="3" t="s">
        <v>449</v>
      </c>
      <c r="B69" s="3">
        <v>6</v>
      </c>
    </row>
    <row r="70" spans="1:3" x14ac:dyDescent="0.15">
      <c r="A70" s="3" t="s">
        <v>450</v>
      </c>
      <c r="B70" s="50">
        <f>POWER(1+B68,12/B69)-1</f>
        <v>3.2256000000000062E-2</v>
      </c>
    </row>
    <row r="72" spans="1:3" ht="15" x14ac:dyDescent="0.15">
      <c r="A72" s="8" t="s">
        <v>369</v>
      </c>
      <c r="B72" s="518" t="s">
        <v>444</v>
      </c>
      <c r="C72" s="518"/>
    </row>
    <row r="73" spans="1:3" x14ac:dyDescent="0.15">
      <c r="A73" s="3" t="s">
        <v>432</v>
      </c>
      <c r="B73" s="517">
        <v>10000000</v>
      </c>
      <c r="C73" s="517"/>
    </row>
    <row r="74" spans="1:3" x14ac:dyDescent="0.15">
      <c r="A74" s="3" t="s">
        <v>436</v>
      </c>
      <c r="B74" s="517">
        <v>10019745</v>
      </c>
      <c r="C74" s="517"/>
    </row>
    <row r="75" spans="1:3" x14ac:dyDescent="0.15">
      <c r="A75" s="3" t="s">
        <v>445</v>
      </c>
      <c r="B75" s="3">
        <v>24</v>
      </c>
    </row>
    <row r="77" spans="1:3" x14ac:dyDescent="0.15">
      <c r="A77" s="3" t="s">
        <v>446</v>
      </c>
      <c r="B77" s="112">
        <f>(B74-B73)/B73</f>
        <v>1.9745000000000001E-3</v>
      </c>
    </row>
    <row r="78" spans="1:3" x14ac:dyDescent="0.15">
      <c r="A78" s="3" t="s">
        <v>439</v>
      </c>
      <c r="B78" s="50">
        <f>POWER(1+B77,365/B75)-1</f>
        <v>3.0453758172704237E-2</v>
      </c>
    </row>
    <row r="80" spans="1:3" ht="15" x14ac:dyDescent="0.15">
      <c r="A80" s="8" t="s">
        <v>374</v>
      </c>
    </row>
    <row r="81" spans="1:5" x14ac:dyDescent="0.15">
      <c r="A81" s="3" t="s">
        <v>432</v>
      </c>
      <c r="B81" s="3">
        <v>100</v>
      </c>
    </row>
    <row r="82" spans="1:5" x14ac:dyDescent="0.15">
      <c r="A82" s="3" t="s">
        <v>430</v>
      </c>
      <c r="B82" s="80">
        <v>7.0000000000000007E-2</v>
      </c>
    </row>
    <row r="83" spans="1:5" x14ac:dyDescent="0.15">
      <c r="A83" s="3" t="s">
        <v>435</v>
      </c>
      <c r="B83" s="3">
        <v>4</v>
      </c>
    </row>
    <row r="85" spans="1:5" x14ac:dyDescent="0.15">
      <c r="A85" s="7" t="s">
        <v>451</v>
      </c>
    </row>
    <row r="86" spans="1:5" x14ac:dyDescent="0.15">
      <c r="A86" s="83" t="s">
        <v>925</v>
      </c>
      <c r="B86" s="83" t="s">
        <v>453</v>
      </c>
      <c r="C86" s="83" t="s">
        <v>455</v>
      </c>
      <c r="D86" s="83" t="s">
        <v>456</v>
      </c>
      <c r="E86" s="83" t="s">
        <v>454</v>
      </c>
    </row>
    <row r="87" spans="1:5" x14ac:dyDescent="0.15">
      <c r="A87" s="82">
        <v>1</v>
      </c>
      <c r="B87" s="74">
        <f>B81</f>
        <v>100</v>
      </c>
      <c r="C87" s="74">
        <v>29.5228</v>
      </c>
      <c r="D87" s="74">
        <f>C87-E87</f>
        <v>22.5228</v>
      </c>
      <c r="E87" s="74">
        <f>B87*$B$82</f>
        <v>7.0000000000000009</v>
      </c>
    </row>
    <row r="88" spans="1:5" x14ac:dyDescent="0.15">
      <c r="A88" s="82">
        <f>A87+1</f>
        <v>2</v>
      </c>
      <c r="B88" s="74">
        <f>B87-D87</f>
        <v>77.477199999999996</v>
      </c>
      <c r="C88" s="74">
        <f>C87</f>
        <v>29.5228</v>
      </c>
      <c r="D88" s="74">
        <f>C88-E88</f>
        <v>24.099395999999999</v>
      </c>
      <c r="E88" s="74">
        <f>B88*$B$82</f>
        <v>5.4234040000000006</v>
      </c>
    </row>
    <row r="89" spans="1:5" x14ac:dyDescent="0.15">
      <c r="A89" s="82">
        <f>A88+1</f>
        <v>3</v>
      </c>
      <c r="B89" s="74">
        <f>B88-D88</f>
        <v>53.377803999999998</v>
      </c>
      <c r="C89" s="74">
        <f>C88</f>
        <v>29.5228</v>
      </c>
      <c r="D89" s="74">
        <f>C89-E89</f>
        <v>25.786353720000001</v>
      </c>
      <c r="E89" s="74">
        <f>B89*$B$82</f>
        <v>3.73644628</v>
      </c>
    </row>
    <row r="90" spans="1:5" x14ac:dyDescent="0.15">
      <c r="A90" s="82">
        <f>A89+1</f>
        <v>4</v>
      </c>
      <c r="B90" s="74">
        <f>B89-D89</f>
        <v>27.591450279999997</v>
      </c>
      <c r="C90" s="74">
        <f>C89</f>
        <v>29.5228</v>
      </c>
      <c r="D90" s="74">
        <f>C90-E90</f>
        <v>27.591398480399999</v>
      </c>
      <c r="E90" s="74">
        <f>B90*$B$82</f>
        <v>1.9314015195999998</v>
      </c>
    </row>
    <row r="91" spans="1:5" x14ac:dyDescent="0.15">
      <c r="D91" s="74">
        <f>SUM(D87:D90)</f>
        <v>99.999948200399999</v>
      </c>
    </row>
    <row r="92" spans="1:5" x14ac:dyDescent="0.15">
      <c r="B92" s="249"/>
    </row>
    <row r="94" spans="1:5" x14ac:dyDescent="0.15">
      <c r="A94" s="7" t="s">
        <v>452</v>
      </c>
    </row>
    <row r="95" spans="1:5" x14ac:dyDescent="0.15">
      <c r="A95" s="83" t="s">
        <v>925</v>
      </c>
      <c r="B95" s="83" t="s">
        <v>453</v>
      </c>
      <c r="C95" s="83" t="s">
        <v>455</v>
      </c>
      <c r="D95" s="83" t="s">
        <v>456</v>
      </c>
      <c r="E95" s="83" t="s">
        <v>454</v>
      </c>
    </row>
    <row r="96" spans="1:5" x14ac:dyDescent="0.15">
      <c r="A96" s="82">
        <v>1</v>
      </c>
      <c r="B96" s="74">
        <f>B81</f>
        <v>100</v>
      </c>
      <c r="C96" s="74">
        <f>D96+E96</f>
        <v>32</v>
      </c>
      <c r="D96" s="74">
        <v>25</v>
      </c>
      <c r="E96" s="74">
        <f>B96*$B$82</f>
        <v>7.0000000000000009</v>
      </c>
    </row>
    <row r="97" spans="1:5" x14ac:dyDescent="0.15">
      <c r="A97" s="82">
        <f>A96+1</f>
        <v>2</v>
      </c>
      <c r="B97" s="74">
        <f>B96-D96</f>
        <v>75</v>
      </c>
      <c r="C97" s="74">
        <f>D97+E97</f>
        <v>30.25</v>
      </c>
      <c r="D97" s="74">
        <f>D96</f>
        <v>25</v>
      </c>
      <c r="E97" s="74">
        <f>B97*$B$82</f>
        <v>5.2500000000000009</v>
      </c>
    </row>
    <row r="98" spans="1:5" x14ac:dyDescent="0.15">
      <c r="A98" s="82">
        <f>A97+1</f>
        <v>3</v>
      </c>
      <c r="B98" s="74">
        <f>B97-D97</f>
        <v>50</v>
      </c>
      <c r="C98" s="74">
        <f>D98+E98</f>
        <v>28.5</v>
      </c>
      <c r="D98" s="74">
        <f>D97</f>
        <v>25</v>
      </c>
      <c r="E98" s="74">
        <f>B98*$B$82</f>
        <v>3.5000000000000004</v>
      </c>
    </row>
    <row r="99" spans="1:5" x14ac:dyDescent="0.15">
      <c r="A99" s="82">
        <f>A98+1</f>
        <v>4</v>
      </c>
      <c r="B99" s="74">
        <f>B98-D98</f>
        <v>25</v>
      </c>
      <c r="C99" s="74">
        <f>D99+E99</f>
        <v>26.75</v>
      </c>
      <c r="D99" s="74">
        <f>D98</f>
        <v>25</v>
      </c>
      <c r="E99" s="74">
        <f>B99*$B$82</f>
        <v>1.7500000000000002</v>
      </c>
    </row>
    <row r="100" spans="1:5" x14ac:dyDescent="0.15">
      <c r="D100" s="74">
        <f>SUM(D96:D99)</f>
        <v>100</v>
      </c>
    </row>
    <row r="101" spans="1:5" x14ac:dyDescent="0.15">
      <c r="B101" s="249"/>
    </row>
    <row r="104" spans="1:5" ht="15" x14ac:dyDescent="0.15">
      <c r="A104" s="8" t="s">
        <v>377</v>
      </c>
    </row>
    <row r="105" spans="1:5" x14ac:dyDescent="0.15">
      <c r="A105" s="3" t="s">
        <v>457</v>
      </c>
      <c r="B105" s="80">
        <v>0.98</v>
      </c>
      <c r="C105" s="80">
        <v>1.01</v>
      </c>
    </row>
    <row r="106" spans="1:5" x14ac:dyDescent="0.15">
      <c r="A106" s="3" t="s">
        <v>458</v>
      </c>
      <c r="B106" s="80">
        <v>1.08</v>
      </c>
      <c r="C106" s="80">
        <v>1.08</v>
      </c>
    </row>
    <row r="107" spans="1:5" x14ac:dyDescent="0.15">
      <c r="A107" s="3" t="s">
        <v>459</v>
      </c>
      <c r="B107" s="80">
        <v>7.0000000000000007E-2</v>
      </c>
      <c r="C107" s="80">
        <v>7.0000000000000007E-2</v>
      </c>
    </row>
    <row r="108" spans="1:5" x14ac:dyDescent="0.15">
      <c r="A108" s="3" t="s">
        <v>435</v>
      </c>
      <c r="B108" s="102">
        <v>10</v>
      </c>
    </row>
    <row r="110" spans="1:5" x14ac:dyDescent="0.15">
      <c r="A110" s="83" t="s">
        <v>401</v>
      </c>
      <c r="B110" s="83" t="s">
        <v>395</v>
      </c>
      <c r="C110" s="83" t="s">
        <v>395</v>
      </c>
    </row>
    <row r="111" spans="1:5" x14ac:dyDescent="0.15">
      <c r="A111" s="3">
        <v>0</v>
      </c>
      <c r="B111" s="80">
        <f>-B105</f>
        <v>-0.98</v>
      </c>
      <c r="C111" s="80">
        <f>-C105</f>
        <v>-1.01</v>
      </c>
    </row>
    <row r="112" spans="1:5" x14ac:dyDescent="0.15">
      <c r="A112" s="3">
        <v>1</v>
      </c>
      <c r="B112" s="80">
        <f t="shared" ref="B112:C120" si="3">B$107</f>
        <v>7.0000000000000007E-2</v>
      </c>
      <c r="C112" s="80">
        <f t="shared" si="3"/>
        <v>7.0000000000000007E-2</v>
      </c>
    </row>
    <row r="113" spans="1:5" x14ac:dyDescent="0.15">
      <c r="A113" s="3">
        <f>A112+1</f>
        <v>2</v>
      </c>
      <c r="B113" s="80">
        <f t="shared" si="3"/>
        <v>7.0000000000000007E-2</v>
      </c>
      <c r="C113" s="80">
        <f t="shared" si="3"/>
        <v>7.0000000000000007E-2</v>
      </c>
    </row>
    <row r="114" spans="1:5" x14ac:dyDescent="0.15">
      <c r="A114" s="3">
        <f t="shared" ref="A114:A121" si="4">A113+1</f>
        <v>3</v>
      </c>
      <c r="B114" s="80">
        <f t="shared" si="3"/>
        <v>7.0000000000000007E-2</v>
      </c>
      <c r="C114" s="80">
        <f t="shared" si="3"/>
        <v>7.0000000000000007E-2</v>
      </c>
    </row>
    <row r="115" spans="1:5" x14ac:dyDescent="0.15">
      <c r="A115" s="3">
        <f t="shared" si="4"/>
        <v>4</v>
      </c>
      <c r="B115" s="80">
        <f t="shared" si="3"/>
        <v>7.0000000000000007E-2</v>
      </c>
      <c r="C115" s="80">
        <f t="shared" si="3"/>
        <v>7.0000000000000007E-2</v>
      </c>
    </row>
    <row r="116" spans="1:5" x14ac:dyDescent="0.15">
      <c r="A116" s="3">
        <f t="shared" si="4"/>
        <v>5</v>
      </c>
      <c r="B116" s="80">
        <f t="shared" si="3"/>
        <v>7.0000000000000007E-2</v>
      </c>
      <c r="C116" s="80">
        <f t="shared" si="3"/>
        <v>7.0000000000000007E-2</v>
      </c>
    </row>
    <row r="117" spans="1:5" x14ac:dyDescent="0.15">
      <c r="A117" s="3">
        <f t="shared" si="4"/>
        <v>6</v>
      </c>
      <c r="B117" s="80">
        <f t="shared" si="3"/>
        <v>7.0000000000000007E-2</v>
      </c>
      <c r="C117" s="80">
        <f t="shared" si="3"/>
        <v>7.0000000000000007E-2</v>
      </c>
    </row>
    <row r="118" spans="1:5" x14ac:dyDescent="0.15">
      <c r="A118" s="3">
        <f t="shared" si="4"/>
        <v>7</v>
      </c>
      <c r="B118" s="80">
        <f t="shared" si="3"/>
        <v>7.0000000000000007E-2</v>
      </c>
      <c r="C118" s="80">
        <f t="shared" si="3"/>
        <v>7.0000000000000007E-2</v>
      </c>
    </row>
    <row r="119" spans="1:5" x14ac:dyDescent="0.15">
      <c r="A119" s="3">
        <f t="shared" si="4"/>
        <v>8</v>
      </c>
      <c r="B119" s="80">
        <f t="shared" si="3"/>
        <v>7.0000000000000007E-2</v>
      </c>
      <c r="C119" s="80">
        <f t="shared" si="3"/>
        <v>7.0000000000000007E-2</v>
      </c>
    </row>
    <row r="120" spans="1:5" x14ac:dyDescent="0.15">
      <c r="A120" s="3">
        <f t="shared" si="4"/>
        <v>9</v>
      </c>
      <c r="B120" s="80">
        <f t="shared" si="3"/>
        <v>7.0000000000000007E-2</v>
      </c>
      <c r="C120" s="80">
        <f t="shared" si="3"/>
        <v>7.0000000000000007E-2</v>
      </c>
    </row>
    <row r="121" spans="1:5" x14ac:dyDescent="0.15">
      <c r="A121" s="3">
        <f t="shared" si="4"/>
        <v>10</v>
      </c>
      <c r="B121" s="80">
        <f>B$107+B106</f>
        <v>1.1500000000000001</v>
      </c>
      <c r="C121" s="80">
        <f>C$107+C106</f>
        <v>1.1500000000000001</v>
      </c>
    </row>
    <row r="124" spans="1:5" x14ac:dyDescent="0.15">
      <c r="A124" s="3" t="s">
        <v>439</v>
      </c>
      <c r="B124" s="50">
        <f>IRR(B111:B121)</f>
        <v>7.8521990352673043E-2</v>
      </c>
      <c r="C124" s="50">
        <f>IRR(C111:C121)</f>
        <v>7.4223990429296283E-2</v>
      </c>
    </row>
    <row r="126" spans="1:5" ht="15" x14ac:dyDescent="0.15">
      <c r="A126" s="8" t="s">
        <v>379</v>
      </c>
    </row>
    <row r="127" spans="1:5" x14ac:dyDescent="0.15">
      <c r="A127" s="3" t="s">
        <v>457</v>
      </c>
      <c r="B127" s="80">
        <v>0.98</v>
      </c>
      <c r="D127" s="3" t="s">
        <v>462</v>
      </c>
      <c r="E127" s="55">
        <v>3.5000000000000001E-3</v>
      </c>
    </row>
    <row r="128" spans="1:5" x14ac:dyDescent="0.15">
      <c r="A128" s="3" t="s">
        <v>458</v>
      </c>
      <c r="B128" s="80">
        <v>1.08</v>
      </c>
      <c r="D128" s="3" t="s">
        <v>463</v>
      </c>
      <c r="E128" s="55">
        <v>2.5000000000000001E-2</v>
      </c>
    </row>
    <row r="129" spans="1:5" x14ac:dyDescent="0.15">
      <c r="A129" s="3" t="s">
        <v>459</v>
      </c>
      <c r="B129" s="80">
        <v>7.0000000000000007E-2</v>
      </c>
      <c r="D129" s="3" t="s">
        <v>464</v>
      </c>
      <c r="E129" s="55">
        <v>6.0000000000000001E-3</v>
      </c>
    </row>
    <row r="130" spans="1:5" x14ac:dyDescent="0.15">
      <c r="A130" s="3" t="s">
        <v>435</v>
      </c>
      <c r="B130" s="102">
        <v>10</v>
      </c>
    </row>
    <row r="132" spans="1:5" x14ac:dyDescent="0.15">
      <c r="A132" s="83" t="s">
        <v>401</v>
      </c>
      <c r="B132" s="83" t="s">
        <v>460</v>
      </c>
      <c r="C132" s="83" t="s">
        <v>461</v>
      </c>
    </row>
    <row r="133" spans="1:5" x14ac:dyDescent="0.15">
      <c r="A133" s="3">
        <v>0</v>
      </c>
      <c r="B133" s="80">
        <f>-B127</f>
        <v>-0.98</v>
      </c>
      <c r="C133" s="50">
        <f>B133*(1-E127)</f>
        <v>-0.97657000000000005</v>
      </c>
    </row>
    <row r="134" spans="1:5" x14ac:dyDescent="0.15">
      <c r="A134" s="3">
        <v>1</v>
      </c>
      <c r="B134" s="80">
        <f>B$129</f>
        <v>7.0000000000000007E-2</v>
      </c>
      <c r="C134" s="55">
        <f>B134*(1+E$128)</f>
        <v>7.1749999999999994E-2</v>
      </c>
    </row>
    <row r="135" spans="1:5" x14ac:dyDescent="0.15">
      <c r="A135" s="3">
        <f>A134+1</f>
        <v>2</v>
      </c>
      <c r="B135" s="80">
        <f t="shared" ref="B135:B142" si="5">B$129</f>
        <v>7.0000000000000007E-2</v>
      </c>
      <c r="C135" s="55">
        <f t="shared" ref="C135:C142" si="6">B135*(1+E$128)</f>
        <v>7.1749999999999994E-2</v>
      </c>
    </row>
    <row r="136" spans="1:5" x14ac:dyDescent="0.15">
      <c r="A136" s="3">
        <f t="shared" ref="A136:A143" si="7">A135+1</f>
        <v>3</v>
      </c>
      <c r="B136" s="80">
        <f t="shared" si="5"/>
        <v>7.0000000000000007E-2</v>
      </c>
      <c r="C136" s="55">
        <f t="shared" si="6"/>
        <v>7.1749999999999994E-2</v>
      </c>
    </row>
    <row r="137" spans="1:5" x14ac:dyDescent="0.15">
      <c r="A137" s="3">
        <f t="shared" si="7"/>
        <v>4</v>
      </c>
      <c r="B137" s="80">
        <f t="shared" si="5"/>
        <v>7.0000000000000007E-2</v>
      </c>
      <c r="C137" s="55">
        <f t="shared" si="6"/>
        <v>7.1749999999999994E-2</v>
      </c>
    </row>
    <row r="138" spans="1:5" x14ac:dyDescent="0.15">
      <c r="A138" s="3">
        <f t="shared" si="7"/>
        <v>5</v>
      </c>
      <c r="B138" s="80">
        <f t="shared" si="5"/>
        <v>7.0000000000000007E-2</v>
      </c>
      <c r="C138" s="55">
        <f t="shared" si="6"/>
        <v>7.1749999999999994E-2</v>
      </c>
    </row>
    <row r="139" spans="1:5" x14ac:dyDescent="0.15">
      <c r="A139" s="3">
        <f t="shared" si="7"/>
        <v>6</v>
      </c>
      <c r="B139" s="80">
        <f t="shared" si="5"/>
        <v>7.0000000000000007E-2</v>
      </c>
      <c r="C139" s="55">
        <f t="shared" si="6"/>
        <v>7.1749999999999994E-2</v>
      </c>
    </row>
    <row r="140" spans="1:5" x14ac:dyDescent="0.15">
      <c r="A140" s="3">
        <f t="shared" si="7"/>
        <v>7</v>
      </c>
      <c r="B140" s="80">
        <f t="shared" si="5"/>
        <v>7.0000000000000007E-2</v>
      </c>
      <c r="C140" s="55">
        <f t="shared" si="6"/>
        <v>7.1749999999999994E-2</v>
      </c>
    </row>
    <row r="141" spans="1:5" x14ac:dyDescent="0.15">
      <c r="A141" s="3">
        <f t="shared" si="7"/>
        <v>8</v>
      </c>
      <c r="B141" s="80">
        <f t="shared" si="5"/>
        <v>7.0000000000000007E-2</v>
      </c>
      <c r="C141" s="55">
        <f t="shared" si="6"/>
        <v>7.1749999999999994E-2</v>
      </c>
    </row>
    <row r="142" spans="1:5" x14ac:dyDescent="0.15">
      <c r="A142" s="3">
        <f t="shared" si="7"/>
        <v>9</v>
      </c>
      <c r="B142" s="80">
        <f t="shared" si="5"/>
        <v>7.0000000000000007E-2</v>
      </c>
      <c r="C142" s="55">
        <f t="shared" si="6"/>
        <v>7.1749999999999994E-2</v>
      </c>
    </row>
    <row r="143" spans="1:5" x14ac:dyDescent="0.15">
      <c r="A143" s="3">
        <f t="shared" si="7"/>
        <v>10</v>
      </c>
      <c r="B143" s="80">
        <f>B128+B142</f>
        <v>1.1500000000000001</v>
      </c>
      <c r="C143" s="55">
        <f>B128*(1+E129)+C142</f>
        <v>1.1582300000000001</v>
      </c>
    </row>
    <row r="146" spans="1:3" x14ac:dyDescent="0.15">
      <c r="A146" s="3" t="s">
        <v>439</v>
      </c>
      <c r="B146" s="50">
        <f>IRR(B133:B143)</f>
        <v>7.8521990352673043E-2</v>
      </c>
      <c r="C146" s="50">
        <f>IRR(C133:C143)</f>
        <v>8.1196465564861597E-2</v>
      </c>
    </row>
    <row r="148" spans="1:3" ht="15" x14ac:dyDescent="0.15">
      <c r="A148" s="8" t="s">
        <v>381</v>
      </c>
      <c r="B148" s="82" t="s">
        <v>389</v>
      </c>
    </row>
    <row r="149" spans="1:3" x14ac:dyDescent="0.15">
      <c r="A149" s="3" t="s">
        <v>466</v>
      </c>
      <c r="B149" s="3">
        <v>300</v>
      </c>
    </row>
    <row r="150" spans="1:3" x14ac:dyDescent="0.15">
      <c r="A150" s="3" t="s">
        <v>432</v>
      </c>
      <c r="B150" s="3">
        <v>100</v>
      </c>
    </row>
    <row r="151" spans="1:3" x14ac:dyDescent="0.15">
      <c r="A151" s="3" t="s">
        <v>465</v>
      </c>
      <c r="B151" s="3">
        <v>11</v>
      </c>
    </row>
    <row r="152" spans="1:3" x14ac:dyDescent="0.15">
      <c r="A152" s="3" t="s">
        <v>467</v>
      </c>
      <c r="B152" s="3">
        <v>20</v>
      </c>
    </row>
    <row r="154" spans="1:3" x14ac:dyDescent="0.15">
      <c r="A154" s="83" t="s">
        <v>468</v>
      </c>
      <c r="B154" s="83" t="s">
        <v>395</v>
      </c>
      <c r="C154" s="3" t="s">
        <v>1383</v>
      </c>
    </row>
    <row r="155" spans="1:3" x14ac:dyDescent="0.15">
      <c r="A155" s="82">
        <v>0</v>
      </c>
      <c r="B155" s="3">
        <f>B150</f>
        <v>100</v>
      </c>
      <c r="C155" s="3">
        <v>-200</v>
      </c>
    </row>
    <row r="156" spans="1:3" x14ac:dyDescent="0.15">
      <c r="A156" s="82">
        <f>A155+1</f>
        <v>1</v>
      </c>
      <c r="B156" s="3">
        <f>B$151</f>
        <v>11</v>
      </c>
      <c r="C156" s="3">
        <f>B156</f>
        <v>11</v>
      </c>
    </row>
    <row r="157" spans="1:3" x14ac:dyDescent="0.15">
      <c r="A157" s="82">
        <f t="shared" ref="A157:A175" si="8">A156+1</f>
        <v>2</v>
      </c>
      <c r="B157" s="3">
        <f t="shared" ref="B157:B175" si="9">B$151</f>
        <v>11</v>
      </c>
      <c r="C157" s="3">
        <f t="shared" ref="C157:C175" si="10">B157</f>
        <v>11</v>
      </c>
    </row>
    <row r="158" spans="1:3" x14ac:dyDescent="0.15">
      <c r="A158" s="82">
        <f t="shared" si="8"/>
        <v>3</v>
      </c>
      <c r="B158" s="3">
        <f t="shared" si="9"/>
        <v>11</v>
      </c>
      <c r="C158" s="3">
        <f t="shared" si="10"/>
        <v>11</v>
      </c>
    </row>
    <row r="159" spans="1:3" x14ac:dyDescent="0.15">
      <c r="A159" s="82">
        <f t="shared" si="8"/>
        <v>4</v>
      </c>
      <c r="B159" s="3">
        <f t="shared" si="9"/>
        <v>11</v>
      </c>
      <c r="C159" s="3">
        <f t="shared" si="10"/>
        <v>11</v>
      </c>
    </row>
    <row r="160" spans="1:3" x14ac:dyDescent="0.15">
      <c r="A160" s="82">
        <f t="shared" si="8"/>
        <v>5</v>
      </c>
      <c r="B160" s="3">
        <f t="shared" si="9"/>
        <v>11</v>
      </c>
      <c r="C160" s="3">
        <f t="shared" si="10"/>
        <v>11</v>
      </c>
    </row>
    <row r="161" spans="1:3" x14ac:dyDescent="0.15">
      <c r="A161" s="82">
        <f t="shared" si="8"/>
        <v>6</v>
      </c>
      <c r="B161" s="3">
        <f t="shared" si="9"/>
        <v>11</v>
      </c>
      <c r="C161" s="3">
        <f t="shared" si="10"/>
        <v>11</v>
      </c>
    </row>
    <row r="162" spans="1:3" x14ac:dyDescent="0.15">
      <c r="A162" s="82">
        <f t="shared" si="8"/>
        <v>7</v>
      </c>
      <c r="B162" s="3">
        <f t="shared" si="9"/>
        <v>11</v>
      </c>
      <c r="C162" s="3">
        <f t="shared" si="10"/>
        <v>11</v>
      </c>
    </row>
    <row r="163" spans="1:3" x14ac:dyDescent="0.15">
      <c r="A163" s="82">
        <f t="shared" si="8"/>
        <v>8</v>
      </c>
      <c r="B163" s="3">
        <f t="shared" si="9"/>
        <v>11</v>
      </c>
      <c r="C163" s="3">
        <f t="shared" si="10"/>
        <v>11</v>
      </c>
    </row>
    <row r="164" spans="1:3" x14ac:dyDescent="0.15">
      <c r="A164" s="82">
        <f t="shared" si="8"/>
        <v>9</v>
      </c>
      <c r="B164" s="3">
        <f t="shared" si="9"/>
        <v>11</v>
      </c>
      <c r="C164" s="3">
        <f t="shared" si="10"/>
        <v>11</v>
      </c>
    </row>
    <row r="165" spans="1:3" x14ac:dyDescent="0.15">
      <c r="A165" s="82">
        <f t="shared" si="8"/>
        <v>10</v>
      </c>
      <c r="B165" s="3">
        <f t="shared" si="9"/>
        <v>11</v>
      </c>
      <c r="C165" s="3">
        <f t="shared" si="10"/>
        <v>11</v>
      </c>
    </row>
    <row r="166" spans="1:3" x14ac:dyDescent="0.15">
      <c r="A166" s="82">
        <f t="shared" si="8"/>
        <v>11</v>
      </c>
      <c r="B166" s="3">
        <f t="shared" si="9"/>
        <v>11</v>
      </c>
      <c r="C166" s="3">
        <f t="shared" si="10"/>
        <v>11</v>
      </c>
    </row>
    <row r="167" spans="1:3" x14ac:dyDescent="0.15">
      <c r="A167" s="82">
        <f t="shared" si="8"/>
        <v>12</v>
      </c>
      <c r="B167" s="3">
        <f t="shared" si="9"/>
        <v>11</v>
      </c>
      <c r="C167" s="3">
        <f t="shared" si="10"/>
        <v>11</v>
      </c>
    </row>
    <row r="168" spans="1:3" x14ac:dyDescent="0.15">
      <c r="A168" s="82">
        <f t="shared" si="8"/>
        <v>13</v>
      </c>
      <c r="B168" s="3">
        <f t="shared" si="9"/>
        <v>11</v>
      </c>
      <c r="C168" s="3">
        <f t="shared" si="10"/>
        <v>11</v>
      </c>
    </row>
    <row r="169" spans="1:3" x14ac:dyDescent="0.15">
      <c r="A169" s="82">
        <f t="shared" si="8"/>
        <v>14</v>
      </c>
      <c r="B169" s="3">
        <f t="shared" si="9"/>
        <v>11</v>
      </c>
      <c r="C169" s="3">
        <f t="shared" si="10"/>
        <v>11</v>
      </c>
    </row>
    <row r="170" spans="1:3" x14ac:dyDescent="0.15">
      <c r="A170" s="82">
        <f t="shared" si="8"/>
        <v>15</v>
      </c>
      <c r="B170" s="3">
        <f t="shared" si="9"/>
        <v>11</v>
      </c>
      <c r="C170" s="3">
        <f t="shared" si="10"/>
        <v>11</v>
      </c>
    </row>
    <row r="171" spans="1:3" x14ac:dyDescent="0.15">
      <c r="A171" s="82">
        <f t="shared" si="8"/>
        <v>16</v>
      </c>
      <c r="B171" s="3">
        <f t="shared" si="9"/>
        <v>11</v>
      </c>
      <c r="C171" s="3">
        <f t="shared" si="10"/>
        <v>11</v>
      </c>
    </row>
    <row r="172" spans="1:3" x14ac:dyDescent="0.15">
      <c r="A172" s="82">
        <f t="shared" si="8"/>
        <v>17</v>
      </c>
      <c r="B172" s="3">
        <f t="shared" si="9"/>
        <v>11</v>
      </c>
      <c r="C172" s="3">
        <f t="shared" si="10"/>
        <v>11</v>
      </c>
    </row>
    <row r="173" spans="1:3" x14ac:dyDescent="0.15">
      <c r="A173" s="82">
        <f t="shared" si="8"/>
        <v>18</v>
      </c>
      <c r="B173" s="3">
        <f t="shared" si="9"/>
        <v>11</v>
      </c>
      <c r="C173" s="3">
        <f t="shared" si="10"/>
        <v>11</v>
      </c>
    </row>
    <row r="174" spans="1:3" x14ac:dyDescent="0.15">
      <c r="A174" s="82">
        <f t="shared" si="8"/>
        <v>19</v>
      </c>
      <c r="B174" s="3">
        <f t="shared" si="9"/>
        <v>11</v>
      </c>
      <c r="C174" s="3">
        <f t="shared" si="10"/>
        <v>11</v>
      </c>
    </row>
    <row r="175" spans="1:3" x14ac:dyDescent="0.15">
      <c r="A175" s="82">
        <f t="shared" si="8"/>
        <v>20</v>
      </c>
      <c r="B175" s="3">
        <f t="shared" si="9"/>
        <v>11</v>
      </c>
      <c r="C175" s="3">
        <f t="shared" si="10"/>
        <v>11</v>
      </c>
    </row>
    <row r="176" spans="1:3" x14ac:dyDescent="0.15">
      <c r="A176" s="82"/>
    </row>
    <row r="177" spans="1:6" x14ac:dyDescent="0.15">
      <c r="B177" s="102"/>
    </row>
    <row r="178" spans="1:6" x14ac:dyDescent="0.15">
      <c r="A178" s="3" t="s">
        <v>470</v>
      </c>
      <c r="B178" s="56">
        <f>IRR(C155:C175)</f>
        <v>9.2540257515363322E-3</v>
      </c>
    </row>
    <row r="179" spans="1:6" x14ac:dyDescent="0.15">
      <c r="A179" s="3" t="s">
        <v>469</v>
      </c>
      <c r="B179" s="50">
        <f>POWER(1+B178,12)-1</f>
        <v>0.1168783821701227</v>
      </c>
    </row>
    <row r="181" spans="1:6" ht="15" x14ac:dyDescent="0.15">
      <c r="A181" s="8" t="s">
        <v>384</v>
      </c>
    </row>
    <row r="182" spans="1:6" x14ac:dyDescent="0.15">
      <c r="A182" s="3" t="s">
        <v>471</v>
      </c>
      <c r="B182" s="3">
        <v>1000</v>
      </c>
    </row>
    <row r="183" spans="1:6" x14ac:dyDescent="0.15">
      <c r="A183" s="3" t="s">
        <v>939</v>
      </c>
      <c r="B183" s="3">
        <v>1</v>
      </c>
      <c r="C183" s="3">
        <f>B183+1</f>
        <v>2</v>
      </c>
      <c r="D183" s="3">
        <f>C183+1</f>
        <v>3</v>
      </c>
      <c r="E183" s="3">
        <f>D183+1</f>
        <v>4</v>
      </c>
      <c r="F183" s="3">
        <f>E183+1</f>
        <v>5</v>
      </c>
    </row>
    <row r="184" spans="1:6" x14ac:dyDescent="0.15">
      <c r="A184" s="3" t="s">
        <v>395</v>
      </c>
      <c r="B184" s="3">
        <v>232</v>
      </c>
      <c r="C184" s="3">
        <v>2088</v>
      </c>
      <c r="D184" s="3">
        <v>232</v>
      </c>
      <c r="E184" s="3">
        <v>-232</v>
      </c>
      <c r="F184" s="3">
        <v>-927</v>
      </c>
    </row>
    <row r="187" spans="1:6" x14ac:dyDescent="0.15">
      <c r="A187" s="3" t="s">
        <v>439</v>
      </c>
      <c r="B187" s="50">
        <v>-0.15117585629634148</v>
      </c>
      <c r="C187" s="50">
        <v>0.48276342694261498</v>
      </c>
    </row>
    <row r="188" spans="1:6" x14ac:dyDescent="0.15">
      <c r="A188" s="3" t="s">
        <v>513</v>
      </c>
      <c r="B188" s="189">
        <f>NPV(B187,B184:F184)</f>
        <v>1000.0000891968286</v>
      </c>
      <c r="C188" s="189">
        <f>NPV(C187,B184:F184)</f>
        <v>999.9995007393544</v>
      </c>
    </row>
    <row r="191" spans="1:6" ht="15" x14ac:dyDescent="0.15">
      <c r="A191" s="8" t="s">
        <v>388</v>
      </c>
    </row>
    <row r="192" spans="1:6" x14ac:dyDescent="0.15">
      <c r="A192" s="3" t="s">
        <v>471</v>
      </c>
      <c r="B192" s="3">
        <v>1000</v>
      </c>
    </row>
    <row r="193" spans="1:7" x14ac:dyDescent="0.15">
      <c r="A193" s="3" t="s">
        <v>939</v>
      </c>
      <c r="C193" s="3">
        <v>1</v>
      </c>
      <c r="D193" s="3">
        <f>C193+1</f>
        <v>2</v>
      </c>
      <c r="E193" s="3">
        <f>D193+1</f>
        <v>3</v>
      </c>
      <c r="F193" s="3">
        <f>E193+1</f>
        <v>4</v>
      </c>
      <c r="G193" s="3">
        <f>F193+1</f>
        <v>5</v>
      </c>
    </row>
    <row r="194" spans="1:7" x14ac:dyDescent="0.15">
      <c r="A194" s="3" t="s">
        <v>395</v>
      </c>
      <c r="B194" s="3">
        <f>B196</f>
        <v>-1000</v>
      </c>
      <c r="C194" s="3">
        <v>300</v>
      </c>
      <c r="D194" s="3">
        <v>400</v>
      </c>
      <c r="E194" s="3">
        <v>100</v>
      </c>
      <c r="F194" s="3">
        <v>200</v>
      </c>
      <c r="G194" s="3">
        <v>500</v>
      </c>
    </row>
    <row r="195" spans="1:7" x14ac:dyDescent="0.15">
      <c r="A195" s="3" t="s">
        <v>1430</v>
      </c>
      <c r="C195" s="13">
        <f>C194*(1+$B$199)^($G$193-C193)</f>
        <v>439.23000000000013</v>
      </c>
      <c r="D195" s="13">
        <f>D194*(1+$B$199)^($G$193-D193)</f>
        <v>532.4000000000002</v>
      </c>
      <c r="E195" s="13">
        <f>E194*(1+$B$199)^($G$193-E193)</f>
        <v>121.00000000000001</v>
      </c>
      <c r="F195" s="13">
        <f>F194*(1+$B$199)^($G$193-F193)</f>
        <v>220.00000000000003</v>
      </c>
      <c r="G195" s="13">
        <f>G194*(1+$B$199)^($G$193-G193)</f>
        <v>500</v>
      </c>
    </row>
    <row r="196" spans="1:7" x14ac:dyDescent="0.15">
      <c r="A196" s="3" t="s">
        <v>1431</v>
      </c>
      <c r="B196" s="3">
        <f>-B192</f>
        <v>-1000</v>
      </c>
      <c r="C196" s="3">
        <v>0</v>
      </c>
      <c r="D196" s="3">
        <v>0</v>
      </c>
      <c r="E196" s="3">
        <v>0</v>
      </c>
      <c r="F196" s="3">
        <v>0</v>
      </c>
      <c r="G196" s="13">
        <f>SUM(C195:G195)</f>
        <v>1812.6300000000003</v>
      </c>
    </row>
    <row r="199" spans="1:7" x14ac:dyDescent="0.15">
      <c r="A199" s="3" t="s">
        <v>1428</v>
      </c>
      <c r="B199" s="80">
        <v>0.1</v>
      </c>
    </row>
    <row r="200" spans="1:7" x14ac:dyDescent="0.15">
      <c r="A200" s="3" t="s">
        <v>439</v>
      </c>
      <c r="B200" s="50">
        <f>IRR(B194:G194)</f>
        <v>0.1467002803866635</v>
      </c>
      <c r="C200" s="50"/>
    </row>
    <row r="201" spans="1:7" x14ac:dyDescent="0.15">
      <c r="A201" s="3" t="s">
        <v>1429</v>
      </c>
      <c r="B201" s="55">
        <f>IRR(B196:G196)</f>
        <v>0.126320095388472</v>
      </c>
      <c r="C201" s="189"/>
    </row>
    <row r="205" spans="1:7" ht="15" x14ac:dyDescent="0.15">
      <c r="A205" s="8" t="s">
        <v>390</v>
      </c>
    </row>
    <row r="206" spans="1:7" ht="15" x14ac:dyDescent="0.15">
      <c r="A206" s="8"/>
    </row>
    <row r="207" spans="1:7" x14ac:dyDescent="0.15">
      <c r="A207" s="3" t="s">
        <v>925</v>
      </c>
      <c r="B207" s="3">
        <v>1</v>
      </c>
      <c r="C207" s="3">
        <v>2</v>
      </c>
      <c r="D207" s="108" t="s">
        <v>1545</v>
      </c>
      <c r="E207" s="108" t="s">
        <v>1546</v>
      </c>
    </row>
    <row r="208" spans="1:7" x14ac:dyDescent="0.15">
      <c r="A208" s="3" t="s">
        <v>1543</v>
      </c>
      <c r="B208" s="3">
        <v>0</v>
      </c>
      <c r="C208" s="3">
        <v>121</v>
      </c>
      <c r="D208" s="68">
        <f>NPV(5%,B208:C208)</f>
        <v>109.75056689342402</v>
      </c>
      <c r="E208" s="68">
        <f>NPV(10%,B208:C208)</f>
        <v>99.999999999999986</v>
      </c>
    </row>
    <row r="209" spans="1:6" x14ac:dyDescent="0.15">
      <c r="A209" s="3" t="s">
        <v>1544</v>
      </c>
      <c r="B209" s="3">
        <v>10</v>
      </c>
      <c r="C209" s="3">
        <v>110</v>
      </c>
      <c r="D209" s="68">
        <f>NPV(5%,B209:C209)</f>
        <v>109.297052154195</v>
      </c>
      <c r="E209" s="68">
        <f>NPV(10%,B209:C209)</f>
        <v>99.999999999999986</v>
      </c>
    </row>
    <row r="211" spans="1:6" x14ac:dyDescent="0.15">
      <c r="C211" s="3" t="s">
        <v>1548</v>
      </c>
    </row>
    <row r="212" spans="1:6" x14ac:dyDescent="0.15">
      <c r="C212" s="80">
        <v>0</v>
      </c>
      <c r="D212" s="80">
        <v>0.05</v>
      </c>
      <c r="E212" s="80">
        <v>0.1</v>
      </c>
      <c r="F212" s="80">
        <v>0.15</v>
      </c>
    </row>
    <row r="213" spans="1:6" x14ac:dyDescent="0.15">
      <c r="A213" s="3" t="s">
        <v>1547</v>
      </c>
      <c r="B213" s="3">
        <v>0</v>
      </c>
      <c r="C213" s="3">
        <f>$B$209*(1+C212)+$C$209</f>
        <v>120</v>
      </c>
      <c r="D213" s="3">
        <f t="shared" ref="D213:F213" si="11">$B$209*(1+D212)+$C$209</f>
        <v>120.5</v>
      </c>
      <c r="E213" s="250">
        <f t="shared" si="11"/>
        <v>121</v>
      </c>
      <c r="F213" s="3">
        <f t="shared" si="11"/>
        <v>121.5</v>
      </c>
    </row>
  </sheetData>
  <mergeCells count="3">
    <mergeCell ref="B73:C73"/>
    <mergeCell ref="B74:C74"/>
    <mergeCell ref="B72:C72"/>
  </mergeCells>
  <phoneticPr fontId="4" type="noConversion"/>
  <pageMargins left="0.78740157480314965" right="0.78740157480314965" top="0.98425196850393704" bottom="0.98425196850393704" header="0.51181102362204722" footer="0.51181102362204722"/>
  <pageSetup paperSize="9" scale="62" fitToHeight="10"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euil18">
    <pageSetUpPr fitToPage="1"/>
  </sheetPr>
  <dimension ref="A1:O43"/>
  <sheetViews>
    <sheetView showGridLines="0" zoomScale="85" zoomScaleNormal="130" zoomScalePageLayoutView="130" workbookViewId="0">
      <selection activeCell="G6" sqref="G6"/>
    </sheetView>
  </sheetViews>
  <sheetFormatPr baseColWidth="10" defaultColWidth="11" defaultRowHeight="14" x14ac:dyDescent="0.15"/>
  <cols>
    <col min="1" max="1" width="24.83203125" style="3" bestFit="1" customWidth="1"/>
    <col min="2" max="2" width="11.1640625" style="3" customWidth="1"/>
    <col min="3" max="5" width="7.1640625" style="3" customWidth="1"/>
    <col min="6" max="6" width="7.83203125" style="3" customWidth="1"/>
    <col min="7" max="12" width="7.1640625" style="3" customWidth="1"/>
    <col min="13" max="13" width="8.5" style="3" customWidth="1"/>
    <col min="14" max="14" width="7.83203125" style="3" customWidth="1"/>
    <col min="15" max="16384" width="11" style="3"/>
  </cols>
  <sheetData>
    <row r="1" spans="1:15" ht="15" x14ac:dyDescent="0.15">
      <c r="A1" s="1" t="s">
        <v>1492</v>
      </c>
    </row>
    <row r="2" spans="1:15" x14ac:dyDescent="0.15">
      <c r="A2" s="342"/>
      <c r="B2" s="350">
        <v>45747</v>
      </c>
      <c r="C2" s="350">
        <f>+B2+30</f>
        <v>45777</v>
      </c>
      <c r="D2" s="350">
        <f t="shared" ref="D2:N2" si="0">+C2+30</f>
        <v>45807</v>
      </c>
      <c r="E2" s="350">
        <f t="shared" si="0"/>
        <v>45837</v>
      </c>
      <c r="F2" s="350">
        <f t="shared" si="0"/>
        <v>45867</v>
      </c>
      <c r="G2" s="350">
        <f t="shared" si="0"/>
        <v>45897</v>
      </c>
      <c r="H2" s="350">
        <f t="shared" si="0"/>
        <v>45927</v>
      </c>
      <c r="I2" s="350">
        <f t="shared" si="0"/>
        <v>45957</v>
      </c>
      <c r="J2" s="350">
        <f t="shared" si="0"/>
        <v>45987</v>
      </c>
      <c r="K2" s="350">
        <f t="shared" si="0"/>
        <v>46017</v>
      </c>
      <c r="L2" s="350">
        <f t="shared" si="0"/>
        <v>46047</v>
      </c>
      <c r="M2" s="350">
        <f t="shared" si="0"/>
        <v>46077</v>
      </c>
      <c r="N2" s="350">
        <f t="shared" si="0"/>
        <v>46107</v>
      </c>
    </row>
    <row r="3" spans="1:15" x14ac:dyDescent="0.15">
      <c r="A3" s="3" t="s">
        <v>1491</v>
      </c>
      <c r="B3" s="385">
        <v>572</v>
      </c>
      <c r="C3" s="385">
        <v>488</v>
      </c>
      <c r="D3" s="385">
        <v>478</v>
      </c>
      <c r="E3" s="385">
        <v>445</v>
      </c>
      <c r="F3" s="385">
        <v>472</v>
      </c>
      <c r="G3" s="385">
        <v>504</v>
      </c>
      <c r="H3" s="385">
        <v>521</v>
      </c>
      <c r="I3" s="385">
        <v>612</v>
      </c>
      <c r="J3" s="385">
        <v>636</v>
      </c>
      <c r="K3" s="385">
        <v>645</v>
      </c>
      <c r="L3" s="385">
        <v>547</v>
      </c>
      <c r="M3" s="385">
        <v>544</v>
      </c>
      <c r="N3" s="385">
        <v>463</v>
      </c>
      <c r="O3" s="241"/>
    </row>
    <row r="4" spans="1:15" x14ac:dyDescent="0.15">
      <c r="A4" s="183" t="s">
        <v>1350</v>
      </c>
      <c r="B4" s="351">
        <v>7791</v>
      </c>
      <c r="C4" s="351">
        <v>7594</v>
      </c>
      <c r="D4" s="351">
        <v>7752</v>
      </c>
      <c r="E4" s="351">
        <v>7666</v>
      </c>
      <c r="F4" s="351">
        <v>7772</v>
      </c>
      <c r="G4" s="351">
        <v>7704</v>
      </c>
      <c r="H4" s="351">
        <v>7896</v>
      </c>
      <c r="I4" s="351">
        <v>8121</v>
      </c>
      <c r="J4" s="351">
        <v>8123</v>
      </c>
      <c r="K4" s="351">
        <v>8150</v>
      </c>
      <c r="L4" s="351">
        <v>8127</v>
      </c>
      <c r="M4" s="351">
        <v>8581</v>
      </c>
      <c r="N4" s="351">
        <v>7817</v>
      </c>
    </row>
    <row r="5" spans="1:15" x14ac:dyDescent="0.15">
      <c r="A5" s="3" t="s">
        <v>712</v>
      </c>
    </row>
    <row r="6" spans="1:15" x14ac:dyDescent="0.15">
      <c r="A6" s="3" t="s">
        <v>1493</v>
      </c>
      <c r="B6" s="67">
        <f>N3/B3-1</f>
        <v>-0.19055944055944052</v>
      </c>
    </row>
    <row r="7" spans="1:15" x14ac:dyDescent="0.15">
      <c r="A7" s="3" t="s">
        <v>473</v>
      </c>
      <c r="B7" s="67">
        <f>N4/B4-1</f>
        <v>3.3371839301759021E-3</v>
      </c>
    </row>
    <row r="9" spans="1:15" x14ac:dyDescent="0.15">
      <c r="A9" s="3" t="s">
        <v>474</v>
      </c>
    </row>
    <row r="10" spans="1:15" x14ac:dyDescent="0.15">
      <c r="A10" s="242" t="s">
        <v>1491</v>
      </c>
      <c r="B10" s="50"/>
      <c r="C10" s="50">
        <f>(C3-B3)/B3</f>
        <v>-0.14685314685314685</v>
      </c>
      <c r="D10" s="50">
        <f t="shared" ref="D10:N11" si="1">(D3-C3)/C3</f>
        <v>-2.0491803278688523E-2</v>
      </c>
      <c r="E10" s="50">
        <f t="shared" si="1"/>
        <v>-6.903765690376569E-2</v>
      </c>
      <c r="F10" s="50">
        <f t="shared" si="1"/>
        <v>6.0674157303370786E-2</v>
      </c>
      <c r="G10" s="50">
        <f t="shared" si="1"/>
        <v>6.7796610169491525E-2</v>
      </c>
      <c r="H10" s="50">
        <f t="shared" si="1"/>
        <v>3.3730158730158728E-2</v>
      </c>
      <c r="I10" s="50">
        <f t="shared" si="1"/>
        <v>0.1746641074856046</v>
      </c>
      <c r="J10" s="50">
        <f t="shared" si="1"/>
        <v>3.9215686274509803E-2</v>
      </c>
      <c r="K10" s="50">
        <f t="shared" si="1"/>
        <v>1.4150943396226415E-2</v>
      </c>
      <c r="L10" s="50">
        <f t="shared" si="1"/>
        <v>-0.15193798449612403</v>
      </c>
      <c r="M10" s="50">
        <f t="shared" si="1"/>
        <v>-5.4844606946983544E-3</v>
      </c>
      <c r="N10" s="50">
        <f t="shared" si="1"/>
        <v>-0.14889705882352941</v>
      </c>
    </row>
    <row r="11" spans="1:15" x14ac:dyDescent="0.15">
      <c r="A11" s="242" t="s">
        <v>1350</v>
      </c>
      <c r="B11" s="50"/>
      <c r="C11" s="50">
        <f>(C4-B4)/B4</f>
        <v>-2.5285585932486202E-2</v>
      </c>
      <c r="D11" s="50">
        <f t="shared" si="1"/>
        <v>2.0805899394258625E-2</v>
      </c>
      <c r="E11" s="50">
        <f t="shared" si="1"/>
        <v>-1.1093911248710011E-2</v>
      </c>
      <c r="F11" s="50">
        <f t="shared" si="1"/>
        <v>1.3827289329506914E-2</v>
      </c>
      <c r="G11" s="50">
        <f t="shared" si="1"/>
        <v>-8.7493566649511061E-3</v>
      </c>
      <c r="H11" s="50">
        <f t="shared" si="1"/>
        <v>2.4922118380062305E-2</v>
      </c>
      <c r="I11" s="50">
        <f t="shared" si="1"/>
        <v>2.8495440729483283E-2</v>
      </c>
      <c r="J11" s="50">
        <f t="shared" si="1"/>
        <v>2.4627508927471984E-4</v>
      </c>
      <c r="K11" s="50">
        <f t="shared" si="1"/>
        <v>3.3238951126431122E-3</v>
      </c>
      <c r="L11" s="50">
        <f t="shared" si="1"/>
        <v>-2.822085889570552E-3</v>
      </c>
      <c r="M11" s="50">
        <f t="shared" si="1"/>
        <v>5.5863172142241908E-2</v>
      </c>
      <c r="N11" s="50">
        <f t="shared" si="1"/>
        <v>-8.9033912131453216E-2</v>
      </c>
    </row>
    <row r="13" spans="1:15" x14ac:dyDescent="0.15">
      <c r="A13" s="3" t="s">
        <v>1494</v>
      </c>
      <c r="B13" s="243">
        <f>STDEV(C10:N10)</f>
        <v>0.10079744793483016</v>
      </c>
    </row>
    <row r="14" spans="1:15" x14ac:dyDescent="0.15">
      <c r="A14" s="3" t="s">
        <v>483</v>
      </c>
      <c r="B14" s="68">
        <f>LINEST(C10:N10,C11:N11,TRUE,FALSE)</f>
        <v>1.6974418321429559</v>
      </c>
    </row>
    <row r="15" spans="1:15" x14ac:dyDescent="0.15">
      <c r="A15" s="244" t="s">
        <v>475</v>
      </c>
    </row>
    <row r="16" spans="1:15" x14ac:dyDescent="0.15">
      <c r="C16" s="3">
        <f>(C10-AVERAGE($C10:$N10))*(C$11-AVERAGE($C$11:$N$11))</f>
        <v>3.5093628320766847E-3</v>
      </c>
      <c r="D16" s="3">
        <f t="shared" ref="D16:N17" si="2">(D10-AVERAGE($C10:$N10))*(D$11-AVERAGE($C$11:$N$11))</f>
        <v>-1.5518113429997628E-4</v>
      </c>
      <c r="E16" s="3">
        <f t="shared" si="2"/>
        <v>6.7422657464996703E-4</v>
      </c>
      <c r="F16" s="3">
        <f t="shared" si="2"/>
        <v>9.504440106755627E-4</v>
      </c>
      <c r="G16" s="3">
        <f t="shared" si="2"/>
        <v>-7.7477947790654958E-4</v>
      </c>
      <c r="H16" s="3">
        <f t="shared" si="2"/>
        <v>1.1166556428725881E-3</v>
      </c>
      <c r="I16" s="3">
        <f t="shared" si="2"/>
        <v>5.1752532684757576E-3</v>
      </c>
      <c r="J16" s="3">
        <f t="shared" si="2"/>
        <v>-3.2641080560087479E-5</v>
      </c>
      <c r="K16" s="3">
        <f t="shared" si="2"/>
        <v>6.5771225349860548E-5</v>
      </c>
      <c r="L16" s="3">
        <f t="shared" si="2"/>
        <v>5.1474424587037173E-4</v>
      </c>
      <c r="M16" s="3">
        <f t="shared" si="2"/>
        <v>3.9709259160327428E-4</v>
      </c>
      <c r="N16" s="3">
        <f t="shared" si="2"/>
        <v>1.2244792926773027E-2</v>
      </c>
    </row>
    <row r="17" spans="1:14" x14ac:dyDescent="0.15">
      <c r="C17" s="3">
        <f>(C11-AVERAGE($C11:$N11))*(C$11-AVERAGE($C$11:$N$11))</f>
        <v>6.8437293529354784E-4</v>
      </c>
      <c r="D17" s="3">
        <f t="shared" si="2"/>
        <v>3.9724328086155193E-4</v>
      </c>
      <c r="E17" s="3">
        <f t="shared" si="2"/>
        <v>1.4325331705078917E-4</v>
      </c>
      <c r="F17" s="3">
        <f t="shared" si="2"/>
        <v>1.6776344315018373E-4</v>
      </c>
      <c r="G17" s="3">
        <f t="shared" si="2"/>
        <v>9.2627019422660589E-5</v>
      </c>
      <c r="H17" s="3">
        <f t="shared" si="2"/>
        <v>5.7826695512915765E-4</v>
      </c>
      <c r="I17" s="3">
        <f t="shared" si="2"/>
        <v>7.6289225246246449E-4</v>
      </c>
      <c r="J17" s="3">
        <f t="shared" si="2"/>
        <v>3.9521520184734971E-7</v>
      </c>
      <c r="K17" s="3">
        <f t="shared" si="2"/>
        <v>5.9973981597869912E-6</v>
      </c>
      <c r="L17" s="3">
        <f t="shared" si="2"/>
        <v>1.3667974740183494E-5</v>
      </c>
      <c r="M17" s="3">
        <f t="shared" si="2"/>
        <v>3.023706056202917E-3</v>
      </c>
      <c r="N17" s="3">
        <f t="shared" si="2"/>
        <v>8.0836010668833488E-3</v>
      </c>
    </row>
    <row r="18" spans="1:14" x14ac:dyDescent="0.15">
      <c r="A18" s="3" t="s">
        <v>483</v>
      </c>
      <c r="B18" s="68">
        <f>SUM(C16:N16)/SUM(C17:N17)</f>
        <v>1.6974418321429559</v>
      </c>
    </row>
    <row r="20" spans="1:14" x14ac:dyDescent="0.15">
      <c r="A20" s="3" t="s">
        <v>1351</v>
      </c>
      <c r="B20" s="243">
        <f>STDEV(B11:N11)</f>
        <v>3.5616373806743387E-2</v>
      </c>
    </row>
    <row r="21" spans="1:14" x14ac:dyDescent="0.15">
      <c r="B21" s="50"/>
    </row>
    <row r="22" spans="1:14" x14ac:dyDescent="0.15">
      <c r="A22" s="3" t="s">
        <v>1495</v>
      </c>
      <c r="B22" s="50">
        <f>B18*B20</f>
        <v>6.045672280880688E-2</v>
      </c>
      <c r="E22" s="245" t="s">
        <v>350</v>
      </c>
    </row>
    <row r="23" spans="1:14" x14ac:dyDescent="0.15">
      <c r="A23" s="3" t="s">
        <v>1496</v>
      </c>
      <c r="B23" s="50">
        <f>SQRT(B13*B13-B22*B22)</f>
        <v>8.0654263231362336E-2</v>
      </c>
      <c r="E23" s="245" t="s">
        <v>350</v>
      </c>
    </row>
    <row r="24" spans="1:14" x14ac:dyDescent="0.15">
      <c r="E24" s="3" t="s">
        <v>1520</v>
      </c>
    </row>
    <row r="25" spans="1:14" ht="15" x14ac:dyDescent="0.15">
      <c r="A25" s="6" t="s">
        <v>577</v>
      </c>
      <c r="B25" s="55">
        <f>B22/B13</f>
        <v>0.59978426088619552</v>
      </c>
    </row>
    <row r="27" spans="1:14" ht="15" x14ac:dyDescent="0.15">
      <c r="A27" s="8" t="s">
        <v>27</v>
      </c>
    </row>
    <row r="29" spans="1:14" s="7" customFormat="1" x14ac:dyDescent="0.15">
      <c r="A29" s="317" t="s">
        <v>28</v>
      </c>
      <c r="B29" s="317">
        <v>2016</v>
      </c>
      <c r="C29" s="317">
        <f t="shared" ref="C29:H29" si="3">B29+1</f>
        <v>2017</v>
      </c>
      <c r="D29" s="317">
        <f t="shared" si="3"/>
        <v>2018</v>
      </c>
      <c r="E29" s="317">
        <f t="shared" si="3"/>
        <v>2019</v>
      </c>
      <c r="F29" s="317">
        <f t="shared" si="3"/>
        <v>2020</v>
      </c>
      <c r="G29" s="317">
        <f t="shared" si="3"/>
        <v>2021</v>
      </c>
      <c r="H29" s="317">
        <f t="shared" si="3"/>
        <v>2022</v>
      </c>
      <c r="I29" s="317">
        <f>H29+1</f>
        <v>2023</v>
      </c>
      <c r="J29" s="317">
        <f>I29+1</f>
        <v>2024</v>
      </c>
      <c r="K29" s="317">
        <f>J29+1</f>
        <v>2025</v>
      </c>
      <c r="L29" s="317">
        <f>K29+1</f>
        <v>2026</v>
      </c>
    </row>
    <row r="30" spans="1:14" x14ac:dyDescent="0.15">
      <c r="A30" s="3" t="s">
        <v>975</v>
      </c>
      <c r="B30" s="3">
        <v>155</v>
      </c>
      <c r="C30" s="3">
        <v>255</v>
      </c>
      <c r="D30" s="3">
        <v>211</v>
      </c>
      <c r="E30" s="3">
        <v>139</v>
      </c>
      <c r="F30" s="3">
        <v>94</v>
      </c>
      <c r="G30" s="3">
        <v>117</v>
      </c>
      <c r="H30" s="3">
        <v>139</v>
      </c>
      <c r="I30" s="3">
        <v>145</v>
      </c>
      <c r="J30" s="3">
        <v>179</v>
      </c>
      <c r="K30" s="3">
        <v>181</v>
      </c>
      <c r="L30" s="3">
        <v>109</v>
      </c>
    </row>
    <row r="31" spans="1:14" x14ac:dyDescent="0.15">
      <c r="A31" s="3" t="s">
        <v>976</v>
      </c>
      <c r="B31" s="3">
        <v>61</v>
      </c>
      <c r="C31" s="3">
        <v>81</v>
      </c>
      <c r="D31" s="3">
        <v>79</v>
      </c>
      <c r="E31" s="3">
        <v>75</v>
      </c>
      <c r="F31" s="3">
        <v>71</v>
      </c>
      <c r="G31" s="3">
        <v>73</v>
      </c>
      <c r="H31" s="3">
        <v>77</v>
      </c>
      <c r="I31" s="3">
        <v>84</v>
      </c>
      <c r="J31" s="3">
        <v>95</v>
      </c>
      <c r="K31" s="3">
        <v>103</v>
      </c>
      <c r="L31" s="3">
        <v>82</v>
      </c>
    </row>
    <row r="32" spans="1:14" x14ac:dyDescent="0.15">
      <c r="A32" s="88" t="s">
        <v>977</v>
      </c>
      <c r="B32" s="88">
        <v>299</v>
      </c>
      <c r="C32" s="88">
        <v>412</v>
      </c>
      <c r="D32" s="88">
        <v>392</v>
      </c>
      <c r="E32" s="88">
        <v>315</v>
      </c>
      <c r="F32" s="88">
        <v>206</v>
      </c>
      <c r="G32" s="88">
        <v>243</v>
      </c>
      <c r="H32" s="88">
        <v>269</v>
      </c>
      <c r="I32" s="88">
        <v>329</v>
      </c>
      <c r="J32" s="88">
        <v>396</v>
      </c>
      <c r="K32" s="88">
        <v>415</v>
      </c>
      <c r="L32" s="88">
        <v>223</v>
      </c>
    </row>
    <row r="34" spans="1:12" x14ac:dyDescent="0.15">
      <c r="A34" s="7" t="s">
        <v>30</v>
      </c>
      <c r="B34" s="7" t="s">
        <v>1626</v>
      </c>
      <c r="D34" s="3" t="s">
        <v>474</v>
      </c>
    </row>
    <row r="35" spans="1:12" x14ac:dyDescent="0.15">
      <c r="A35" s="3" t="s">
        <v>975</v>
      </c>
      <c r="B35" s="116">
        <f>POWER(L30/B30,1/($L$29-$B$29))-1</f>
        <v>-3.4595141818162922E-2</v>
      </c>
      <c r="C35" s="3">
        <f t="shared" ref="C35:L35" si="4">(C30-B30)/B30</f>
        <v>0.64516129032258063</v>
      </c>
      <c r="D35" s="3">
        <f t="shared" si="4"/>
        <v>-0.17254901960784313</v>
      </c>
      <c r="E35" s="3">
        <f t="shared" si="4"/>
        <v>-0.34123222748815168</v>
      </c>
      <c r="F35" s="3">
        <f t="shared" si="4"/>
        <v>-0.32374100719424459</v>
      </c>
      <c r="G35" s="3">
        <f t="shared" si="4"/>
        <v>0.24468085106382978</v>
      </c>
      <c r="H35" s="3">
        <f t="shared" si="4"/>
        <v>0.18803418803418803</v>
      </c>
      <c r="I35" s="3">
        <f t="shared" si="4"/>
        <v>4.3165467625899283E-2</v>
      </c>
      <c r="J35" s="3">
        <f t="shared" si="4"/>
        <v>0.23448275862068965</v>
      </c>
      <c r="K35" s="3">
        <f t="shared" si="4"/>
        <v>1.11731843575419E-2</v>
      </c>
      <c r="L35" s="3">
        <f t="shared" si="4"/>
        <v>-0.39779005524861877</v>
      </c>
    </row>
    <row r="36" spans="1:12" x14ac:dyDescent="0.15">
      <c r="A36" s="3" t="s">
        <v>976</v>
      </c>
      <c r="B36" s="116">
        <f>POWER(L31/B31,1/($L$29-$B$29))-1</f>
        <v>3.0026508490686998E-2</v>
      </c>
      <c r="C36" s="3">
        <f t="shared" ref="C36:L36" si="5">C31/B31-1</f>
        <v>0.32786885245901631</v>
      </c>
      <c r="D36" s="3">
        <f t="shared" si="5"/>
        <v>-2.4691358024691357E-2</v>
      </c>
      <c r="E36" s="3">
        <f t="shared" si="5"/>
        <v>-5.0632911392405111E-2</v>
      </c>
      <c r="F36" s="3">
        <f t="shared" si="5"/>
        <v>-5.3333333333333344E-2</v>
      </c>
      <c r="G36" s="3">
        <f t="shared" si="5"/>
        <v>2.8169014084507005E-2</v>
      </c>
      <c r="H36" s="3">
        <f t="shared" si="5"/>
        <v>5.4794520547945202E-2</v>
      </c>
      <c r="I36" s="3">
        <f t="shared" si="5"/>
        <v>9.0909090909090828E-2</v>
      </c>
      <c r="J36" s="3">
        <f t="shared" si="5"/>
        <v>0.13095238095238093</v>
      </c>
      <c r="K36" s="3">
        <f t="shared" si="5"/>
        <v>8.4210526315789513E-2</v>
      </c>
      <c r="L36" s="3">
        <f t="shared" si="5"/>
        <v>-0.20388349514563109</v>
      </c>
    </row>
    <row r="37" spans="1:12" x14ac:dyDescent="0.15">
      <c r="A37" s="3" t="s">
        <v>977</v>
      </c>
      <c r="B37" s="116">
        <f>POWER(L32/B32,1/($L$29-$B$29))-1</f>
        <v>-2.8901311771897586E-2</v>
      </c>
      <c r="C37" s="3">
        <f t="shared" ref="C37:L37" si="6">C32/B32-1</f>
        <v>0.37792642140468224</v>
      </c>
      <c r="D37" s="3">
        <f t="shared" si="6"/>
        <v>-4.8543689320388328E-2</v>
      </c>
      <c r="E37" s="3">
        <f t="shared" si="6"/>
        <v>-0.1964285714285714</v>
      </c>
      <c r="F37" s="3">
        <f t="shared" si="6"/>
        <v>-0.34603174603174602</v>
      </c>
      <c r="G37" s="3">
        <f t="shared" si="6"/>
        <v>0.17961165048543681</v>
      </c>
      <c r="H37" s="3">
        <f t="shared" si="6"/>
        <v>0.10699588477366251</v>
      </c>
      <c r="I37" s="3">
        <f t="shared" si="6"/>
        <v>0.22304832713754652</v>
      </c>
      <c r="J37" s="3">
        <f t="shared" si="6"/>
        <v>0.20364741641337392</v>
      </c>
      <c r="K37" s="3">
        <f t="shared" si="6"/>
        <v>4.7979797979798011E-2</v>
      </c>
      <c r="L37" s="3">
        <f t="shared" si="6"/>
        <v>-0.46265060240963851</v>
      </c>
    </row>
    <row r="39" spans="1:12" x14ac:dyDescent="0.15">
      <c r="A39" s="7" t="s">
        <v>29</v>
      </c>
    </row>
    <row r="40" spans="1:12" x14ac:dyDescent="0.15">
      <c r="A40" s="3" t="s">
        <v>975</v>
      </c>
      <c r="B40" s="50">
        <f>STDEV(C35:L35)</f>
        <v>0.32930237353055475</v>
      </c>
    </row>
    <row r="41" spans="1:12" x14ac:dyDescent="0.15">
      <c r="A41" s="3" t="s">
        <v>976</v>
      </c>
      <c r="B41" s="50">
        <f>STDEV(C36:L36)</f>
        <v>0.14008373849839756</v>
      </c>
    </row>
    <row r="42" spans="1:12" x14ac:dyDescent="0.15">
      <c r="A42" s="3" t="s">
        <v>977</v>
      </c>
      <c r="B42" s="50">
        <f>STDEV(C37:L37)</f>
        <v>0.26957868167528587</v>
      </c>
    </row>
    <row r="43" spans="1:12" x14ac:dyDescent="0.15">
      <c r="B43" s="247"/>
    </row>
  </sheetData>
  <phoneticPr fontId="4" type="noConversion"/>
  <pageMargins left="0.78740157480314965" right="0.78740157480314965" top="0.98425196850393704" bottom="0.98425196850393704" header="0.51181102362204722" footer="0.51181102362204722"/>
  <pageSetup paperSize="9" scale="83" fitToHeight="4" orientation="landscape"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euil19">
    <pageSetUpPr fitToPage="1"/>
  </sheetPr>
  <dimension ref="A1:L74"/>
  <sheetViews>
    <sheetView showGridLines="0" workbookViewId="0">
      <selection activeCell="A18" sqref="A18"/>
    </sheetView>
  </sheetViews>
  <sheetFormatPr baseColWidth="10" defaultColWidth="11" defaultRowHeight="14" x14ac:dyDescent="0.15"/>
  <cols>
    <col min="1" max="1" width="26.1640625" style="3" customWidth="1"/>
    <col min="2" max="16384" width="11" style="3"/>
  </cols>
  <sheetData>
    <row r="1" spans="1:2" ht="15" x14ac:dyDescent="0.15">
      <c r="A1" s="1" t="s">
        <v>1225</v>
      </c>
    </row>
    <row r="2" spans="1:2" x14ac:dyDescent="0.15">
      <c r="A2" s="3" t="s">
        <v>476</v>
      </c>
      <c r="B2" s="104">
        <v>0.1</v>
      </c>
    </row>
    <row r="3" spans="1:2" x14ac:dyDescent="0.15">
      <c r="A3" s="3" t="s">
        <v>477</v>
      </c>
      <c r="B3" s="104">
        <v>0.18</v>
      </c>
    </row>
    <row r="6" spans="1:2" x14ac:dyDescent="0.15">
      <c r="A6" s="7" t="s">
        <v>1384</v>
      </c>
    </row>
    <row r="7" spans="1:2" ht="15" x14ac:dyDescent="0.15">
      <c r="A7" s="6" t="s">
        <v>484</v>
      </c>
      <c r="B7" s="104">
        <f>4/18</f>
        <v>0.22222222222222221</v>
      </c>
    </row>
    <row r="9" spans="1:2" x14ac:dyDescent="0.15">
      <c r="A9" s="3" t="s">
        <v>477</v>
      </c>
      <c r="B9" s="104">
        <f>(1-B7)*B3</f>
        <v>0.13999999999999999</v>
      </c>
    </row>
    <row r="10" spans="1:2" x14ac:dyDescent="0.15">
      <c r="B10" s="104"/>
    </row>
    <row r="12" spans="1:2" x14ac:dyDescent="0.15">
      <c r="A12" s="7" t="s">
        <v>1385</v>
      </c>
    </row>
    <row r="13" spans="1:2" ht="15" x14ac:dyDescent="0.15">
      <c r="A13" s="6" t="s">
        <v>485</v>
      </c>
      <c r="B13" s="104">
        <f>5/18</f>
        <v>0.27777777777777779</v>
      </c>
    </row>
    <row r="15" spans="1:2" x14ac:dyDescent="0.15">
      <c r="A15" s="3" t="s">
        <v>477</v>
      </c>
      <c r="B15" s="80">
        <f>B3*(1+B13)</f>
        <v>0.22999999999999998</v>
      </c>
    </row>
    <row r="17" spans="1:12" ht="15" x14ac:dyDescent="0.15">
      <c r="A17" s="8" t="s">
        <v>1227</v>
      </c>
    </row>
    <row r="18" spans="1:12" x14ac:dyDescent="0.15">
      <c r="A18" s="3" t="s">
        <v>1497</v>
      </c>
      <c r="B18" s="67">
        <v>0.13</v>
      </c>
    </row>
    <row r="19" spans="1:12" x14ac:dyDescent="0.15">
      <c r="A19" s="3" t="s">
        <v>31</v>
      </c>
      <c r="B19" s="67">
        <v>0.17</v>
      </c>
    </row>
    <row r="20" spans="1:12" x14ac:dyDescent="0.15">
      <c r="A20" s="3" t="s">
        <v>32</v>
      </c>
      <c r="B20" s="67">
        <v>0.06</v>
      </c>
    </row>
    <row r="21" spans="1:12" x14ac:dyDescent="0.15">
      <c r="A21" s="3" t="s">
        <v>33</v>
      </c>
      <c r="B21" s="67">
        <v>0.1</v>
      </c>
    </row>
    <row r="22" spans="1:12" x14ac:dyDescent="0.15">
      <c r="A22" s="3" t="s">
        <v>1498</v>
      </c>
      <c r="B22" s="102">
        <v>0.3</v>
      </c>
    </row>
    <row r="24" spans="1:12" x14ac:dyDescent="0.15">
      <c r="A24" s="3" t="s">
        <v>1499</v>
      </c>
      <c r="B24" s="67">
        <v>0</v>
      </c>
      <c r="C24" s="67">
        <v>0.1</v>
      </c>
      <c r="D24" s="239">
        <f>B30</f>
        <v>0.1707317073170731</v>
      </c>
      <c r="E24" s="67">
        <v>0.3</v>
      </c>
      <c r="F24" s="67">
        <v>0.4</v>
      </c>
      <c r="G24" s="67">
        <v>0.5</v>
      </c>
      <c r="H24" s="67">
        <v>0.6</v>
      </c>
      <c r="I24" s="67">
        <v>0.7</v>
      </c>
      <c r="J24" s="67">
        <v>0.8</v>
      </c>
      <c r="K24" s="67">
        <v>0.9</v>
      </c>
      <c r="L24" s="67">
        <v>1</v>
      </c>
    </row>
    <row r="25" spans="1:12" x14ac:dyDescent="0.15">
      <c r="A25" s="3" t="s">
        <v>34</v>
      </c>
      <c r="B25" s="67">
        <f>1-B24</f>
        <v>1</v>
      </c>
      <c r="C25" s="67">
        <f t="shared" ref="C25:L25" si="0">1-C24</f>
        <v>0.9</v>
      </c>
      <c r="D25" s="239">
        <f t="shared" si="0"/>
        <v>0.8292682926829269</v>
      </c>
      <c r="E25" s="67">
        <f t="shared" si="0"/>
        <v>0.7</v>
      </c>
      <c r="F25" s="67">
        <f t="shared" si="0"/>
        <v>0.6</v>
      </c>
      <c r="G25" s="67">
        <f t="shared" si="0"/>
        <v>0.5</v>
      </c>
      <c r="H25" s="67">
        <f t="shared" si="0"/>
        <v>0.4</v>
      </c>
      <c r="I25" s="67">
        <f t="shared" si="0"/>
        <v>0.30000000000000004</v>
      </c>
      <c r="J25" s="67">
        <f t="shared" si="0"/>
        <v>0.19999999999999996</v>
      </c>
      <c r="K25" s="67">
        <f t="shared" si="0"/>
        <v>9.9999999999999978E-2</v>
      </c>
      <c r="L25" s="67">
        <f t="shared" si="0"/>
        <v>0</v>
      </c>
    </row>
    <row r="26" spans="1:12" x14ac:dyDescent="0.15">
      <c r="A26" s="3" t="s">
        <v>1500</v>
      </c>
      <c r="B26" s="50">
        <f>SQRT(B25*B25*$B21*$B21+B24*B24*$B19*$B19+2*B24*B25*$B22*$B21*$B19)</f>
        <v>0.1</v>
      </c>
      <c r="C26" s="50">
        <f t="shared" ref="C26:L26" si="1">SQRT(C25*C25*$B21*$B21+C24*C24*$B19*$B19+2*C24*C25*$B22*$B21*$B19)</f>
        <v>9.6472794092427955E-2</v>
      </c>
      <c r="D26" s="240">
        <f t="shared" si="1"/>
        <v>9.57257260831504E-2</v>
      </c>
      <c r="E26" s="50">
        <f t="shared" si="1"/>
        <v>9.8198777996470005E-2</v>
      </c>
      <c r="F26" s="50">
        <f t="shared" si="1"/>
        <v>0.10330537256115968</v>
      </c>
      <c r="G26" s="50">
        <f t="shared" si="1"/>
        <v>0.1107925990308017</v>
      </c>
      <c r="H26" s="50">
        <f t="shared" si="1"/>
        <v>0.12021647141718976</v>
      </c>
      <c r="I26" s="50">
        <f t="shared" si="1"/>
        <v>0.13116020738013492</v>
      </c>
      <c r="J26" s="50">
        <f t="shared" si="1"/>
        <v>0.14327595750857858</v>
      </c>
      <c r="K26" s="50">
        <f t="shared" si="1"/>
        <v>0.15629139451678076</v>
      </c>
      <c r="L26" s="50">
        <f t="shared" si="1"/>
        <v>0.17</v>
      </c>
    </row>
    <row r="27" spans="1:12" x14ac:dyDescent="0.15">
      <c r="A27" s="3" t="s">
        <v>1501</v>
      </c>
      <c r="B27" s="50">
        <f>B25*$B20+B24*$B18</f>
        <v>0.06</v>
      </c>
      <c r="C27" s="50">
        <f t="shared" ref="C27:L27" si="2">C25*$B20+C24*$B18</f>
        <v>6.7000000000000004E-2</v>
      </c>
      <c r="D27" s="240">
        <f t="shared" si="2"/>
        <v>7.1951219512195116E-2</v>
      </c>
      <c r="E27" s="50">
        <f t="shared" si="2"/>
        <v>8.0999999999999989E-2</v>
      </c>
      <c r="F27" s="50">
        <f t="shared" si="2"/>
        <v>8.7999999999999995E-2</v>
      </c>
      <c r="G27" s="50">
        <f t="shared" si="2"/>
        <v>9.5000000000000001E-2</v>
      </c>
      <c r="H27" s="50">
        <f t="shared" si="2"/>
        <v>0.10200000000000001</v>
      </c>
      <c r="I27" s="50">
        <f t="shared" si="2"/>
        <v>0.109</v>
      </c>
      <c r="J27" s="50">
        <f t="shared" si="2"/>
        <v>0.11600000000000001</v>
      </c>
      <c r="K27" s="50">
        <f t="shared" si="2"/>
        <v>0.123</v>
      </c>
      <c r="L27" s="50">
        <f t="shared" si="2"/>
        <v>0.13</v>
      </c>
    </row>
    <row r="29" spans="1:12" x14ac:dyDescent="0.15">
      <c r="A29" s="3" t="s">
        <v>35</v>
      </c>
      <c r="B29" s="67">
        <f>(B19*B19-B22*B21*B19)/(B21*B21+B19*B19-2*B22*B21*B19)</f>
        <v>0.8292682926829269</v>
      </c>
    </row>
    <row r="30" spans="1:12" x14ac:dyDescent="0.15">
      <c r="A30" s="3" t="s">
        <v>1502</v>
      </c>
      <c r="B30" s="104">
        <f>1-B29</f>
        <v>0.1707317073170731</v>
      </c>
    </row>
    <row r="45" spans="1:3" ht="15" x14ac:dyDescent="0.15">
      <c r="A45" s="8" t="s">
        <v>193</v>
      </c>
    </row>
    <row r="46" spans="1:3" x14ac:dyDescent="0.15">
      <c r="A46" s="3" t="s">
        <v>478</v>
      </c>
      <c r="B46" s="5" t="s">
        <v>74</v>
      </c>
      <c r="C46" s="5" t="s">
        <v>75</v>
      </c>
    </row>
    <row r="47" spans="1:3" x14ac:dyDescent="0.15">
      <c r="A47" s="3" t="s">
        <v>479</v>
      </c>
      <c r="B47" s="80">
        <v>0.1</v>
      </c>
      <c r="C47" s="80">
        <v>0.2</v>
      </c>
    </row>
    <row r="48" spans="1:3" x14ac:dyDescent="0.15">
      <c r="A48" s="3" t="s">
        <v>480</v>
      </c>
      <c r="B48" s="80">
        <v>0.15</v>
      </c>
      <c r="C48" s="80">
        <v>0.3</v>
      </c>
    </row>
    <row r="49" spans="1:8" x14ac:dyDescent="0.15">
      <c r="B49" s="80"/>
      <c r="C49" s="80"/>
    </row>
    <row r="50" spans="1:8" x14ac:dyDescent="0.15">
      <c r="A50" s="3" t="s">
        <v>481</v>
      </c>
      <c r="B50" s="80">
        <v>0.25</v>
      </c>
    </row>
    <row r="52" spans="1:8" x14ac:dyDescent="0.15">
      <c r="A52" s="3" t="s">
        <v>482</v>
      </c>
      <c r="C52" s="5" t="s">
        <v>1436</v>
      </c>
      <c r="D52" s="5" t="s">
        <v>91</v>
      </c>
      <c r="E52" s="5" t="s">
        <v>1437</v>
      </c>
      <c r="F52" s="5" t="s">
        <v>1438</v>
      </c>
      <c r="G52" s="5" t="s">
        <v>1439</v>
      </c>
      <c r="H52" s="5" t="s">
        <v>1440</v>
      </c>
    </row>
    <row r="53" spans="1:8" x14ac:dyDescent="0.15">
      <c r="A53" s="3" t="s">
        <v>74</v>
      </c>
      <c r="B53" s="104">
        <v>2</v>
      </c>
      <c r="C53" s="104">
        <v>1</v>
      </c>
      <c r="D53" s="104">
        <f>(C48*C48-B50*B48*C48)/(B48*B48+C48*C48-2*B50*B48*C48)</f>
        <v>0.875</v>
      </c>
      <c r="E53" s="104">
        <v>0.75</v>
      </c>
      <c r="F53" s="104">
        <v>0.5</v>
      </c>
      <c r="G53" s="104">
        <v>0.25</v>
      </c>
      <c r="H53" s="104">
        <v>0</v>
      </c>
    </row>
    <row r="54" spans="1:8" x14ac:dyDescent="0.15">
      <c r="A54" s="3" t="s">
        <v>75</v>
      </c>
      <c r="B54" s="104">
        <f t="shared" ref="B54:H54" si="3">1-B53</f>
        <v>-1</v>
      </c>
      <c r="C54" s="104">
        <f t="shared" si="3"/>
        <v>0</v>
      </c>
      <c r="D54" s="104">
        <f t="shared" si="3"/>
        <v>0.125</v>
      </c>
      <c r="E54" s="104">
        <f t="shared" si="3"/>
        <v>0.25</v>
      </c>
      <c r="F54" s="104">
        <f t="shared" si="3"/>
        <v>0.5</v>
      </c>
      <c r="G54" s="104">
        <f t="shared" si="3"/>
        <v>0.75</v>
      </c>
      <c r="H54" s="104">
        <f t="shared" si="3"/>
        <v>1</v>
      </c>
    </row>
    <row r="55" spans="1:8" x14ac:dyDescent="0.15">
      <c r="A55" s="3" t="s">
        <v>480</v>
      </c>
      <c r="B55" s="50">
        <f t="shared" ref="B55:H55" si="4">SQRT(B53*B53*$B$48*$B$48+B54*B54*$C$48*$C$48+2*B53*B54*$B$50*$B$48*$C$48)</f>
        <v>0.36742346141747673</v>
      </c>
      <c r="C55" s="50">
        <f t="shared" si="4"/>
        <v>0.15</v>
      </c>
      <c r="D55" s="50">
        <f t="shared" si="4"/>
        <v>0.14523687548277814</v>
      </c>
      <c r="E55" s="50">
        <f t="shared" si="4"/>
        <v>0.15</v>
      </c>
      <c r="F55" s="50">
        <f t="shared" si="4"/>
        <v>0.18371173070873834</v>
      </c>
      <c r="G55" s="50">
        <f t="shared" si="4"/>
        <v>0.23717082451262844</v>
      </c>
      <c r="H55" s="50">
        <f t="shared" si="4"/>
        <v>0.3</v>
      </c>
    </row>
    <row r="56" spans="1:8" x14ac:dyDescent="0.15">
      <c r="A56" s="3" t="s">
        <v>479</v>
      </c>
      <c r="B56" s="55">
        <f>$B$47*B53+$C$47*B54</f>
        <v>0</v>
      </c>
      <c r="C56" s="55">
        <f t="shared" ref="C56:H56" si="5">$B$47*C53+$C$47*C54</f>
        <v>0.1</v>
      </c>
      <c r="D56" s="55">
        <f t="shared" si="5"/>
        <v>0.11250000000000002</v>
      </c>
      <c r="E56" s="55">
        <f t="shared" si="5"/>
        <v>0.125</v>
      </c>
      <c r="F56" s="55">
        <f t="shared" si="5"/>
        <v>0.15000000000000002</v>
      </c>
      <c r="G56" s="55">
        <f t="shared" si="5"/>
        <v>0.17500000000000002</v>
      </c>
      <c r="H56" s="55">
        <f t="shared" si="5"/>
        <v>0.2</v>
      </c>
    </row>
    <row r="74" spans="1:1" x14ac:dyDescent="0.15">
      <c r="A74" s="149"/>
    </row>
  </sheetData>
  <phoneticPr fontId="4" type="noConversion"/>
  <pageMargins left="0.78740157480314965" right="0.78740157480314965" top="0.98425196850393704" bottom="0.98425196850393704" header="0.51181102362204722" footer="0.51181102362204722"/>
  <pageSetup paperSize="9" scale="77" fitToHeight="5"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20">
    <pageSetUpPr fitToPage="1"/>
  </sheetPr>
  <dimension ref="A1:F57"/>
  <sheetViews>
    <sheetView showGridLines="0" workbookViewId="0">
      <selection activeCell="E17" sqref="E17"/>
    </sheetView>
  </sheetViews>
  <sheetFormatPr baseColWidth="10" defaultColWidth="11" defaultRowHeight="14" x14ac:dyDescent="0.15"/>
  <cols>
    <col min="1" max="1" width="19.1640625" style="3" bestFit="1" customWidth="1"/>
    <col min="2" max="6" width="13" style="3" customWidth="1"/>
    <col min="7" max="16384" width="11" style="3"/>
  </cols>
  <sheetData>
    <row r="1" spans="1:6" ht="15" x14ac:dyDescent="0.15">
      <c r="A1" s="1" t="s">
        <v>1225</v>
      </c>
    </row>
    <row r="2" spans="1:6" x14ac:dyDescent="0.15">
      <c r="A2" s="3" t="s">
        <v>36</v>
      </c>
      <c r="B2" s="3">
        <v>0.7</v>
      </c>
    </row>
    <row r="3" spans="1:6" x14ac:dyDescent="0.15">
      <c r="A3" s="3" t="s">
        <v>37</v>
      </c>
      <c r="B3" s="3">
        <v>1.1000000000000001</v>
      </c>
    </row>
    <row r="4" spans="1:6" x14ac:dyDescent="0.15">
      <c r="A4" s="3" t="s">
        <v>38</v>
      </c>
      <c r="B4" s="104">
        <v>0.1</v>
      </c>
    </row>
    <row r="5" spans="1:6" x14ac:dyDescent="0.15">
      <c r="A5" s="3" t="s">
        <v>486</v>
      </c>
      <c r="B5" s="104">
        <v>0.05</v>
      </c>
    </row>
    <row r="7" spans="1:6" x14ac:dyDescent="0.15">
      <c r="A7" s="3" t="s">
        <v>39</v>
      </c>
      <c r="B7" s="67">
        <f>B5+B2*(B4-B5)/B3</f>
        <v>8.1818181818181818E-2</v>
      </c>
    </row>
    <row r="9" spans="1:6" ht="15" x14ac:dyDescent="0.15">
      <c r="A9" s="8" t="s">
        <v>1227</v>
      </c>
    </row>
    <row r="10" spans="1:6" x14ac:dyDescent="0.15">
      <c r="A10" s="3" t="s">
        <v>486</v>
      </c>
      <c r="B10" s="55">
        <v>2.1000000000000001E-2</v>
      </c>
    </row>
    <row r="11" spans="1:6" x14ac:dyDescent="0.15">
      <c r="A11" s="3" t="s">
        <v>489</v>
      </c>
      <c r="B11" s="55">
        <v>0.06</v>
      </c>
    </row>
    <row r="13" spans="1:6" x14ac:dyDescent="0.15">
      <c r="A13" s="317" t="s">
        <v>487</v>
      </c>
      <c r="B13" s="343" t="s">
        <v>1678</v>
      </c>
      <c r="C13" s="343" t="s">
        <v>1521</v>
      </c>
      <c r="D13" s="343" t="s">
        <v>1607</v>
      </c>
      <c r="E13" s="343" t="s">
        <v>1608</v>
      </c>
      <c r="F13" s="343" t="s">
        <v>1522</v>
      </c>
    </row>
    <row r="14" spans="1:6" x14ac:dyDescent="0.15">
      <c r="A14" s="3" t="s">
        <v>483</v>
      </c>
      <c r="B14" s="353">
        <v>0.34</v>
      </c>
      <c r="C14" s="102">
        <v>0.77</v>
      </c>
      <c r="D14" s="102">
        <v>0.92</v>
      </c>
      <c r="E14" s="102">
        <v>1.21</v>
      </c>
      <c r="F14" s="102">
        <v>1.4</v>
      </c>
    </row>
    <row r="15" spans="1:6" x14ac:dyDescent="0.15">
      <c r="A15" s="3" t="s">
        <v>488</v>
      </c>
      <c r="B15" s="104">
        <v>5.5E-2</v>
      </c>
      <c r="C15" s="104">
        <v>7.0999999999999994E-2</v>
      </c>
      <c r="D15" s="104">
        <v>0.05</v>
      </c>
      <c r="E15" s="104">
        <v>0.112</v>
      </c>
      <c r="F15" s="104">
        <v>0.14000000000000001</v>
      </c>
    </row>
    <row r="16" spans="1:6" x14ac:dyDescent="0.15">
      <c r="A16" s="3" t="s">
        <v>1609</v>
      </c>
      <c r="B16" s="104">
        <f>$B10+B14*$B11</f>
        <v>4.1400000000000006E-2</v>
      </c>
      <c r="C16" s="104">
        <f t="shared" ref="C16:F16" si="0">$B10+C14*$B11</f>
        <v>6.7199999999999996E-2</v>
      </c>
      <c r="D16" s="104">
        <f t="shared" si="0"/>
        <v>7.6200000000000004E-2</v>
      </c>
      <c r="E16" s="104">
        <f>$B10+E14*$B11</f>
        <v>9.3600000000000003E-2</v>
      </c>
      <c r="F16" s="104">
        <f t="shared" si="0"/>
        <v>0.105</v>
      </c>
    </row>
    <row r="17" spans="1:6" x14ac:dyDescent="0.15">
      <c r="A17" s="3" t="s">
        <v>490</v>
      </c>
      <c r="B17" s="82" t="str">
        <f>IF(ROUND(B16,2)&gt;ROUND(B15,2),"sur-évalué",IF(ROUND(B16,2)=ROUND(B15,2),"correctement évalué","sous-évalué"))</f>
        <v>sous-évalué</v>
      </c>
      <c r="C17" s="82" t="str">
        <f t="shared" ref="C17:F17" si="1">IF(ROUND(C16,2)&gt;ROUND(C15,2),"sur-évalué",IF(ROUND(C16,2)=ROUND(C15,2),"correctement évalué","sous-évalué"))</f>
        <v>correctement évalué</v>
      </c>
      <c r="D17" s="82" t="str">
        <f t="shared" si="1"/>
        <v>sur-évalué</v>
      </c>
      <c r="E17" s="82" t="str">
        <f t="shared" si="1"/>
        <v>sous-évalué</v>
      </c>
      <c r="F17" s="82" t="str">
        <f t="shared" si="1"/>
        <v>sous-évalué</v>
      </c>
    </row>
    <row r="20" spans="1:6" ht="15" x14ac:dyDescent="0.15">
      <c r="A20" s="8" t="s">
        <v>193</v>
      </c>
    </row>
    <row r="21" spans="1:6" x14ac:dyDescent="0.15">
      <c r="A21" s="3" t="s">
        <v>40</v>
      </c>
      <c r="B21" s="29">
        <v>40</v>
      </c>
      <c r="C21" s="3" t="s">
        <v>491</v>
      </c>
    </row>
    <row r="22" spans="1:6" x14ac:dyDescent="0.15">
      <c r="A22" s="3" t="s">
        <v>492</v>
      </c>
      <c r="B22" s="3">
        <v>2.7</v>
      </c>
    </row>
    <row r="23" spans="1:6" x14ac:dyDescent="0.15">
      <c r="A23" s="3" t="s">
        <v>500</v>
      </c>
      <c r="B23" s="80">
        <v>0.09</v>
      </c>
    </row>
    <row r="24" spans="1:6" x14ac:dyDescent="0.15">
      <c r="A24" s="3" t="s">
        <v>486</v>
      </c>
      <c r="B24" s="80">
        <v>0.05</v>
      </c>
    </row>
    <row r="26" spans="1:6" x14ac:dyDescent="0.15">
      <c r="A26" s="3" t="s">
        <v>494</v>
      </c>
      <c r="B26" s="80">
        <f>B24+(B23-B24)*B22</f>
        <v>0.15799999999999997</v>
      </c>
    </row>
    <row r="27" spans="1:6" x14ac:dyDescent="0.15">
      <c r="A27" s="7" t="s">
        <v>493</v>
      </c>
      <c r="B27" s="98">
        <f>B21/(1+B26)</f>
        <v>34.542314335060453</v>
      </c>
      <c r="C27" s="7" t="s">
        <v>491</v>
      </c>
    </row>
    <row r="29" spans="1:6" ht="15" x14ac:dyDescent="0.15">
      <c r="A29" s="8" t="s">
        <v>157</v>
      </c>
    </row>
    <row r="30" spans="1:6" x14ac:dyDescent="0.15">
      <c r="A30" s="3" t="s">
        <v>483</v>
      </c>
      <c r="B30" s="3">
        <v>1.2</v>
      </c>
    </row>
    <row r="31" spans="1:6" x14ac:dyDescent="0.15">
      <c r="A31" s="3" t="s">
        <v>486</v>
      </c>
      <c r="B31" s="55">
        <v>5.6000000000000001E-2</v>
      </c>
    </row>
    <row r="32" spans="1:6" x14ac:dyDescent="0.15">
      <c r="A32" s="3" t="s">
        <v>489</v>
      </c>
      <c r="B32" s="80">
        <v>0.03</v>
      </c>
    </row>
    <row r="34" spans="1:6" x14ac:dyDescent="0.15">
      <c r="A34" s="3" t="s">
        <v>495</v>
      </c>
      <c r="B34" s="3">
        <v>-0.4</v>
      </c>
      <c r="C34" s="3">
        <v>0</v>
      </c>
    </row>
    <row r="35" spans="1:6" x14ac:dyDescent="0.15">
      <c r="A35" s="3" t="s">
        <v>496</v>
      </c>
      <c r="B35" s="55">
        <f>$B31+B34*2%+B40*5%</f>
        <v>9.1999999999999998E-2</v>
      </c>
      <c r="C35" s="55">
        <f>$B31+C34*2%+C40*5%</f>
        <v>9.1999999999999998E-2</v>
      </c>
    </row>
    <row r="37" spans="1:6" x14ac:dyDescent="0.15">
      <c r="A37" s="3" t="s">
        <v>499</v>
      </c>
      <c r="B37" s="55">
        <f>$B31+$B32*$B30</f>
        <v>9.1999999999999998E-2</v>
      </c>
      <c r="C37" s="55">
        <f>$B31+$B32*$B30</f>
        <v>9.1999999999999998E-2</v>
      </c>
    </row>
    <row r="38" spans="1:6" x14ac:dyDescent="0.15">
      <c r="A38" s="3" t="s">
        <v>498</v>
      </c>
      <c r="B38" s="55">
        <f>B35-B37</f>
        <v>0</v>
      </c>
      <c r="C38" s="55">
        <f>C35-C37</f>
        <v>0</v>
      </c>
    </row>
    <row r="40" spans="1:6" x14ac:dyDescent="0.15">
      <c r="A40" s="7" t="s">
        <v>497</v>
      </c>
      <c r="B40" s="7">
        <v>0.88</v>
      </c>
      <c r="C40" s="7">
        <v>0.72</v>
      </c>
    </row>
    <row r="44" spans="1:6" ht="15" x14ac:dyDescent="0.15">
      <c r="A44" s="8" t="s">
        <v>171</v>
      </c>
    </row>
    <row r="46" spans="1:6" x14ac:dyDescent="0.15">
      <c r="A46" s="101" t="s">
        <v>92</v>
      </c>
      <c r="B46" s="101" t="s">
        <v>93</v>
      </c>
      <c r="C46" s="101" t="s">
        <v>94</v>
      </c>
      <c r="D46" s="101" t="s">
        <v>115</v>
      </c>
      <c r="E46" s="101" t="s">
        <v>892</v>
      </c>
      <c r="F46" s="101" t="s">
        <v>116</v>
      </c>
    </row>
    <row r="47" spans="1:6" x14ac:dyDescent="0.15">
      <c r="A47" s="82">
        <v>1</v>
      </c>
      <c r="B47" s="82">
        <v>1</v>
      </c>
      <c r="C47" s="221">
        <v>7.0000000000000007E-2</v>
      </c>
      <c r="D47" s="237">
        <v>8.0813384828465978E-2</v>
      </c>
      <c r="E47" s="92">
        <f>100*C47*((1-1/POWER((1+D47),B47))/D47)+100/POWER((1+D47),B47)</f>
        <v>98.999514164030998</v>
      </c>
      <c r="F47" s="237">
        <f>D47</f>
        <v>8.0813384828465978E-2</v>
      </c>
    </row>
    <row r="48" spans="1:6" x14ac:dyDescent="0.15">
      <c r="A48" s="82">
        <v>2</v>
      </c>
      <c r="B48" s="82">
        <v>2</v>
      </c>
      <c r="C48" s="221">
        <v>0.09</v>
      </c>
      <c r="D48" s="237">
        <v>9.5728902878471578E-2</v>
      </c>
      <c r="E48" s="92">
        <f>100*C48*((1-1/POWER((1+D48),B48))/D48)+100/POWER((1+D48),B48)</f>
        <v>98.999999245543947</v>
      </c>
      <c r="F48" s="238">
        <f>(SQRT((100+C48*100)/(E48-(100*C48/(1+F47))))-1)</f>
        <v>9.6413581536787474E-2</v>
      </c>
    </row>
    <row r="49" spans="1:6" x14ac:dyDescent="0.15">
      <c r="A49" s="82">
        <v>3</v>
      </c>
      <c r="B49" s="82">
        <v>3</v>
      </c>
      <c r="C49" s="221">
        <v>0.08</v>
      </c>
      <c r="D49" s="237">
        <v>0.10011081197224735</v>
      </c>
      <c r="E49" s="92">
        <f>100*C49*((1-1/POWER((1+D49),B49))/D49)+100/POWER((1+D49),B49)</f>
        <v>94.999714230930252</v>
      </c>
      <c r="F49" s="237">
        <f>POWER((100*C49+100)/(E49-(100*C49/(1+F47))-(100*C49/(1+F48)/(1+F48))),1/3)-1</f>
        <v>0.10090077218810833</v>
      </c>
    </row>
    <row r="50" spans="1:6" x14ac:dyDescent="0.15">
      <c r="A50" s="82">
        <v>4</v>
      </c>
      <c r="B50" s="82">
        <v>4</v>
      </c>
      <c r="C50" s="221">
        <v>7.0000000000000007E-2</v>
      </c>
      <c r="D50" s="237">
        <v>0.10508453890480668</v>
      </c>
      <c r="E50" s="92">
        <f>100*C50*((1-1/POWER((1+D50),B50))/D50)+100/POWER((1+D50),B50)</f>
        <v>88.999984858012269</v>
      </c>
      <c r="F50" s="237">
        <f>POWER((100*C50+100)/(E50-(100*C50/(1+F47))-(100*C50/(1+F48)/(1+F48))-100*C50/(1+F49)/(1+F49)/(1+F49)),1/4)-1</f>
        <v>0.1062142318701591</v>
      </c>
    </row>
    <row r="51" spans="1:6" x14ac:dyDescent="0.15">
      <c r="A51" s="82">
        <v>5</v>
      </c>
      <c r="B51" s="82">
        <v>5</v>
      </c>
      <c r="C51" s="221">
        <v>0.1</v>
      </c>
      <c r="D51" s="237">
        <v>0.10807789243563648</v>
      </c>
      <c r="E51" s="92">
        <f>100*C51*((1-1/POWER((1+D51),B51))/D51)+100/POWER((1+D51),B51)</f>
        <v>97.000002346964536</v>
      </c>
      <c r="F51" s="237">
        <f>POWER((100*C51+100)/(E51-(100*C51/(1+F47))-(100*C51/(1+F48)/(1+F48))-100*C51/(1+F49)/(1+F49)/(1+F49)-100*C51/(1+F50)/(1+F50)/(1+F50)/(1+F50)),1/5)-1</f>
        <v>0.11007898885350897</v>
      </c>
    </row>
    <row r="53" spans="1:6" x14ac:dyDescent="0.15">
      <c r="A53" s="3" t="s">
        <v>212</v>
      </c>
    </row>
    <row r="55" spans="1:6" x14ac:dyDescent="0.15">
      <c r="A55" s="3" t="s">
        <v>211</v>
      </c>
    </row>
    <row r="57" spans="1:6" x14ac:dyDescent="0.15">
      <c r="A57" s="3" t="s">
        <v>213</v>
      </c>
    </row>
  </sheetData>
  <phoneticPr fontId="4" type="noConversion"/>
  <pageMargins left="0.78740157480314965" right="0.78740157480314965" top="0.98425196850393704" bottom="0.98425196850393704" header="0.51181102362204722" footer="0.51181102362204722"/>
  <pageSetup paperSize="9" scale="96" fitToHeight="2"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76"/>
  <sheetViews>
    <sheetView showGridLines="0" workbookViewId="0"/>
  </sheetViews>
  <sheetFormatPr baseColWidth="10" defaultColWidth="11" defaultRowHeight="14" x14ac:dyDescent="0.15"/>
  <cols>
    <col min="1" max="1" width="25" style="3" customWidth="1"/>
    <col min="2" max="2" width="11.83203125" style="3" bestFit="1" customWidth="1"/>
    <col min="3" max="16384" width="11" style="3"/>
  </cols>
  <sheetData>
    <row r="1" spans="1:9" ht="15" x14ac:dyDescent="0.15">
      <c r="A1" s="1" t="s">
        <v>541</v>
      </c>
    </row>
    <row r="2" spans="1:9" ht="15" x14ac:dyDescent="0.15">
      <c r="A2" s="8"/>
    </row>
    <row r="3" spans="1:9" x14ac:dyDescent="0.15">
      <c r="A3" s="3" t="s">
        <v>501</v>
      </c>
      <c r="B3" s="3">
        <v>125</v>
      </c>
      <c r="C3" s="3" t="s">
        <v>502</v>
      </c>
    </row>
    <row r="4" spans="1:9" x14ac:dyDescent="0.15">
      <c r="A4" s="3" t="s">
        <v>503</v>
      </c>
      <c r="B4" s="56">
        <v>0.99731000000000003</v>
      </c>
    </row>
    <row r="5" spans="1:9" x14ac:dyDescent="0.15">
      <c r="A5" s="3" t="s">
        <v>504</v>
      </c>
      <c r="B5" s="227">
        <v>46073</v>
      </c>
    </row>
    <row r="6" spans="1:9" x14ac:dyDescent="0.15">
      <c r="A6" s="3" t="s">
        <v>505</v>
      </c>
      <c r="B6" s="227">
        <v>46073</v>
      </c>
    </row>
    <row r="7" spans="1:9" x14ac:dyDescent="0.15">
      <c r="A7" s="3" t="s">
        <v>359</v>
      </c>
      <c r="B7" s="3">
        <v>7</v>
      </c>
      <c r="C7" s="3" t="s">
        <v>506</v>
      </c>
    </row>
    <row r="8" spans="1:9" x14ac:dyDescent="0.15">
      <c r="A8" s="3" t="s">
        <v>507</v>
      </c>
      <c r="B8" s="104">
        <v>5.5E-2</v>
      </c>
    </row>
    <row r="10" spans="1:9" x14ac:dyDescent="0.15">
      <c r="A10" s="3" t="s">
        <v>508</v>
      </c>
    </row>
    <row r="11" spans="1:9" x14ac:dyDescent="0.15">
      <c r="A11" s="342" t="s">
        <v>401</v>
      </c>
      <c r="B11" s="342">
        <v>0</v>
      </c>
      <c r="C11" s="342">
        <v>1</v>
      </c>
      <c r="D11" s="342">
        <v>2</v>
      </c>
      <c r="E11" s="342">
        <v>3</v>
      </c>
      <c r="F11" s="342">
        <v>4</v>
      </c>
      <c r="G11" s="342">
        <v>5</v>
      </c>
      <c r="H11" s="342">
        <v>6</v>
      </c>
      <c r="I11" s="342">
        <v>7</v>
      </c>
    </row>
    <row r="12" spans="1:9" x14ac:dyDescent="0.15">
      <c r="A12" s="3" t="s">
        <v>395</v>
      </c>
      <c r="B12" s="56">
        <f>-B4</f>
        <v>-0.99731000000000003</v>
      </c>
      <c r="C12" s="56">
        <f t="shared" ref="C12:H12" si="0">$B8</f>
        <v>5.5E-2</v>
      </c>
      <c r="D12" s="56">
        <f t="shared" si="0"/>
        <v>5.5E-2</v>
      </c>
      <c r="E12" s="56">
        <f t="shared" si="0"/>
        <v>5.5E-2</v>
      </c>
      <c r="F12" s="56">
        <f t="shared" si="0"/>
        <v>5.5E-2</v>
      </c>
      <c r="G12" s="56">
        <f t="shared" si="0"/>
        <v>5.5E-2</v>
      </c>
      <c r="H12" s="56">
        <f t="shared" si="0"/>
        <v>5.5E-2</v>
      </c>
      <c r="I12" s="56">
        <f>1+H12</f>
        <v>1.0549999999999999</v>
      </c>
    </row>
    <row r="13" spans="1:9" x14ac:dyDescent="0.15">
      <c r="A13" s="3" t="s">
        <v>509</v>
      </c>
      <c r="B13" s="49">
        <f t="shared" ref="B13:I13" si="1">B12/POWER(1+$B14,B11)</f>
        <v>-0.99731000000000003</v>
      </c>
      <c r="C13" s="49">
        <f t="shared" si="1"/>
        <v>5.2109486768927592E-2</v>
      </c>
      <c r="D13" s="49">
        <f t="shared" si="1"/>
        <v>4.9370883842200723E-2</v>
      </c>
      <c r="E13" s="49">
        <f t="shared" si="1"/>
        <v>4.6776207606280353E-2</v>
      </c>
      <c r="F13" s="49">
        <f t="shared" si="1"/>
        <v>4.4317894024728667E-2</v>
      </c>
      <c r="G13" s="49">
        <f t="shared" si="1"/>
        <v>4.1988776587424254E-2</v>
      </c>
      <c r="H13" s="49">
        <f t="shared" si="1"/>
        <v>3.9782065418651653E-2</v>
      </c>
      <c r="I13" s="49">
        <f t="shared" si="1"/>
        <v>0.72298819081335564</v>
      </c>
    </row>
    <row r="14" spans="1:9" ht="15" x14ac:dyDescent="0.15">
      <c r="A14" s="4" t="s">
        <v>510</v>
      </c>
      <c r="B14" s="57">
        <v>5.5469999999999998E-2</v>
      </c>
    </row>
    <row r="15" spans="1:9" ht="15" x14ac:dyDescent="0.15">
      <c r="A15" s="6" t="s">
        <v>513</v>
      </c>
      <c r="B15" s="49">
        <f>SUM(C13:I13)</f>
        <v>0.99733350506156881</v>
      </c>
    </row>
    <row r="16" spans="1:9" x14ac:dyDescent="0.15">
      <c r="A16" s="3" t="s">
        <v>396</v>
      </c>
      <c r="B16" s="80">
        <f>SUM(B13:I13)</f>
        <v>2.3505061568784846E-5</v>
      </c>
    </row>
    <row r="18" spans="1:9" x14ac:dyDescent="0.15">
      <c r="B18" s="68">
        <f t="shared" ref="B18:I18" si="2">B11*B12/POWER(1+$B14,B11+1)</f>
        <v>0</v>
      </c>
      <c r="C18" s="68">
        <f t="shared" si="2"/>
        <v>4.9370883842200723E-2</v>
      </c>
      <c r="D18" s="68">
        <f t="shared" si="2"/>
        <v>9.3552415212560705E-2</v>
      </c>
      <c r="E18" s="68">
        <f t="shared" si="2"/>
        <v>0.13295368207418601</v>
      </c>
      <c r="F18" s="68">
        <f t="shared" si="2"/>
        <v>0.16795510634969701</v>
      </c>
      <c r="G18" s="68">
        <f t="shared" si="2"/>
        <v>0.19891032709325829</v>
      </c>
      <c r="H18" s="68">
        <f t="shared" si="2"/>
        <v>0.22614796489896435</v>
      </c>
      <c r="I18" s="68">
        <f t="shared" si="2"/>
        <v>4.7949419080537501</v>
      </c>
    </row>
    <row r="19" spans="1:9" x14ac:dyDescent="0.15">
      <c r="A19" s="7" t="s">
        <v>511</v>
      </c>
      <c r="B19" s="98">
        <f>SUM(B18:I18)/B15</f>
        <v>5.6789752462742831</v>
      </c>
    </row>
    <row r="20" spans="1:9" x14ac:dyDescent="0.15">
      <c r="A20" s="7"/>
      <c r="B20" s="7"/>
    </row>
    <row r="21" spans="1:9" x14ac:dyDescent="0.15">
      <c r="A21" s="7"/>
      <c r="B21" s="68">
        <f t="shared" ref="B21:I21" si="3">B11*B12/POWER(1+$B14,B11)</f>
        <v>0</v>
      </c>
      <c r="C21" s="68">
        <f t="shared" si="3"/>
        <v>5.2109486768927592E-2</v>
      </c>
      <c r="D21" s="68">
        <f t="shared" si="3"/>
        <v>9.8741767684401446E-2</v>
      </c>
      <c r="E21" s="68">
        <f t="shared" si="3"/>
        <v>0.14032862281884106</v>
      </c>
      <c r="F21" s="68">
        <f t="shared" si="3"/>
        <v>0.17727157609891467</v>
      </c>
      <c r="G21" s="68">
        <f t="shared" si="3"/>
        <v>0.2099438829371213</v>
      </c>
      <c r="H21" s="68">
        <f t="shared" si="3"/>
        <v>0.23869239251190993</v>
      </c>
      <c r="I21" s="68">
        <f t="shared" si="3"/>
        <v>5.0609173356934898</v>
      </c>
    </row>
    <row r="22" spans="1:9" x14ac:dyDescent="0.15">
      <c r="A22" s="7" t="s">
        <v>512</v>
      </c>
      <c r="B22" s="133">
        <f>SUM(B21:I21)/B15</f>
        <v>5.993988003185116</v>
      </c>
    </row>
    <row r="23" spans="1:9" x14ac:dyDescent="0.15">
      <c r="B23" s="133">
        <f>B19*(1+B14)</f>
        <v>5.9939880031851169</v>
      </c>
    </row>
    <row r="25" spans="1:9" x14ac:dyDescent="0.15">
      <c r="A25" s="149" t="s">
        <v>1767</v>
      </c>
    </row>
    <row r="26" spans="1:9" x14ac:dyDescent="0.15">
      <c r="A26" s="3" t="s">
        <v>509</v>
      </c>
      <c r="B26" s="49"/>
      <c r="C26" s="49"/>
      <c r="D26" s="49">
        <f t="shared" ref="D26:I26" si="4">D12/POWER(1+$B27,D11-1)</f>
        <v>5.2380952380952382E-2</v>
      </c>
      <c r="E26" s="49">
        <f t="shared" si="4"/>
        <v>4.9886621315192739E-2</v>
      </c>
      <c r="F26" s="49">
        <f t="shared" si="4"/>
        <v>4.7511067919231181E-2</v>
      </c>
      <c r="G26" s="49">
        <f t="shared" si="4"/>
        <v>4.5248636113553509E-2</v>
      </c>
      <c r="H26" s="49">
        <f t="shared" si="4"/>
        <v>4.3093939155765246E-2</v>
      </c>
      <c r="I26" s="49">
        <f t="shared" si="4"/>
        <v>0.78725724345164216</v>
      </c>
    </row>
    <row r="27" spans="1:9" ht="15" x14ac:dyDescent="0.15">
      <c r="A27" s="6" t="s">
        <v>514</v>
      </c>
      <c r="B27" s="67">
        <v>0.05</v>
      </c>
    </row>
    <row r="28" spans="1:9" ht="15" x14ac:dyDescent="0.15">
      <c r="A28" s="4" t="s">
        <v>513</v>
      </c>
      <c r="B28" s="110">
        <f>SUM(C26:I26)</f>
        <v>1.0253784603363372</v>
      </c>
    </row>
    <row r="30" spans="1:9" x14ac:dyDescent="0.15">
      <c r="C30" s="3">
        <f t="shared" ref="C30:I30" si="5">(C11-1)*C12/POWER(1+$B27,C11)</f>
        <v>0</v>
      </c>
      <c r="D30" s="3">
        <f t="shared" si="5"/>
        <v>4.9886621315192739E-2</v>
      </c>
      <c r="E30" s="3">
        <f t="shared" si="5"/>
        <v>9.5022135838462363E-2</v>
      </c>
      <c r="F30" s="3">
        <f t="shared" si="5"/>
        <v>0.13574590834066053</v>
      </c>
      <c r="G30" s="3">
        <f t="shared" si="5"/>
        <v>0.17237575662306098</v>
      </c>
      <c r="H30" s="3">
        <f t="shared" si="5"/>
        <v>0.20520923407507263</v>
      </c>
      <c r="I30" s="3">
        <f t="shared" si="5"/>
        <v>4.498612819723669</v>
      </c>
    </row>
    <row r="31" spans="1:9" x14ac:dyDescent="0.15">
      <c r="A31" s="7" t="s">
        <v>511</v>
      </c>
      <c r="B31" s="98">
        <f>SUM(B30:I30)/B28</f>
        <v>5.0292186498871887</v>
      </c>
    </row>
    <row r="33" spans="1:10" x14ac:dyDescent="0.15">
      <c r="A33" s="7"/>
      <c r="C33" s="3">
        <f t="shared" ref="C33:I33" si="6">(C11-1)*C12/POWER(1+$B27,C11-1)</f>
        <v>0</v>
      </c>
      <c r="D33" s="3">
        <f t="shared" si="6"/>
        <v>5.2380952380952382E-2</v>
      </c>
      <c r="E33" s="3">
        <f t="shared" si="6"/>
        <v>9.9773242630385478E-2</v>
      </c>
      <c r="F33" s="3">
        <f t="shared" si="6"/>
        <v>0.14253320375769354</v>
      </c>
      <c r="G33" s="3">
        <f t="shared" si="6"/>
        <v>0.18099454445421403</v>
      </c>
      <c r="H33" s="3">
        <f t="shared" si="6"/>
        <v>0.21546969577882624</v>
      </c>
      <c r="I33" s="3">
        <f t="shared" si="6"/>
        <v>4.7235434607098528</v>
      </c>
    </row>
    <row r="34" spans="1:10" x14ac:dyDescent="0.15">
      <c r="A34" s="7" t="s">
        <v>512</v>
      </c>
      <c r="B34" s="98">
        <f>SUM(B33:I33)/B28</f>
        <v>5.2806795823815484</v>
      </c>
    </row>
    <row r="35" spans="1:10" x14ac:dyDescent="0.15">
      <c r="B35" s="98">
        <f>B31*(1+B27)</f>
        <v>5.2806795823815484</v>
      </c>
    </row>
    <row r="37" spans="1:10" ht="15" x14ac:dyDescent="0.15">
      <c r="A37" s="8" t="s">
        <v>276</v>
      </c>
    </row>
    <row r="38" spans="1:10" x14ac:dyDescent="0.15">
      <c r="A38" s="3" t="s">
        <v>516</v>
      </c>
      <c r="B38" s="3">
        <v>10</v>
      </c>
      <c r="C38" s="3" t="s">
        <v>506</v>
      </c>
    </row>
    <row r="39" spans="1:10" x14ac:dyDescent="0.15">
      <c r="A39" s="3" t="s">
        <v>356</v>
      </c>
      <c r="B39" s="80">
        <v>0.08</v>
      </c>
    </row>
    <row r="40" spans="1:10" x14ac:dyDescent="0.15">
      <c r="B40" s="80"/>
    </row>
    <row r="41" spans="1:10" x14ac:dyDescent="0.15">
      <c r="A41" s="3" t="s">
        <v>65</v>
      </c>
      <c r="F41" s="228"/>
    </row>
    <row r="42" spans="1:10" x14ac:dyDescent="0.15">
      <c r="A42" s="3" t="s">
        <v>517</v>
      </c>
      <c r="B42" s="55">
        <v>7.9000000000000001E-2</v>
      </c>
      <c r="C42" s="55">
        <v>0.08</v>
      </c>
      <c r="D42" s="55">
        <v>8.1000000000000003E-2</v>
      </c>
      <c r="E42" s="55">
        <v>8.2000000000000003E-2</v>
      </c>
      <c r="F42" s="229">
        <v>8.3000000000000004E-2</v>
      </c>
      <c r="G42" s="55">
        <v>8.4000000000000005E-2</v>
      </c>
      <c r="H42" s="55">
        <v>8.5000000000000006E-2</v>
      </c>
      <c r="I42" s="55">
        <v>8.5999999999999993E-2</v>
      </c>
      <c r="J42" s="55">
        <v>8.6999999999999994E-2</v>
      </c>
    </row>
    <row r="43" spans="1:10" x14ac:dyDescent="0.15">
      <c r="B43" s="55"/>
      <c r="C43" s="55"/>
      <c r="D43" s="55"/>
      <c r="E43" s="55"/>
      <c r="F43" s="229"/>
      <c r="G43" s="55"/>
      <c r="H43" s="55"/>
      <c r="I43" s="55"/>
      <c r="J43" s="55"/>
    </row>
    <row r="44" spans="1:10" x14ac:dyDescent="0.15">
      <c r="A44" s="3" t="s">
        <v>518</v>
      </c>
      <c r="B44" s="55">
        <f t="shared" ref="B44:J44" si="7">$B39+1.5*(B42-8.3%)</f>
        <v>7.3999999999999996E-2</v>
      </c>
      <c r="C44" s="55">
        <f t="shared" si="7"/>
        <v>7.5499999999999998E-2</v>
      </c>
      <c r="D44" s="55">
        <f t="shared" si="7"/>
        <v>7.6999999999999999E-2</v>
      </c>
      <c r="E44" s="55">
        <f t="shared" si="7"/>
        <v>7.85E-2</v>
      </c>
      <c r="F44" s="229">
        <f t="shared" si="7"/>
        <v>0.08</v>
      </c>
      <c r="G44" s="55">
        <f t="shared" si="7"/>
        <v>8.1500000000000003E-2</v>
      </c>
      <c r="H44" s="55">
        <f t="shared" si="7"/>
        <v>8.3000000000000004E-2</v>
      </c>
      <c r="I44" s="55">
        <f t="shared" si="7"/>
        <v>8.4499999999999992E-2</v>
      </c>
      <c r="J44" s="55">
        <f t="shared" si="7"/>
        <v>8.5999999999999993E-2</v>
      </c>
    </row>
    <row r="45" spans="1:10" x14ac:dyDescent="0.15">
      <c r="A45" s="3" t="s">
        <v>215</v>
      </c>
      <c r="B45" s="218" t="s">
        <v>223</v>
      </c>
      <c r="C45" s="218" t="s">
        <v>222</v>
      </c>
      <c r="D45" s="218" t="s">
        <v>221</v>
      </c>
      <c r="E45" s="218" t="s">
        <v>217</v>
      </c>
      <c r="F45" s="228"/>
      <c r="G45" s="218" t="s">
        <v>216</v>
      </c>
      <c r="H45" s="218" t="s">
        <v>218</v>
      </c>
      <c r="I45" s="218" t="s">
        <v>219</v>
      </c>
      <c r="J45" s="218" t="s">
        <v>220</v>
      </c>
    </row>
    <row r="46" spans="1:10" x14ac:dyDescent="0.15">
      <c r="F46" s="228"/>
    </row>
    <row r="47" spans="1:10" x14ac:dyDescent="0.15">
      <c r="A47" s="3" t="s">
        <v>519</v>
      </c>
      <c r="B47" s="50">
        <f t="shared" ref="B47:J47" si="8">$B39-1.5*(B42-8.3%)</f>
        <v>8.6000000000000007E-2</v>
      </c>
      <c r="C47" s="50">
        <f t="shared" si="8"/>
        <v>8.4500000000000006E-2</v>
      </c>
      <c r="D47" s="50">
        <f t="shared" si="8"/>
        <v>8.3000000000000004E-2</v>
      </c>
      <c r="E47" s="50">
        <f t="shared" si="8"/>
        <v>8.1500000000000003E-2</v>
      </c>
      <c r="F47" s="230">
        <f t="shared" si="8"/>
        <v>0.08</v>
      </c>
      <c r="G47" s="50">
        <f t="shared" si="8"/>
        <v>7.85E-2</v>
      </c>
      <c r="H47" s="50">
        <f t="shared" si="8"/>
        <v>7.6999999999999999E-2</v>
      </c>
      <c r="I47" s="50">
        <f t="shared" si="8"/>
        <v>7.5500000000000012E-2</v>
      </c>
      <c r="J47" s="50">
        <f t="shared" si="8"/>
        <v>7.400000000000001E-2</v>
      </c>
    </row>
    <row r="48" spans="1:10" x14ac:dyDescent="0.15">
      <c r="A48" s="3" t="s">
        <v>215</v>
      </c>
      <c r="B48" s="218" t="s">
        <v>220</v>
      </c>
      <c r="C48" s="218" t="s">
        <v>219</v>
      </c>
      <c r="D48" s="218" t="s">
        <v>218</v>
      </c>
      <c r="E48" s="218" t="s">
        <v>216</v>
      </c>
      <c r="F48" s="228"/>
      <c r="G48" s="218" t="s">
        <v>217</v>
      </c>
      <c r="H48" s="218" t="s">
        <v>221</v>
      </c>
      <c r="I48" s="218" t="s">
        <v>222</v>
      </c>
      <c r="J48" s="218" t="s">
        <v>223</v>
      </c>
    </row>
    <row r="50" spans="1:6" x14ac:dyDescent="0.15">
      <c r="A50" s="3" t="s">
        <v>66</v>
      </c>
    </row>
    <row r="51" spans="1:6" x14ac:dyDescent="0.15">
      <c r="A51" s="3" t="s">
        <v>224</v>
      </c>
    </row>
    <row r="53" spans="1:6" x14ac:dyDescent="0.15">
      <c r="A53" s="3" t="s">
        <v>225</v>
      </c>
    </row>
    <row r="54" spans="1:6" x14ac:dyDescent="0.15">
      <c r="A54" s="3" t="s">
        <v>277</v>
      </c>
    </row>
    <row r="56" spans="1:6" x14ac:dyDescent="0.15">
      <c r="A56" s="3" t="s">
        <v>226</v>
      </c>
    </row>
    <row r="57" spans="1:6" x14ac:dyDescent="0.15">
      <c r="A57" s="3" t="s">
        <v>227</v>
      </c>
    </row>
    <row r="59" spans="1:6" ht="15" x14ac:dyDescent="0.15">
      <c r="A59" s="8" t="s">
        <v>1056</v>
      </c>
    </row>
    <row r="60" spans="1:6" ht="15" x14ac:dyDescent="0.15">
      <c r="A60" s="8"/>
    </row>
    <row r="61" spans="1:6" ht="30" x14ac:dyDescent="0.15">
      <c r="A61" s="354" t="s">
        <v>520</v>
      </c>
      <c r="B61" s="354" t="s">
        <v>939</v>
      </c>
      <c r="C61" s="354" t="s">
        <v>521</v>
      </c>
      <c r="D61" s="354"/>
      <c r="E61" s="355" t="s">
        <v>522</v>
      </c>
      <c r="F61" s="355" t="s">
        <v>1052</v>
      </c>
    </row>
    <row r="62" spans="1:6" x14ac:dyDescent="0.15">
      <c r="A62" s="231">
        <v>45708</v>
      </c>
      <c r="B62" s="232">
        <v>1</v>
      </c>
      <c r="C62" s="68">
        <v>96.25</v>
      </c>
      <c r="D62" s="82" t="s">
        <v>523</v>
      </c>
      <c r="E62" s="233">
        <f t="shared" ref="E62:E68" si="9">POWER(100/C62,1/B62)-1</f>
        <v>3.8961038961038863E-2</v>
      </c>
      <c r="F62" s="140">
        <f t="shared" ref="F62:F68" si="10">E62+B$71</f>
        <v>4.4761038961038863E-2</v>
      </c>
    </row>
    <row r="63" spans="1:6" x14ac:dyDescent="0.15">
      <c r="A63" s="231">
        <f>A62+365</f>
        <v>46073</v>
      </c>
      <c r="B63" s="232">
        <f t="shared" ref="B63:B68" si="11">B62+1</f>
        <v>2</v>
      </c>
      <c r="C63" s="68">
        <v>91.92</v>
      </c>
      <c r="D63" s="82" t="s">
        <v>524</v>
      </c>
      <c r="E63" s="233">
        <f t="shared" si="9"/>
        <v>4.302565832958094E-2</v>
      </c>
      <c r="F63" s="140">
        <f t="shared" si="10"/>
        <v>4.882565832958094E-2</v>
      </c>
    </row>
    <row r="64" spans="1:6" x14ac:dyDescent="0.15">
      <c r="A64" s="231">
        <f>A63+366</f>
        <v>46439</v>
      </c>
      <c r="B64" s="232">
        <f t="shared" si="11"/>
        <v>3</v>
      </c>
      <c r="C64" s="68">
        <v>87.38</v>
      </c>
      <c r="D64" s="82" t="s">
        <v>525</v>
      </c>
      <c r="E64" s="233">
        <f t="shared" si="9"/>
        <v>4.5994304732602354E-2</v>
      </c>
      <c r="F64" s="140">
        <f t="shared" si="10"/>
        <v>5.1794304732602353E-2</v>
      </c>
    </row>
    <row r="65" spans="1:9" x14ac:dyDescent="0.15">
      <c r="A65" s="231">
        <f>A64+365</f>
        <v>46804</v>
      </c>
      <c r="B65" s="232">
        <f t="shared" si="11"/>
        <v>4</v>
      </c>
      <c r="C65" s="68">
        <v>82.9</v>
      </c>
      <c r="D65" s="82" t="s">
        <v>526</v>
      </c>
      <c r="E65" s="233">
        <f t="shared" si="9"/>
        <v>4.8000204425897364E-2</v>
      </c>
      <c r="F65" s="140">
        <f t="shared" si="10"/>
        <v>5.3800204425897363E-2</v>
      </c>
    </row>
    <row r="66" spans="1:9" x14ac:dyDescent="0.15">
      <c r="A66" s="231">
        <f>A65+365</f>
        <v>47169</v>
      </c>
      <c r="B66" s="232">
        <f t="shared" si="11"/>
        <v>5</v>
      </c>
      <c r="C66" s="68">
        <v>78.349999999999994</v>
      </c>
      <c r="D66" s="82" t="s">
        <v>527</v>
      </c>
      <c r="E66" s="233">
        <f t="shared" si="9"/>
        <v>5.0007013254590893E-2</v>
      </c>
      <c r="F66" s="140">
        <f t="shared" si="10"/>
        <v>5.5807013254590893E-2</v>
      </c>
    </row>
    <row r="67" spans="1:9" x14ac:dyDescent="0.15">
      <c r="A67" s="231">
        <f>A66+365</f>
        <v>47534</v>
      </c>
      <c r="B67" s="232">
        <f t="shared" si="11"/>
        <v>6</v>
      </c>
      <c r="C67" s="68">
        <v>74.2</v>
      </c>
      <c r="D67" s="82" t="s">
        <v>528</v>
      </c>
      <c r="E67" s="233">
        <f t="shared" si="9"/>
        <v>5.0991852057019171E-2</v>
      </c>
      <c r="F67" s="140">
        <f t="shared" si="10"/>
        <v>5.6791852057019171E-2</v>
      </c>
    </row>
    <row r="68" spans="1:9" x14ac:dyDescent="0.15">
      <c r="A68" s="231">
        <f>A67+366</f>
        <v>47900</v>
      </c>
      <c r="B68" s="232">
        <f t="shared" si="11"/>
        <v>7</v>
      </c>
      <c r="C68" s="3">
        <v>70.13</v>
      </c>
      <c r="D68" s="82" t="s">
        <v>415</v>
      </c>
      <c r="E68" s="233">
        <f t="shared" si="9"/>
        <v>5.1995149273845964E-2</v>
      </c>
      <c r="F68" s="140">
        <f t="shared" si="10"/>
        <v>5.7795149273845964E-2</v>
      </c>
    </row>
    <row r="69" spans="1:9" x14ac:dyDescent="0.15">
      <c r="A69" s="234" t="s">
        <v>1055</v>
      </c>
      <c r="B69" s="232"/>
      <c r="D69" s="82"/>
      <c r="E69" s="235"/>
      <c r="F69" s="55"/>
    </row>
    <row r="71" spans="1:9" x14ac:dyDescent="0.15">
      <c r="A71" s="236" t="s">
        <v>1051</v>
      </c>
      <c r="B71" s="55">
        <v>5.7999999999999996E-3</v>
      </c>
    </row>
    <row r="72" spans="1:9" x14ac:dyDescent="0.15">
      <c r="B72" s="55"/>
    </row>
    <row r="73" spans="1:9" x14ac:dyDescent="0.15">
      <c r="A73" s="3" t="s">
        <v>401</v>
      </c>
      <c r="B73" s="3">
        <f t="shared" ref="B73:I73" si="12">B11</f>
        <v>0</v>
      </c>
      <c r="C73" s="3">
        <f t="shared" si="12"/>
        <v>1</v>
      </c>
      <c r="D73" s="3">
        <f t="shared" si="12"/>
        <v>2</v>
      </c>
      <c r="E73" s="3">
        <f t="shared" si="12"/>
        <v>3</v>
      </c>
      <c r="F73" s="3">
        <f t="shared" si="12"/>
        <v>4</v>
      </c>
      <c r="G73" s="3">
        <f t="shared" si="12"/>
        <v>5</v>
      </c>
      <c r="H73" s="3">
        <f t="shared" si="12"/>
        <v>6</v>
      </c>
      <c r="I73" s="3">
        <f t="shared" si="12"/>
        <v>7</v>
      </c>
    </row>
    <row r="74" spans="1:9" x14ac:dyDescent="0.15">
      <c r="A74" s="3" t="s">
        <v>1053</v>
      </c>
      <c r="B74" s="56"/>
      <c r="C74" s="56">
        <f t="shared" ref="C74:I74" si="13">C12</f>
        <v>5.5E-2</v>
      </c>
      <c r="D74" s="56">
        <f t="shared" si="13"/>
        <v>5.5E-2</v>
      </c>
      <c r="E74" s="56">
        <f t="shared" si="13"/>
        <v>5.5E-2</v>
      </c>
      <c r="F74" s="56">
        <f t="shared" si="13"/>
        <v>5.5E-2</v>
      </c>
      <c r="G74" s="56">
        <f t="shared" si="13"/>
        <v>5.5E-2</v>
      </c>
      <c r="H74" s="56">
        <f t="shared" si="13"/>
        <v>5.5E-2</v>
      </c>
      <c r="I74" s="56">
        <f t="shared" si="13"/>
        <v>1.0549999999999999</v>
      </c>
    </row>
    <row r="75" spans="1:9" x14ac:dyDescent="0.15">
      <c r="A75" s="3" t="s">
        <v>509</v>
      </c>
      <c r="B75" s="56"/>
      <c r="C75" s="56">
        <f t="shared" ref="C75:I75" si="14">C74/POWER(1+VLOOKUP(C73,$B62:$E68,4,FALSE)+$B$71,C73)</f>
        <v>5.2643617008052548E-2</v>
      </c>
      <c r="D75" s="56">
        <f t="shared" si="14"/>
        <v>4.9998397252719491E-2</v>
      </c>
      <c r="E75" s="56">
        <f t="shared" si="14"/>
        <v>4.7268328481858024E-2</v>
      </c>
      <c r="F75" s="56">
        <f t="shared" si="14"/>
        <v>4.4599457447744822E-2</v>
      </c>
      <c r="G75" s="56">
        <f t="shared" si="14"/>
        <v>4.1921805336454294E-2</v>
      </c>
      <c r="H75" s="56">
        <f t="shared" si="14"/>
        <v>3.948443723182516E-2</v>
      </c>
      <c r="I75" s="56">
        <f t="shared" si="14"/>
        <v>0.71193683184322532</v>
      </c>
    </row>
    <row r="76" spans="1:9" x14ac:dyDescent="0.15">
      <c r="A76" s="7" t="s">
        <v>1054</v>
      </c>
      <c r="B76" s="152">
        <f>SUM(B75:I75)</f>
        <v>0.98785287460187965</v>
      </c>
    </row>
  </sheetData>
  <phoneticPr fontId="4" type="noConversion"/>
  <pageMargins left="0.78740157480314965" right="0.78740157480314965" top="0.98425196850393704" bottom="0.98425196850393704" header="0.51181102362204722" footer="0.51181102362204722"/>
  <pageSetup paperSize="9" scale="91" fitToHeight="3"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euil24">
    <tabColor theme="0" tint="-0.14999847407452621"/>
    <pageSetUpPr fitToPage="1"/>
  </sheetPr>
  <dimension ref="A1:L55"/>
  <sheetViews>
    <sheetView showGridLines="0" zoomScale="90" zoomScaleNormal="130" workbookViewId="0"/>
  </sheetViews>
  <sheetFormatPr baseColWidth="10" defaultColWidth="11" defaultRowHeight="14" x14ac:dyDescent="0.15"/>
  <cols>
    <col min="1" max="1" width="18.83203125" style="3" bestFit="1" customWidth="1"/>
    <col min="2" max="8" width="12.5" style="3" customWidth="1"/>
    <col min="9" max="9" width="11.1640625" style="3" bestFit="1" customWidth="1"/>
    <col min="10" max="10" width="11" style="3"/>
    <col min="11" max="11" width="12.33203125" style="3" customWidth="1"/>
    <col min="12" max="16384" width="11" style="3"/>
  </cols>
  <sheetData>
    <row r="1" spans="1:6" ht="15" x14ac:dyDescent="0.15">
      <c r="A1" s="1" t="s">
        <v>1225</v>
      </c>
    </row>
    <row r="2" spans="1:6" ht="15" x14ac:dyDescent="0.15">
      <c r="A2" s="8"/>
    </row>
    <row r="3" spans="1:6" x14ac:dyDescent="0.15">
      <c r="A3" s="3" t="s">
        <v>531</v>
      </c>
      <c r="B3" s="3">
        <v>500</v>
      </c>
      <c r="C3" s="3" t="s">
        <v>491</v>
      </c>
    </row>
    <row r="4" spans="1:6" x14ac:dyDescent="0.15">
      <c r="A4" s="3" t="s">
        <v>532</v>
      </c>
      <c r="B4" s="3">
        <v>33.299999999999997</v>
      </c>
      <c r="C4" s="3" t="s">
        <v>491</v>
      </c>
    </row>
    <row r="5" spans="1:6" x14ac:dyDescent="0.15">
      <c r="A5" s="3" t="s">
        <v>533</v>
      </c>
      <c r="B5" s="80">
        <v>0.25</v>
      </c>
    </row>
    <row r="6" spans="1:6" x14ac:dyDescent="0.15">
      <c r="A6" s="3" t="s">
        <v>529</v>
      </c>
      <c r="B6" s="80">
        <v>0.15</v>
      </c>
    </row>
    <row r="8" spans="1:6" x14ac:dyDescent="0.15">
      <c r="A8" s="3" t="s">
        <v>401</v>
      </c>
      <c r="B8" s="3">
        <v>0</v>
      </c>
      <c r="C8" s="3">
        <v>1</v>
      </c>
      <c r="D8" s="3">
        <v>2</v>
      </c>
      <c r="E8" s="3">
        <v>3</v>
      </c>
      <c r="F8" s="3">
        <v>3</v>
      </c>
    </row>
    <row r="9" spans="1:6" x14ac:dyDescent="0.15">
      <c r="A9" s="3" t="s">
        <v>508</v>
      </c>
      <c r="B9" s="68">
        <f>-B3</f>
        <v>-500</v>
      </c>
      <c r="C9" s="68">
        <f>$B4*$B5*POWER(1+$B6,C8)</f>
        <v>9.5737499999999986</v>
      </c>
      <c r="D9" s="68">
        <f>$B4*$B5*POWER(1+$B6,D8)</f>
        <v>11.009812499999997</v>
      </c>
      <c r="E9" s="68">
        <f>$B4*$B5*POWER(1+$B6,E8)</f>
        <v>12.661284374999996</v>
      </c>
      <c r="F9" s="68">
        <f>B14</f>
        <v>665.46241362500018</v>
      </c>
    </row>
    <row r="10" spans="1:6" x14ac:dyDescent="0.15">
      <c r="A10" s="3" t="s">
        <v>364</v>
      </c>
      <c r="B10" s="80">
        <v>0.12</v>
      </c>
    </row>
    <row r="11" spans="1:6" x14ac:dyDescent="0.15">
      <c r="A11" s="3" t="s">
        <v>509</v>
      </c>
      <c r="B11" s="68">
        <f>B9/POWER(1+$B10,B8)</f>
        <v>-500</v>
      </c>
      <c r="C11" s="68">
        <f>C9/POWER(1+$B10,C8)</f>
        <v>8.5479910714285694</v>
      </c>
      <c r="D11" s="68">
        <f>D9/POWER(1+$B10,D8)</f>
        <v>8.7769551179846896</v>
      </c>
      <c r="E11" s="68">
        <f>E9/POWER(1+$B10,E8)</f>
        <v>9.0120521300735632</v>
      </c>
      <c r="F11" s="68">
        <f>F9/POWER(1+$B10,F8)</f>
        <v>473.66300168051316</v>
      </c>
    </row>
    <row r="12" spans="1:6" x14ac:dyDescent="0.15">
      <c r="A12" s="3" t="s">
        <v>396</v>
      </c>
      <c r="B12" s="3">
        <f>SUM(B11:F11)</f>
        <v>0</v>
      </c>
    </row>
    <row r="14" spans="1:6" ht="15" x14ac:dyDescent="0.15">
      <c r="A14" s="4" t="s">
        <v>537</v>
      </c>
      <c r="B14" s="98">
        <v>665.46241362500018</v>
      </c>
    </row>
    <row r="15" spans="1:6" ht="30" x14ac:dyDescent="0.15">
      <c r="A15" s="6" t="s">
        <v>536</v>
      </c>
      <c r="B15" s="68">
        <f>E9/B5</f>
        <v>50.645137499999983</v>
      </c>
    </row>
    <row r="16" spans="1:6" x14ac:dyDescent="0.15">
      <c r="A16" s="7" t="s">
        <v>535</v>
      </c>
      <c r="B16" s="98">
        <f>B14/B15</f>
        <v>13.139709880835063</v>
      </c>
    </row>
    <row r="18" spans="1:11" ht="15" x14ac:dyDescent="0.15">
      <c r="A18" s="8" t="s">
        <v>1227</v>
      </c>
    </row>
    <row r="19" spans="1:11" ht="45" x14ac:dyDescent="0.15">
      <c r="A19" s="356" t="s">
        <v>599</v>
      </c>
      <c r="B19" s="357" t="s">
        <v>889</v>
      </c>
      <c r="C19" s="357"/>
      <c r="D19" s="357" t="s">
        <v>1550</v>
      </c>
      <c r="E19" s="357"/>
      <c r="F19" s="357" t="s">
        <v>1768</v>
      </c>
      <c r="G19" s="357" t="s">
        <v>1769</v>
      </c>
      <c r="H19" s="357" t="s">
        <v>1770</v>
      </c>
      <c r="I19" s="357" t="s">
        <v>1082</v>
      </c>
      <c r="J19" s="357" t="s">
        <v>1771</v>
      </c>
      <c r="K19" s="357" t="s">
        <v>1772</v>
      </c>
    </row>
    <row r="20" spans="1:11" x14ac:dyDescent="0.15">
      <c r="A20" s="358"/>
      <c r="B20" s="431"/>
      <c r="C20" s="431">
        <v>2025</v>
      </c>
      <c r="D20" s="431" t="s">
        <v>1704</v>
      </c>
      <c r="E20" s="431" t="s">
        <v>1773</v>
      </c>
      <c r="F20" s="431"/>
      <c r="G20" s="431"/>
      <c r="H20" s="431"/>
      <c r="I20" s="431"/>
      <c r="J20" s="431"/>
      <c r="K20" s="431"/>
    </row>
    <row r="21" spans="1:11" x14ac:dyDescent="0.15">
      <c r="A21" s="216" t="s">
        <v>1774</v>
      </c>
      <c r="B21" s="432">
        <v>10</v>
      </c>
      <c r="C21" s="432">
        <v>3.67</v>
      </c>
      <c r="D21" s="432">
        <v>2.65</v>
      </c>
      <c r="E21" s="432">
        <v>4.97</v>
      </c>
      <c r="F21" s="433">
        <v>0</v>
      </c>
      <c r="G21" s="434">
        <f t="shared" ref="G21:G22" si="0">F21*D21/B21</f>
        <v>0</v>
      </c>
      <c r="H21" s="433">
        <f>(E21/C21)^0.5-1</f>
        <v>0.16371106089205267</v>
      </c>
      <c r="I21" s="398">
        <v>-0.28999999999999998</v>
      </c>
      <c r="J21" s="398">
        <f>B21/D21</f>
        <v>3.7735849056603774</v>
      </c>
      <c r="K21" s="432">
        <v>1.59</v>
      </c>
    </row>
    <row r="22" spans="1:11" x14ac:dyDescent="0.15">
      <c r="A22" s="216" t="s">
        <v>1775</v>
      </c>
      <c r="B22" s="432">
        <v>11.4</v>
      </c>
      <c r="C22" s="432">
        <v>1.2</v>
      </c>
      <c r="D22" s="432">
        <v>1.1299999999999999</v>
      </c>
      <c r="E22" s="432">
        <v>1.27</v>
      </c>
      <c r="F22" s="433">
        <f>1.18/D22</f>
        <v>1.0442477876106195</v>
      </c>
      <c r="G22" s="434">
        <f t="shared" si="0"/>
        <v>0.10350877192982455</v>
      </c>
      <c r="H22" s="433">
        <f>(E22/C22)^0.5-1</f>
        <v>2.8753290800731079E-2</v>
      </c>
      <c r="I22" s="398">
        <v>10.46</v>
      </c>
      <c r="J22" s="398">
        <f>B22/D22</f>
        <v>10.08849557522124</v>
      </c>
      <c r="K22" s="399">
        <v>0.45</v>
      </c>
    </row>
    <row r="23" spans="1:11" x14ac:dyDescent="0.15">
      <c r="A23" s="217" t="s">
        <v>1700</v>
      </c>
      <c r="B23" s="435">
        <v>218</v>
      </c>
      <c r="C23" s="436">
        <v>4.68</v>
      </c>
      <c r="D23" s="437">
        <v>8.2100000000000009</v>
      </c>
      <c r="E23" s="437">
        <v>11.21</v>
      </c>
      <c r="F23" s="438">
        <f>0.04/D23</f>
        <v>4.8721071863580996E-3</v>
      </c>
      <c r="G23" s="439">
        <f>F23*D23/B23</f>
        <v>1.8348623853211009E-4</v>
      </c>
      <c r="H23" s="438">
        <f>(E23/C23)^0.5-1</f>
        <v>0.54767540049557728</v>
      </c>
      <c r="I23" s="440">
        <v>5.52</v>
      </c>
      <c r="J23" s="440">
        <f>B23/D23</f>
        <v>26.55298416565164</v>
      </c>
      <c r="K23" s="436">
        <v>2.25</v>
      </c>
    </row>
    <row r="24" spans="1:11" x14ac:dyDescent="0.15">
      <c r="A24" s="216"/>
      <c r="B24" s="216"/>
      <c r="C24" s="216"/>
      <c r="D24" s="216"/>
      <c r="E24" s="216"/>
      <c r="F24" s="216"/>
      <c r="G24" s="216"/>
      <c r="H24" s="216"/>
      <c r="I24" s="216"/>
      <c r="J24" s="216"/>
      <c r="K24" s="216"/>
    </row>
    <row r="25" spans="1:11" x14ac:dyDescent="0.15">
      <c r="B25" s="511" t="s">
        <v>1776</v>
      </c>
      <c r="C25" s="108" t="s">
        <v>1553</v>
      </c>
    </row>
    <row r="26" spans="1:11" x14ac:dyDescent="0.15">
      <c r="A26" s="3" t="s">
        <v>228</v>
      </c>
      <c r="B26" s="104">
        <v>3.5999999999999997E-2</v>
      </c>
      <c r="C26" s="55">
        <v>4.3999999999999997E-2</v>
      </c>
    </row>
    <row r="27" spans="1:11" x14ac:dyDescent="0.15">
      <c r="A27" s="3" t="s">
        <v>229</v>
      </c>
      <c r="B27" s="104">
        <v>0.06</v>
      </c>
      <c r="C27" s="55">
        <v>3.1E-2</v>
      </c>
    </row>
    <row r="28" spans="1:11" x14ac:dyDescent="0.15">
      <c r="B28" s="68"/>
    </row>
    <row r="29" spans="1:11" ht="30" x14ac:dyDescent="0.15">
      <c r="A29" s="342"/>
      <c r="B29" s="383" t="s">
        <v>233</v>
      </c>
      <c r="C29" s="352" t="s">
        <v>230</v>
      </c>
      <c r="D29" s="352" t="s">
        <v>586</v>
      </c>
      <c r="E29" s="352" t="s">
        <v>545</v>
      </c>
      <c r="F29" s="352" t="s">
        <v>588</v>
      </c>
      <c r="G29" s="352" t="s">
        <v>1596</v>
      </c>
      <c r="H29" s="352" t="s">
        <v>1603</v>
      </c>
    </row>
    <row r="30" spans="1:11" x14ac:dyDescent="0.15">
      <c r="A30" s="16" t="str">
        <f>A21</f>
        <v>Air France KLM (€)</v>
      </c>
      <c r="B30" s="82" t="s">
        <v>1352</v>
      </c>
      <c r="C30" s="82" t="s">
        <v>1665</v>
      </c>
      <c r="D30" s="82" t="s">
        <v>1666</v>
      </c>
      <c r="E30" s="92">
        <f>B21/I21</f>
        <v>-34.482758620689658</v>
      </c>
      <c r="F30" s="218" t="s">
        <v>216</v>
      </c>
      <c r="G30" s="219">
        <f>$B$26+K21*$B$27</f>
        <v>0.13139999999999999</v>
      </c>
      <c r="H30" s="220">
        <f>D21/I21</f>
        <v>-9.1379310344827598</v>
      </c>
    </row>
    <row r="31" spans="1:11" x14ac:dyDescent="0.15">
      <c r="A31" s="16" t="str">
        <f>A22</f>
        <v>M6 (€)</v>
      </c>
      <c r="B31" s="82" t="s">
        <v>1057</v>
      </c>
      <c r="C31" s="82" t="s">
        <v>1057</v>
      </c>
      <c r="D31" s="82" t="s">
        <v>1705</v>
      </c>
      <c r="E31" s="92">
        <f>B22/I22</f>
        <v>1.0898661567877628</v>
      </c>
      <c r="F31" s="218" t="s">
        <v>216</v>
      </c>
      <c r="G31" s="219">
        <f>$B$26+K22*$B$27</f>
        <v>6.3E-2</v>
      </c>
      <c r="H31" s="220">
        <f>D22/I22</f>
        <v>0.10803059273422561</v>
      </c>
    </row>
    <row r="32" spans="1:11" x14ac:dyDescent="0.15">
      <c r="A32" s="16" t="str">
        <f>A23</f>
        <v>Nvidia ($)</v>
      </c>
      <c r="B32" s="82" t="s">
        <v>1448</v>
      </c>
      <c r="C32" s="82" t="s">
        <v>1549</v>
      </c>
      <c r="D32" s="82" t="s">
        <v>1523</v>
      </c>
      <c r="E32" s="92">
        <f>B23/I23</f>
        <v>39.492753623188406</v>
      </c>
      <c r="F32" s="218" t="s">
        <v>219</v>
      </c>
      <c r="G32" s="219">
        <f>$C$26+K23*$C$27</f>
        <v>0.11375</v>
      </c>
      <c r="H32" s="220">
        <f>D23/I23</f>
        <v>1.4873188405797104</v>
      </c>
    </row>
    <row r="34" spans="1:5" ht="15" x14ac:dyDescent="0.15">
      <c r="A34" s="8" t="s">
        <v>193</v>
      </c>
    </row>
    <row r="35" spans="1:5" ht="15" x14ac:dyDescent="0.15">
      <c r="A35" s="8"/>
    </row>
    <row r="36" spans="1:5" x14ac:dyDescent="0.15">
      <c r="A36" s="342" t="s">
        <v>487</v>
      </c>
      <c r="B36" s="352" t="s">
        <v>72</v>
      </c>
      <c r="C36" s="352" t="s">
        <v>73</v>
      </c>
      <c r="D36" s="352" t="s">
        <v>74</v>
      </c>
      <c r="E36" s="352" t="s">
        <v>75</v>
      </c>
    </row>
    <row r="37" spans="1:5" x14ac:dyDescent="0.15">
      <c r="A37" s="16" t="s">
        <v>534</v>
      </c>
      <c r="B37" s="82">
        <v>10</v>
      </c>
      <c r="C37" s="82">
        <v>25</v>
      </c>
      <c r="D37" s="82">
        <v>7</v>
      </c>
      <c r="E37" s="82">
        <v>50</v>
      </c>
    </row>
    <row r="38" spans="1:5" x14ac:dyDescent="0.15">
      <c r="A38" s="16" t="s">
        <v>533</v>
      </c>
      <c r="B38" s="221">
        <v>0.95</v>
      </c>
      <c r="C38" s="221">
        <v>0.2</v>
      </c>
      <c r="D38" s="221">
        <v>0.2</v>
      </c>
      <c r="E38" s="222" t="s">
        <v>234</v>
      </c>
    </row>
    <row r="39" spans="1:5" x14ac:dyDescent="0.15">
      <c r="A39" s="16" t="s">
        <v>529</v>
      </c>
      <c r="B39" s="222" t="s">
        <v>231</v>
      </c>
      <c r="C39" s="221">
        <v>0.3</v>
      </c>
      <c r="D39" s="221">
        <v>0.05</v>
      </c>
      <c r="E39" s="221">
        <v>0.3</v>
      </c>
    </row>
    <row r="40" spans="1:5" x14ac:dyDescent="0.15">
      <c r="A40" s="16" t="s">
        <v>538</v>
      </c>
      <c r="B40" s="223">
        <v>0.15</v>
      </c>
      <c r="C40" s="223">
        <v>0.2</v>
      </c>
      <c r="D40" s="223">
        <v>0.25</v>
      </c>
      <c r="E40" s="223">
        <v>8</v>
      </c>
    </row>
    <row r="41" spans="1:5" ht="16" x14ac:dyDescent="0.15">
      <c r="A41" s="224" t="s">
        <v>1603</v>
      </c>
      <c r="B41" s="221">
        <v>0.1</v>
      </c>
      <c r="C41" s="221">
        <v>0.3</v>
      </c>
      <c r="D41" s="225">
        <f>D42/D37</f>
        <v>5.7142857142857148E-2</v>
      </c>
      <c r="E41" s="221">
        <v>0.9</v>
      </c>
    </row>
    <row r="42" spans="1:5" x14ac:dyDescent="0.15">
      <c r="A42" s="16" t="s">
        <v>545</v>
      </c>
      <c r="B42" s="82">
        <v>1</v>
      </c>
      <c r="C42" s="222">
        <f>C37*C41</f>
        <v>7.5</v>
      </c>
      <c r="D42" s="82">
        <v>0.4</v>
      </c>
      <c r="E42" s="82">
        <v>45</v>
      </c>
    </row>
    <row r="44" spans="1:5" x14ac:dyDescent="0.15">
      <c r="A44" s="3" t="s">
        <v>545</v>
      </c>
      <c r="B44" s="3">
        <f>B37*B41</f>
        <v>1</v>
      </c>
      <c r="C44" s="3">
        <f>C37*C41</f>
        <v>7.5</v>
      </c>
      <c r="D44" s="3">
        <f>D37*D41</f>
        <v>0.4</v>
      </c>
      <c r="E44" s="3">
        <f>E37*E41</f>
        <v>45</v>
      </c>
    </row>
    <row r="45" spans="1:5" x14ac:dyDescent="0.15">
      <c r="A45" s="3" t="s">
        <v>544</v>
      </c>
      <c r="B45" s="50">
        <f>B42/B37</f>
        <v>0.1</v>
      </c>
      <c r="C45" s="50">
        <f>C42/C37</f>
        <v>0.3</v>
      </c>
      <c r="D45" s="50">
        <f>D42/D37</f>
        <v>5.7142857142857148E-2</v>
      </c>
      <c r="E45" s="50">
        <f>E42/E37</f>
        <v>0.9</v>
      </c>
    </row>
    <row r="48" spans="1:5" ht="15" x14ac:dyDescent="0.15">
      <c r="A48" s="8" t="s">
        <v>1659</v>
      </c>
    </row>
    <row r="49" spans="1:12" s="6" customFormat="1" ht="48.75" customHeight="1" x14ac:dyDescent="0.15">
      <c r="A49" s="382"/>
      <c r="B49" s="383" t="s">
        <v>1660</v>
      </c>
      <c r="C49" s="383" t="s">
        <v>1777</v>
      </c>
      <c r="D49" s="383" t="s">
        <v>1771</v>
      </c>
      <c r="E49" s="383" t="s">
        <v>1778</v>
      </c>
      <c r="F49" s="383" t="s">
        <v>1779</v>
      </c>
      <c r="G49" s="383" t="s">
        <v>1780</v>
      </c>
      <c r="H49" s="383" t="s">
        <v>1769</v>
      </c>
      <c r="I49" s="383" t="s">
        <v>1661</v>
      </c>
      <c r="J49" s="383" t="s">
        <v>1662</v>
      </c>
      <c r="K49" s="383" t="s">
        <v>1781</v>
      </c>
      <c r="L49" s="383" t="s">
        <v>1663</v>
      </c>
    </row>
    <row r="50" spans="1:12" x14ac:dyDescent="0.15">
      <c r="A50" s="3" t="s">
        <v>72</v>
      </c>
      <c r="B50" s="402">
        <v>106</v>
      </c>
      <c r="C50" s="414">
        <f>B50/D50</f>
        <v>4.0151515151515156</v>
      </c>
      <c r="D50" s="404">
        <v>26.4</v>
      </c>
      <c r="E50" s="403">
        <v>0.68</v>
      </c>
      <c r="F50" s="403">
        <v>0.75</v>
      </c>
      <c r="G50" s="406">
        <v>0.19</v>
      </c>
      <c r="H50" s="408">
        <f>F50/B50</f>
        <v>7.0754716981132077E-3</v>
      </c>
      <c r="I50" s="412">
        <f>J50/B50</f>
        <v>188.67924528301887</v>
      </c>
      <c r="J50" s="409">
        <v>20000</v>
      </c>
      <c r="K50" s="409">
        <v>3716</v>
      </c>
      <c r="L50" s="29">
        <f>J50/K50</f>
        <v>5.3821313240043054</v>
      </c>
    </row>
    <row r="51" spans="1:12" x14ac:dyDescent="0.15">
      <c r="A51" s="3" t="s">
        <v>1658</v>
      </c>
      <c r="B51" s="402">
        <v>22.7</v>
      </c>
      <c r="C51" s="403">
        <v>1.56</v>
      </c>
      <c r="D51" s="415">
        <f>B51/C51</f>
        <v>14.551282051282051</v>
      </c>
      <c r="E51" s="403">
        <v>0</v>
      </c>
      <c r="F51" s="414">
        <f>C51*G51</f>
        <v>1.9032</v>
      </c>
      <c r="G51" s="406">
        <v>1.22</v>
      </c>
      <c r="H51" s="408">
        <v>8.4000000000000005E-2</v>
      </c>
      <c r="I51" s="405">
        <v>5.8</v>
      </c>
      <c r="J51" s="410">
        <f>I51*B51</f>
        <v>131.66</v>
      </c>
      <c r="K51" s="413">
        <v>72.900000000000006</v>
      </c>
      <c r="L51" s="411">
        <f>J51/K51</f>
        <v>1.8060356652949243</v>
      </c>
    </row>
    <row r="52" spans="1:12" x14ac:dyDescent="0.15">
      <c r="A52" s="3" t="s">
        <v>1664</v>
      </c>
      <c r="B52" s="402">
        <v>16.3</v>
      </c>
      <c r="C52" s="403">
        <v>3.46</v>
      </c>
      <c r="D52" s="401">
        <f>B52/C52</f>
        <v>4.710982658959538</v>
      </c>
      <c r="E52" s="403">
        <v>0.32</v>
      </c>
      <c r="F52" s="403">
        <v>1.03</v>
      </c>
      <c r="G52" s="81">
        <f t="shared" ref="G52:G53" si="1">F52/C52</f>
        <v>0.29768786127167629</v>
      </c>
      <c r="H52" s="417">
        <f>F52/B52</f>
        <v>6.3190184049079751E-2</v>
      </c>
      <c r="I52" s="409">
        <v>3129</v>
      </c>
      <c r="J52" s="105">
        <f>I52*B52</f>
        <v>51002.700000000004</v>
      </c>
      <c r="K52" s="410">
        <f>J52/L52</f>
        <v>39232.846153846156</v>
      </c>
      <c r="L52" s="405">
        <v>1.3</v>
      </c>
    </row>
    <row r="53" spans="1:12" x14ac:dyDescent="0.15">
      <c r="A53" s="3" t="s">
        <v>75</v>
      </c>
      <c r="B53" s="416">
        <f>J53/I53</f>
        <v>41.002108963093143</v>
      </c>
      <c r="C53" s="403">
        <v>5.58</v>
      </c>
      <c r="D53" s="415">
        <f>B53/C53</f>
        <v>7.3480482012711725</v>
      </c>
      <c r="E53" s="403">
        <v>3.23</v>
      </c>
      <c r="F53" s="403">
        <v>3.1</v>
      </c>
      <c r="G53" s="407">
        <f t="shared" si="1"/>
        <v>0.55555555555555558</v>
      </c>
      <c r="H53" s="408">
        <v>7.9000000000000001E-2</v>
      </c>
      <c r="I53" s="409">
        <v>2845</v>
      </c>
      <c r="J53" s="409">
        <v>116651</v>
      </c>
      <c r="K53" s="409">
        <v>117083</v>
      </c>
      <c r="L53" s="29">
        <f>J53/K53</f>
        <v>0.99631030978024138</v>
      </c>
    </row>
    <row r="55" spans="1:12" x14ac:dyDescent="0.15">
      <c r="C55" s="384"/>
    </row>
  </sheetData>
  <phoneticPr fontId="4" type="noConversion"/>
  <pageMargins left="0.78740157480314965" right="0.78740157480314965" top="0.98425196850393704" bottom="0.98425196850393704" header="0.51181102362204722" footer="0.51181102362204722"/>
  <pageSetup paperSize="9" scale="62" fitToHeight="3" orientation="landscape"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BZ114"/>
  <sheetViews>
    <sheetView showGridLines="0" topLeftCell="A10" workbookViewId="0">
      <selection activeCell="A38" sqref="A38"/>
    </sheetView>
  </sheetViews>
  <sheetFormatPr baseColWidth="10" defaultColWidth="11" defaultRowHeight="14" x14ac:dyDescent="0.15"/>
  <cols>
    <col min="1" max="1" width="39" style="3" bestFit="1" customWidth="1"/>
    <col min="2" max="2" width="12.83203125" style="74" bestFit="1" customWidth="1"/>
    <col min="3" max="3" width="11.83203125" style="3" bestFit="1" customWidth="1"/>
    <col min="4" max="6" width="11" style="3"/>
    <col min="7" max="7" width="13.1640625" style="3" bestFit="1" customWidth="1"/>
    <col min="8" max="9" width="11" style="3"/>
    <col min="10" max="10" width="11.83203125" style="3" bestFit="1" customWidth="1"/>
    <col min="11" max="16384" width="11" style="3"/>
  </cols>
  <sheetData>
    <row r="1" spans="1:9" ht="15" x14ac:dyDescent="0.15">
      <c r="A1" s="1" t="s">
        <v>1615</v>
      </c>
      <c r="B1" s="329" t="s">
        <v>350</v>
      </c>
      <c r="C1" s="6" t="s">
        <v>350</v>
      </c>
    </row>
    <row r="2" spans="1:9" x14ac:dyDescent="0.15">
      <c r="A2" s="330" t="s">
        <v>940</v>
      </c>
      <c r="E2" s="330" t="s">
        <v>792</v>
      </c>
    </row>
    <row r="3" spans="1:9" x14ac:dyDescent="0.15">
      <c r="A3" s="3" t="s">
        <v>943</v>
      </c>
      <c r="B3" s="166">
        <f>J30</f>
        <v>340500</v>
      </c>
      <c r="C3" s="74"/>
      <c r="E3" s="7" t="s">
        <v>1171</v>
      </c>
      <c r="F3" s="7"/>
      <c r="G3" s="331">
        <f>I30*B43</f>
        <v>340500</v>
      </c>
    </row>
    <row r="4" spans="1:9" x14ac:dyDescent="0.15">
      <c r="A4" s="3" t="s">
        <v>944</v>
      </c>
      <c r="B4" s="166">
        <f>B5+B6</f>
        <v>19175</v>
      </c>
      <c r="C4" s="74"/>
      <c r="G4" s="145"/>
    </row>
    <row r="5" spans="1:9" s="335" customFormat="1" x14ac:dyDescent="0.15">
      <c r="A5" s="332" t="s">
        <v>1134</v>
      </c>
      <c r="B5" s="333">
        <f>G30*B30</f>
        <v>14300</v>
      </c>
      <c r="C5" s="334"/>
      <c r="G5" s="336"/>
      <c r="I5" s="3"/>
    </row>
    <row r="6" spans="1:9" s="335" customFormat="1" ht="11" x14ac:dyDescent="0.15">
      <c r="A6" s="332" t="s">
        <v>1132</v>
      </c>
      <c r="B6" s="333">
        <f>G30/B42*B44</f>
        <v>4875</v>
      </c>
      <c r="C6" s="337"/>
      <c r="G6" s="336"/>
    </row>
    <row r="7" spans="1:9" x14ac:dyDescent="0.15">
      <c r="A7" s="7" t="s">
        <v>945</v>
      </c>
      <c r="B7" s="147">
        <f>B3+B4</f>
        <v>359675</v>
      </c>
      <c r="C7" s="74"/>
      <c r="G7" s="145"/>
      <c r="H7" s="3" t="s">
        <v>350</v>
      </c>
      <c r="I7" s="3" t="s">
        <v>350</v>
      </c>
    </row>
    <row r="8" spans="1:9" x14ac:dyDescent="0.15">
      <c r="A8" s="3" t="s">
        <v>946</v>
      </c>
      <c r="B8" s="166">
        <f>B9+B10+B11</f>
        <v>354000</v>
      </c>
      <c r="C8" s="74"/>
      <c r="E8" s="3" t="s">
        <v>793</v>
      </c>
      <c r="G8" s="87">
        <f>G9+G10+G11</f>
        <v>339825</v>
      </c>
    </row>
    <row r="9" spans="1:9" s="335" customFormat="1" ht="11" x14ac:dyDescent="0.15">
      <c r="A9" s="332" t="s">
        <v>934</v>
      </c>
      <c r="B9" s="333">
        <f>B44</f>
        <v>90000</v>
      </c>
      <c r="C9" s="334"/>
      <c r="E9" s="332" t="s">
        <v>1136</v>
      </c>
      <c r="G9" s="338">
        <f>B9*I30/(I30+G30)</f>
        <v>85125</v>
      </c>
    </row>
    <row r="10" spans="1:9" s="335" customFormat="1" ht="11" x14ac:dyDescent="0.15">
      <c r="A10" s="332" t="s">
        <v>1024</v>
      </c>
      <c r="B10" s="333">
        <f>J31</f>
        <v>267050</v>
      </c>
      <c r="C10" s="334"/>
      <c r="E10" s="332" t="s">
        <v>1378</v>
      </c>
      <c r="G10" s="338">
        <f>I30*SUM(B32:B39)</f>
        <v>249700</v>
      </c>
    </row>
    <row r="11" spans="1:9" s="335" customFormat="1" ht="11" x14ac:dyDescent="0.15">
      <c r="A11" s="332" t="s">
        <v>1025</v>
      </c>
      <c r="B11" s="333">
        <f>-H31</f>
        <v>-3050</v>
      </c>
      <c r="C11" s="334"/>
      <c r="E11" s="332" t="s">
        <v>1033</v>
      </c>
      <c r="G11" s="338">
        <f>B15</f>
        <v>5000</v>
      </c>
    </row>
    <row r="12" spans="1:9" s="335" customFormat="1" ht="11" x14ac:dyDescent="0.15">
      <c r="A12" s="332" t="s">
        <v>350</v>
      </c>
      <c r="B12" s="333" t="s">
        <v>350</v>
      </c>
      <c r="C12" s="334"/>
      <c r="G12" s="336"/>
    </row>
    <row r="13" spans="1:9" x14ac:dyDescent="0.15">
      <c r="A13" s="7" t="s">
        <v>978</v>
      </c>
      <c r="B13" s="147">
        <f>B7-B8</f>
        <v>5675</v>
      </c>
      <c r="C13" s="74"/>
      <c r="G13" s="145"/>
    </row>
    <row r="14" spans="1:9" x14ac:dyDescent="0.15">
      <c r="A14" s="3" t="s">
        <v>979</v>
      </c>
      <c r="B14" s="166">
        <f>B15</f>
        <v>5000</v>
      </c>
      <c r="C14" s="74"/>
      <c r="G14" s="145"/>
    </row>
    <row r="15" spans="1:9" s="335" customFormat="1" ht="11" x14ac:dyDescent="0.15">
      <c r="A15" s="332" t="s">
        <v>1033</v>
      </c>
      <c r="B15" s="333">
        <f>B48/B51*(12-B55)/12</f>
        <v>5000</v>
      </c>
      <c r="C15" s="334"/>
      <c r="G15" s="336"/>
    </row>
    <row r="16" spans="1:9" x14ac:dyDescent="0.15">
      <c r="A16" s="3" t="s">
        <v>1006</v>
      </c>
      <c r="B16" s="166">
        <v>0</v>
      </c>
      <c r="C16" s="74"/>
      <c r="G16" s="145"/>
    </row>
    <row r="17" spans="1:10" x14ac:dyDescent="0.15">
      <c r="A17" s="7" t="s">
        <v>1007</v>
      </c>
      <c r="B17" s="147"/>
      <c r="C17" s="74"/>
      <c r="D17" s="339">
        <f>G3-G8</f>
        <v>675</v>
      </c>
      <c r="E17" s="7"/>
    </row>
    <row r="18" spans="1:10" x14ac:dyDescent="0.15">
      <c r="A18" s="3" t="s">
        <v>1008</v>
      </c>
      <c r="C18" s="74"/>
      <c r="D18" s="166">
        <f>D19</f>
        <v>600</v>
      </c>
    </row>
    <row r="19" spans="1:10" s="335" customFormat="1" ht="11" x14ac:dyDescent="0.15">
      <c r="A19" s="332" t="s">
        <v>1035</v>
      </c>
      <c r="C19" s="334"/>
      <c r="D19" s="333">
        <f>$B57*$B58*B59/12</f>
        <v>600</v>
      </c>
    </row>
    <row r="20" spans="1:10" x14ac:dyDescent="0.15">
      <c r="A20" s="7" t="s">
        <v>1009</v>
      </c>
      <c r="C20" s="74"/>
      <c r="D20" s="166">
        <f>D17-D18</f>
        <v>75</v>
      </c>
    </row>
    <row r="21" spans="1:10" x14ac:dyDescent="0.15">
      <c r="A21" s="3" t="s">
        <v>1010</v>
      </c>
      <c r="C21" s="74"/>
      <c r="D21" s="147">
        <v>45000</v>
      </c>
    </row>
    <row r="22" spans="1:10" s="335" customFormat="1" ht="11" x14ac:dyDescent="0.15">
      <c r="A22" s="332" t="s">
        <v>1028</v>
      </c>
      <c r="D22" s="333">
        <f>B53</f>
        <v>45000</v>
      </c>
    </row>
    <row r="23" spans="1:10" x14ac:dyDescent="0.15">
      <c r="A23" s="3" t="s">
        <v>1011</v>
      </c>
      <c r="C23" s="74"/>
      <c r="D23" s="166">
        <f>(D20+D21)*$B61</f>
        <v>15776.249999999998</v>
      </c>
    </row>
    <row r="24" spans="1:10" x14ac:dyDescent="0.15">
      <c r="A24" s="7" t="s">
        <v>1012</v>
      </c>
      <c r="C24" s="74"/>
      <c r="D24" s="147">
        <f>D20+D21-D23</f>
        <v>29298.75</v>
      </c>
    </row>
    <row r="25" spans="1:10" x14ac:dyDescent="0.15">
      <c r="A25" s="3" t="s">
        <v>1013</v>
      </c>
      <c r="D25" s="166">
        <v>0</v>
      </c>
    </row>
    <row r="26" spans="1:10" x14ac:dyDescent="0.15">
      <c r="A26" s="7" t="s">
        <v>1014</v>
      </c>
      <c r="C26" s="74"/>
      <c r="D26" s="147">
        <f>D24-D25</f>
        <v>29298.75</v>
      </c>
    </row>
    <row r="29" spans="1:10" x14ac:dyDescent="0.15">
      <c r="A29" s="317" t="s">
        <v>933</v>
      </c>
      <c r="B29" s="317" t="s">
        <v>1016</v>
      </c>
      <c r="C29" s="376" t="s">
        <v>1126</v>
      </c>
      <c r="D29" s="317" t="s">
        <v>1128</v>
      </c>
      <c r="E29" s="317" t="s">
        <v>1127</v>
      </c>
      <c r="F29" s="317" t="s">
        <v>1129</v>
      </c>
      <c r="G29" s="317" t="s">
        <v>1130</v>
      </c>
      <c r="H29" s="317"/>
      <c r="I29" s="317" t="s">
        <v>1135</v>
      </c>
      <c r="J29" s="317"/>
    </row>
    <row r="30" spans="1:10" s="22" customFormat="1" ht="11" x14ac:dyDescent="0.15">
      <c r="A30" s="100" t="s">
        <v>1015</v>
      </c>
      <c r="B30" s="167">
        <f>SUM(B32:B39)</f>
        <v>1100</v>
      </c>
      <c r="C30" s="22">
        <v>14</v>
      </c>
      <c r="D30" s="167">
        <f>B30*C30</f>
        <v>15400</v>
      </c>
      <c r="E30" s="22">
        <v>27</v>
      </c>
      <c r="F30" s="167">
        <f>B30*E30</f>
        <v>29700</v>
      </c>
      <c r="G30" s="22">
        <f>E30-C30</f>
        <v>13</v>
      </c>
      <c r="H30" s="167">
        <f t="shared" ref="H30:H39" si="0">F30-D30</f>
        <v>14300</v>
      </c>
      <c r="I30" s="22">
        <f>B42+C30-E30</f>
        <v>227</v>
      </c>
      <c r="J30" s="167">
        <f>I30*B43</f>
        <v>340500</v>
      </c>
    </row>
    <row r="31" spans="1:10" x14ac:dyDescent="0.15">
      <c r="A31" s="3" t="s">
        <v>1026</v>
      </c>
      <c r="B31" s="166"/>
      <c r="C31" s="74"/>
      <c r="D31" s="166">
        <f>SUM(D32:D39)</f>
        <v>5400</v>
      </c>
      <c r="F31" s="166">
        <f>SUM(F32:F39)</f>
        <v>8450</v>
      </c>
      <c r="G31" s="192"/>
      <c r="H31" s="166">
        <f t="shared" si="0"/>
        <v>3050</v>
      </c>
      <c r="I31" s="3" t="s">
        <v>1131</v>
      </c>
      <c r="J31" s="166">
        <f>SUM(J32:J39)</f>
        <v>267050</v>
      </c>
    </row>
    <row r="32" spans="1:10" s="22" customFormat="1" ht="11" x14ac:dyDescent="0.15">
      <c r="A32" s="100" t="s">
        <v>1017</v>
      </c>
      <c r="B32" s="167">
        <v>50</v>
      </c>
      <c r="C32" s="22">
        <v>5</v>
      </c>
      <c r="D32" s="167">
        <f>B32*C32</f>
        <v>250</v>
      </c>
      <c r="E32" s="22">
        <v>13</v>
      </c>
      <c r="F32" s="167">
        <f>B32*E32</f>
        <v>650</v>
      </c>
      <c r="G32" s="22">
        <f t="shared" ref="G32:G39" si="1">E32-C32</f>
        <v>8</v>
      </c>
      <c r="H32" s="167">
        <f t="shared" si="0"/>
        <v>400</v>
      </c>
      <c r="I32" s="22">
        <f>B$42+G32</f>
        <v>248</v>
      </c>
      <c r="J32" s="167">
        <f>I32*B32</f>
        <v>12400</v>
      </c>
    </row>
    <row r="33" spans="1:10" s="22" customFormat="1" ht="11" x14ac:dyDescent="0.15">
      <c r="A33" s="100" t="s">
        <v>1018</v>
      </c>
      <c r="B33" s="167">
        <v>200</v>
      </c>
      <c r="C33" s="22">
        <v>8</v>
      </c>
      <c r="D33" s="167">
        <f t="shared" ref="D33:D39" si="2">B33*C33</f>
        <v>1600</v>
      </c>
      <c r="E33" s="22">
        <v>2</v>
      </c>
      <c r="F33" s="167">
        <f t="shared" ref="F33:F39" si="3">B33*E33</f>
        <v>400</v>
      </c>
      <c r="G33" s="22">
        <f t="shared" si="1"/>
        <v>-6</v>
      </c>
      <c r="H33" s="167">
        <f t="shared" si="0"/>
        <v>-1200</v>
      </c>
      <c r="I33" s="22">
        <f t="shared" ref="I33:I39" si="4">B$42+G33</f>
        <v>234</v>
      </c>
      <c r="J33" s="167">
        <f t="shared" ref="J33:J39" si="5">I33*B33</f>
        <v>46800</v>
      </c>
    </row>
    <row r="34" spans="1:10" s="22" customFormat="1" ht="11" x14ac:dyDescent="0.15">
      <c r="A34" s="100" t="s">
        <v>1019</v>
      </c>
      <c r="B34" s="167">
        <v>300</v>
      </c>
      <c r="C34" s="22">
        <v>4</v>
      </c>
      <c r="D34" s="167">
        <f t="shared" si="2"/>
        <v>1200</v>
      </c>
      <c r="E34" s="22">
        <v>11</v>
      </c>
      <c r="F34" s="167">
        <f t="shared" si="3"/>
        <v>3300</v>
      </c>
      <c r="G34" s="22">
        <f t="shared" si="1"/>
        <v>7</v>
      </c>
      <c r="H34" s="167">
        <f t="shared" si="0"/>
        <v>2100</v>
      </c>
      <c r="I34" s="22">
        <f t="shared" si="4"/>
        <v>247</v>
      </c>
      <c r="J34" s="167">
        <f t="shared" si="5"/>
        <v>74100</v>
      </c>
    </row>
    <row r="35" spans="1:10" s="22" customFormat="1" ht="11" x14ac:dyDescent="0.15">
      <c r="A35" s="100" t="s">
        <v>1020</v>
      </c>
      <c r="B35" s="167">
        <v>100</v>
      </c>
      <c r="C35" s="22">
        <v>6</v>
      </c>
      <c r="D35" s="167">
        <f t="shared" si="2"/>
        <v>600</v>
      </c>
      <c r="E35" s="22">
        <v>4</v>
      </c>
      <c r="F35" s="167">
        <f t="shared" si="3"/>
        <v>400</v>
      </c>
      <c r="G35" s="22">
        <f t="shared" si="1"/>
        <v>-2</v>
      </c>
      <c r="H35" s="167">
        <f t="shared" si="0"/>
        <v>-200</v>
      </c>
      <c r="I35" s="22">
        <f t="shared" si="4"/>
        <v>238</v>
      </c>
      <c r="J35" s="167">
        <f t="shared" si="5"/>
        <v>23800</v>
      </c>
    </row>
    <row r="36" spans="1:10" s="22" customFormat="1" ht="11" x14ac:dyDescent="0.15">
      <c r="A36" s="100" t="s">
        <v>1021</v>
      </c>
      <c r="B36" s="167">
        <v>50</v>
      </c>
      <c r="C36" s="22">
        <v>1</v>
      </c>
      <c r="D36" s="167">
        <f t="shared" si="2"/>
        <v>50</v>
      </c>
      <c r="E36" s="22">
        <v>13</v>
      </c>
      <c r="F36" s="167">
        <f t="shared" si="3"/>
        <v>650</v>
      </c>
      <c r="G36" s="22">
        <f t="shared" si="1"/>
        <v>12</v>
      </c>
      <c r="H36" s="167">
        <f t="shared" si="0"/>
        <v>600</v>
      </c>
      <c r="I36" s="22">
        <f t="shared" si="4"/>
        <v>252</v>
      </c>
      <c r="J36" s="167">
        <f t="shared" si="5"/>
        <v>12600</v>
      </c>
    </row>
    <row r="37" spans="1:10" s="22" customFormat="1" ht="11" x14ac:dyDescent="0.15">
      <c r="A37" s="100" t="s">
        <v>1022</v>
      </c>
      <c r="B37" s="167">
        <v>150</v>
      </c>
      <c r="C37" s="22">
        <v>5</v>
      </c>
      <c r="D37" s="167">
        <f t="shared" si="2"/>
        <v>750</v>
      </c>
      <c r="E37" s="22">
        <v>10</v>
      </c>
      <c r="F37" s="167">
        <f t="shared" si="3"/>
        <v>1500</v>
      </c>
      <c r="G37" s="22">
        <f t="shared" si="1"/>
        <v>5</v>
      </c>
      <c r="H37" s="167">
        <f t="shared" si="0"/>
        <v>750</v>
      </c>
      <c r="I37" s="22">
        <f t="shared" si="4"/>
        <v>245</v>
      </c>
      <c r="J37" s="167">
        <f t="shared" si="5"/>
        <v>36750</v>
      </c>
    </row>
    <row r="38" spans="1:10" s="22" customFormat="1" ht="11" x14ac:dyDescent="0.15">
      <c r="A38" s="100" t="s">
        <v>1023</v>
      </c>
      <c r="B38" s="167">
        <v>200</v>
      </c>
      <c r="C38" s="22">
        <v>3</v>
      </c>
      <c r="D38" s="167">
        <f t="shared" si="2"/>
        <v>600</v>
      </c>
      <c r="E38" s="22">
        <v>3</v>
      </c>
      <c r="F38" s="167">
        <f t="shared" si="3"/>
        <v>600</v>
      </c>
      <c r="G38" s="22">
        <f t="shared" si="1"/>
        <v>0</v>
      </c>
      <c r="H38" s="167">
        <f t="shared" si="0"/>
        <v>0</v>
      </c>
      <c r="I38" s="22">
        <f t="shared" si="4"/>
        <v>240</v>
      </c>
      <c r="J38" s="167">
        <f t="shared" si="5"/>
        <v>48000</v>
      </c>
    </row>
    <row r="39" spans="1:10" s="22" customFormat="1" ht="11" x14ac:dyDescent="0.15">
      <c r="A39" s="100" t="s">
        <v>1592</v>
      </c>
      <c r="B39" s="167">
        <v>50</v>
      </c>
      <c r="C39" s="22">
        <v>7</v>
      </c>
      <c r="D39" s="167">
        <f t="shared" si="2"/>
        <v>350</v>
      </c>
      <c r="E39" s="22">
        <v>19</v>
      </c>
      <c r="F39" s="167">
        <f t="shared" si="3"/>
        <v>950</v>
      </c>
      <c r="G39" s="22">
        <f t="shared" si="1"/>
        <v>12</v>
      </c>
      <c r="H39" s="167">
        <f t="shared" si="0"/>
        <v>600</v>
      </c>
      <c r="I39" s="22">
        <f t="shared" si="4"/>
        <v>252</v>
      </c>
      <c r="J39" s="167">
        <f t="shared" si="5"/>
        <v>12600</v>
      </c>
    </row>
    <row r="42" spans="1:10" x14ac:dyDescent="0.15">
      <c r="A42" s="3" t="s">
        <v>26</v>
      </c>
      <c r="B42" s="166">
        <v>240</v>
      </c>
    </row>
    <row r="43" spans="1:10" x14ac:dyDescent="0.15">
      <c r="A43" s="3" t="s">
        <v>1027</v>
      </c>
      <c r="B43" s="166">
        <v>1500</v>
      </c>
    </row>
    <row r="44" spans="1:10" x14ac:dyDescent="0.15">
      <c r="A44" s="3" t="s">
        <v>1133</v>
      </c>
      <c r="B44" s="166">
        <f>B45+B46</f>
        <v>90000</v>
      </c>
    </row>
    <row r="45" spans="1:10" s="335" customFormat="1" ht="11" x14ac:dyDescent="0.15">
      <c r="A45" s="332" t="s">
        <v>1136</v>
      </c>
      <c r="B45" s="333">
        <v>60000</v>
      </c>
    </row>
    <row r="46" spans="1:10" s="335" customFormat="1" ht="11" x14ac:dyDescent="0.15">
      <c r="A46" s="332" t="s">
        <v>1137</v>
      </c>
      <c r="B46" s="333">
        <f>B45*0.5</f>
        <v>30000</v>
      </c>
    </row>
    <row r="47" spans="1:10" x14ac:dyDescent="0.15">
      <c r="B47" s="166"/>
    </row>
    <row r="48" spans="1:10" x14ac:dyDescent="0.15">
      <c r="A48" s="3" t="s">
        <v>1029</v>
      </c>
      <c r="B48" s="166">
        <v>200000</v>
      </c>
    </row>
    <row r="49" spans="1:3" x14ac:dyDescent="0.15">
      <c r="A49" s="3" t="s">
        <v>1138</v>
      </c>
      <c r="B49" s="166">
        <f>B48*(1-B52/B51)</f>
        <v>185000</v>
      </c>
    </row>
    <row r="50" spans="1:3" x14ac:dyDescent="0.15">
      <c r="A50" s="3" t="s">
        <v>1030</v>
      </c>
      <c r="B50" s="166">
        <v>230000</v>
      </c>
    </row>
    <row r="51" spans="1:3" x14ac:dyDescent="0.15">
      <c r="A51" s="3" t="s">
        <v>1031</v>
      </c>
      <c r="B51" s="166">
        <v>40</v>
      </c>
    </row>
    <row r="52" spans="1:3" x14ac:dyDescent="0.15">
      <c r="A52" s="3" t="s">
        <v>1032</v>
      </c>
      <c r="B52" s="166">
        <v>3</v>
      </c>
    </row>
    <row r="53" spans="1:3" x14ac:dyDescent="0.15">
      <c r="A53" s="3" t="s">
        <v>1139</v>
      </c>
      <c r="B53" s="166">
        <f>B50-B49</f>
        <v>45000</v>
      </c>
    </row>
    <row r="55" spans="1:3" x14ac:dyDescent="0.15">
      <c r="A55" s="3" t="s">
        <v>1034</v>
      </c>
      <c r="B55" s="166">
        <v>0</v>
      </c>
      <c r="C55" s="166">
        <v>12</v>
      </c>
    </row>
    <row r="57" spans="1:3" x14ac:dyDescent="0.15">
      <c r="A57" s="3" t="s">
        <v>1036</v>
      </c>
      <c r="B57" s="166">
        <v>12000</v>
      </c>
    </row>
    <row r="58" spans="1:3" x14ac:dyDescent="0.15">
      <c r="A58" s="3" t="s">
        <v>1037</v>
      </c>
      <c r="B58" s="81">
        <v>0.05</v>
      </c>
    </row>
    <row r="59" spans="1:3" x14ac:dyDescent="0.15">
      <c r="A59" s="3" t="s">
        <v>1038</v>
      </c>
      <c r="B59" s="166">
        <v>12</v>
      </c>
      <c r="C59" s="166">
        <v>0</v>
      </c>
    </row>
    <row r="61" spans="1:3" x14ac:dyDescent="0.15">
      <c r="A61" s="3" t="s">
        <v>1039</v>
      </c>
      <c r="B61" s="81">
        <v>0.35</v>
      </c>
    </row>
    <row r="64" spans="1:3" ht="15" x14ac:dyDescent="0.15">
      <c r="A64" s="8" t="s">
        <v>1616</v>
      </c>
    </row>
    <row r="65" spans="1:78" ht="15" x14ac:dyDescent="0.15">
      <c r="A65" s="359" t="s">
        <v>939</v>
      </c>
      <c r="B65" s="377">
        <v>1</v>
      </c>
      <c r="C65" s="377">
        <v>2</v>
      </c>
      <c r="D65" s="377">
        <v>3</v>
      </c>
    </row>
    <row r="66" spans="1:78" ht="15" x14ac:dyDescent="0.15">
      <c r="A66" s="6" t="s">
        <v>945</v>
      </c>
      <c r="B66" s="166">
        <f>B67+B68</f>
        <v>142</v>
      </c>
      <c r="C66" s="166">
        <f>C67+C68</f>
        <v>144</v>
      </c>
      <c r="D66" s="166">
        <f>D67+D68</f>
        <v>144</v>
      </c>
    </row>
    <row r="67" spans="1:78" s="192" customFormat="1" ht="12" x14ac:dyDescent="0.15">
      <c r="A67" s="340" t="s">
        <v>943</v>
      </c>
      <c r="B67" s="388">
        <v>132</v>
      </c>
      <c r="C67" s="388">
        <f>'Chapitre 2'!D28</f>
        <v>144</v>
      </c>
      <c r="D67" s="388">
        <f>'Chapitre 2'!E28</f>
        <v>144</v>
      </c>
    </row>
    <row r="68" spans="1:78" s="192" customFormat="1" ht="12" x14ac:dyDescent="0.15">
      <c r="A68" s="340" t="s">
        <v>944</v>
      </c>
      <c r="B68" s="388">
        <f>4+4+2</f>
        <v>10</v>
      </c>
      <c r="C68" s="167"/>
      <c r="D68" s="167"/>
    </row>
    <row r="69" spans="1:78" ht="15" x14ac:dyDescent="0.15">
      <c r="A69" s="6" t="s">
        <v>946</v>
      </c>
      <c r="B69" s="166">
        <f>SUM(B70:B72)</f>
        <v>120</v>
      </c>
      <c r="C69" s="166">
        <f>SUM(C70:C72)</f>
        <v>120</v>
      </c>
      <c r="D69" s="166">
        <f>SUM(D70:D72)</f>
        <v>120</v>
      </c>
    </row>
    <row r="70" spans="1:78" s="22" customFormat="1" ht="12" x14ac:dyDescent="0.15">
      <c r="A70" s="17" t="s">
        <v>1148</v>
      </c>
      <c r="B70" s="388">
        <f>52-4</f>
        <v>48</v>
      </c>
      <c r="C70" s="388">
        <v>48</v>
      </c>
      <c r="D70" s="388">
        <v>48</v>
      </c>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1"/>
      <c r="AV70" s="31"/>
      <c r="AW70" s="31"/>
      <c r="AX70" s="31"/>
      <c r="AY70" s="31"/>
      <c r="AZ70" s="31"/>
      <c r="BA70" s="31"/>
      <c r="BB70" s="31"/>
      <c r="BC70" s="31"/>
      <c r="BD70" s="31"/>
      <c r="BE70" s="31"/>
      <c r="BF70" s="31"/>
      <c r="BG70" s="31"/>
      <c r="BH70" s="31"/>
      <c r="BI70" s="31"/>
      <c r="BJ70" s="31"/>
      <c r="BK70" s="31"/>
      <c r="BL70" s="31"/>
      <c r="BM70" s="31"/>
      <c r="BN70" s="31"/>
      <c r="BO70" s="31"/>
      <c r="BP70" s="31"/>
      <c r="BQ70" s="31"/>
      <c r="BR70" s="31"/>
      <c r="BS70" s="31"/>
      <c r="BT70" s="31"/>
      <c r="BU70" s="31"/>
      <c r="BV70" s="31"/>
      <c r="BW70" s="31"/>
      <c r="BX70" s="31"/>
      <c r="BY70" s="31"/>
      <c r="BZ70" s="31"/>
    </row>
    <row r="71" spans="1:78" s="22" customFormat="1" ht="12" x14ac:dyDescent="0.15">
      <c r="A71" s="17" t="s">
        <v>935</v>
      </c>
      <c r="B71" s="388">
        <v>24</v>
      </c>
      <c r="C71" s="388">
        <v>24</v>
      </c>
      <c r="D71" s="388">
        <v>24</v>
      </c>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row>
    <row r="72" spans="1:78" s="22" customFormat="1" ht="12" x14ac:dyDescent="0.15">
      <c r="A72" s="17" t="s">
        <v>934</v>
      </c>
      <c r="B72" s="388">
        <v>48</v>
      </c>
      <c r="C72" s="388">
        <v>48</v>
      </c>
      <c r="D72" s="388">
        <v>48</v>
      </c>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row>
    <row r="73" spans="1:78" ht="15" x14ac:dyDescent="0.15">
      <c r="A73" s="4" t="s">
        <v>1040</v>
      </c>
      <c r="B73" s="166">
        <f>B66-B69</f>
        <v>22</v>
      </c>
      <c r="C73" s="166">
        <f>C66-C69</f>
        <v>24</v>
      </c>
      <c r="D73" s="166">
        <f>D66-D69</f>
        <v>24</v>
      </c>
    </row>
    <row r="74" spans="1:78" ht="15" x14ac:dyDescent="0.15">
      <c r="A74" s="6" t="s">
        <v>1041</v>
      </c>
      <c r="B74" s="166">
        <v>6</v>
      </c>
      <c r="C74" s="166">
        <f>B74</f>
        <v>6</v>
      </c>
      <c r="D74" s="166">
        <f>B74</f>
        <v>6</v>
      </c>
    </row>
    <row r="75" spans="1:78" ht="15" x14ac:dyDescent="0.15">
      <c r="A75" s="4" t="s">
        <v>1007</v>
      </c>
      <c r="B75" s="166">
        <f>B73-B74</f>
        <v>16</v>
      </c>
      <c r="C75" s="166">
        <f>C73-C74</f>
        <v>18</v>
      </c>
      <c r="D75" s="166">
        <f>D73-D74</f>
        <v>18</v>
      </c>
    </row>
    <row r="76" spans="1:78" ht="15" x14ac:dyDescent="0.15">
      <c r="A76" s="6" t="s">
        <v>1042</v>
      </c>
      <c r="B76" s="251">
        <f>SUMIF('Chapitre 2'!$F$12:$CB$12,B65,'Chapitre 2'!$F$24:$CB$24)</f>
        <v>1.9</v>
      </c>
      <c r="C76" s="251">
        <f>SUMIF('Chapitre 2'!$F$12:$CB$12,C65,'Chapitre 2'!$F$24:$CB$24)</f>
        <v>1.5</v>
      </c>
      <c r="D76" s="251">
        <f>SUMIF('Chapitre 2'!$F$12:$CB$12,D65,'Chapitre 2'!$F$24:$CB$24)</f>
        <v>1.1000000000000001</v>
      </c>
    </row>
    <row r="77" spans="1:78" ht="15" x14ac:dyDescent="0.15">
      <c r="A77" s="4" t="s">
        <v>1043</v>
      </c>
      <c r="B77" s="251">
        <f>B75-B76</f>
        <v>14.1</v>
      </c>
      <c r="C77" s="251">
        <f>C75-C76</f>
        <v>16.5</v>
      </c>
      <c r="D77" s="251">
        <f>D75-D76</f>
        <v>16.899999999999999</v>
      </c>
    </row>
    <row r="78" spans="1:78" ht="15" x14ac:dyDescent="0.15">
      <c r="A78" s="6" t="s">
        <v>1011</v>
      </c>
      <c r="B78" s="251">
        <v>0</v>
      </c>
      <c r="C78" s="251">
        <v>0</v>
      </c>
      <c r="D78" s="251">
        <v>0</v>
      </c>
    </row>
    <row r="79" spans="1:78" ht="15" x14ac:dyDescent="0.15">
      <c r="A79" s="4" t="s">
        <v>1044</v>
      </c>
      <c r="B79" s="251">
        <f>B77-B78</f>
        <v>14.1</v>
      </c>
      <c r="C79" s="251">
        <f>C77-C78</f>
        <v>16.5</v>
      </c>
      <c r="D79" s="251">
        <f>D77-D78</f>
        <v>16.899999999999999</v>
      </c>
    </row>
    <row r="80" spans="1:78" ht="15" x14ac:dyDescent="0.15">
      <c r="A80" s="6" t="s">
        <v>1013</v>
      </c>
    </row>
    <row r="81" spans="1:4" ht="15" x14ac:dyDescent="0.15">
      <c r="A81" s="6" t="s">
        <v>1014</v>
      </c>
    </row>
    <row r="83" spans="1:4" ht="15" x14ac:dyDescent="0.15">
      <c r="A83" s="8" t="s">
        <v>899</v>
      </c>
    </row>
    <row r="84" spans="1:4" ht="15" x14ac:dyDescent="0.15">
      <c r="A84" s="4" t="s">
        <v>939</v>
      </c>
    </row>
    <row r="85" spans="1:4" x14ac:dyDescent="0.15">
      <c r="A85" s="3" t="s">
        <v>1149</v>
      </c>
      <c r="B85" s="166">
        <f>B67</f>
        <v>132</v>
      </c>
      <c r="C85" s="166">
        <f>C67</f>
        <v>144</v>
      </c>
      <c r="D85" s="166">
        <f>D67</f>
        <v>144</v>
      </c>
    </row>
    <row r="86" spans="1:4" x14ac:dyDescent="0.15">
      <c r="A86" s="86" t="s">
        <v>1152</v>
      </c>
      <c r="B86" s="166">
        <f>B69+B74-B68</f>
        <v>116</v>
      </c>
      <c r="C86" s="166">
        <f>C69+C74-C68</f>
        <v>126</v>
      </c>
      <c r="D86" s="166">
        <f>D69+D74-D68</f>
        <v>126</v>
      </c>
    </row>
    <row r="87" spans="1:4" x14ac:dyDescent="0.15">
      <c r="A87" s="86" t="s">
        <v>1150</v>
      </c>
      <c r="B87" s="166">
        <v>0</v>
      </c>
      <c r="C87" s="166">
        <v>0</v>
      </c>
      <c r="D87" s="166">
        <v>0</v>
      </c>
    </row>
    <row r="88" spans="1:4" x14ac:dyDescent="0.15">
      <c r="A88" s="86" t="s">
        <v>1151</v>
      </c>
      <c r="B88" s="166">
        <v>0</v>
      </c>
      <c r="C88" s="166">
        <v>0</v>
      </c>
      <c r="D88" s="166">
        <v>0</v>
      </c>
    </row>
    <row r="89" spans="1:4" ht="15" x14ac:dyDescent="0.15">
      <c r="A89" s="4" t="s">
        <v>1007</v>
      </c>
      <c r="B89" s="166">
        <f>B85-B86-B87-B88</f>
        <v>16</v>
      </c>
      <c r="C89" s="166">
        <f>C85-C86-C87-C88</f>
        <v>18</v>
      </c>
      <c r="D89" s="166">
        <f>D85-D86-D87-D88</f>
        <v>18</v>
      </c>
    </row>
    <row r="90" spans="1:4" ht="15" x14ac:dyDescent="0.15">
      <c r="A90" s="6" t="s">
        <v>1042</v>
      </c>
      <c r="B90" s="251">
        <f>B76</f>
        <v>1.9</v>
      </c>
      <c r="C90" s="251">
        <f>C76</f>
        <v>1.5</v>
      </c>
      <c r="D90" s="251">
        <f>D76</f>
        <v>1.1000000000000001</v>
      </c>
    </row>
    <row r="91" spans="1:4" ht="15" x14ac:dyDescent="0.15">
      <c r="A91" s="4" t="s">
        <v>1043</v>
      </c>
      <c r="B91" s="251">
        <f>B89-B90</f>
        <v>14.1</v>
      </c>
      <c r="C91" s="251">
        <f>C89-C90</f>
        <v>16.5</v>
      </c>
      <c r="D91" s="251">
        <f>D89-D90</f>
        <v>16.899999999999999</v>
      </c>
    </row>
    <row r="92" spans="1:4" ht="15" x14ac:dyDescent="0.15">
      <c r="A92" s="6" t="s">
        <v>1011</v>
      </c>
      <c r="B92" s="251">
        <v>0</v>
      </c>
      <c r="C92" s="251">
        <v>0</v>
      </c>
      <c r="D92" s="251">
        <v>0</v>
      </c>
    </row>
    <row r="93" spans="1:4" ht="15" x14ac:dyDescent="0.15">
      <c r="A93" s="4" t="s">
        <v>1044</v>
      </c>
      <c r="B93" s="251">
        <f>B91-B92</f>
        <v>14.1</v>
      </c>
      <c r="C93" s="251">
        <f>C91-C92</f>
        <v>16.5</v>
      </c>
      <c r="D93" s="251">
        <f>D91-D92</f>
        <v>16.899999999999999</v>
      </c>
    </row>
    <row r="94" spans="1:4" x14ac:dyDescent="0.15">
      <c r="A94" s="6"/>
    </row>
    <row r="95" spans="1:4" x14ac:dyDescent="0.15">
      <c r="A95" s="6"/>
    </row>
    <row r="96" spans="1:4" ht="15" x14ac:dyDescent="0.15">
      <c r="A96" s="8" t="s">
        <v>1617</v>
      </c>
    </row>
    <row r="97" spans="1:3" ht="15" x14ac:dyDescent="0.15">
      <c r="A97" s="4" t="s">
        <v>1293</v>
      </c>
    </row>
    <row r="98" spans="1:3" ht="15" x14ac:dyDescent="0.15">
      <c r="A98" s="359" t="s">
        <v>939</v>
      </c>
      <c r="B98" s="377">
        <v>1</v>
      </c>
      <c r="C98" s="377">
        <v>2</v>
      </c>
    </row>
    <row r="99" spans="1:3" x14ac:dyDescent="0.15">
      <c r="A99" s="3" t="s">
        <v>1171</v>
      </c>
      <c r="B99" s="166">
        <f>+$B$110*$B$111*B112/12</f>
        <v>25000</v>
      </c>
      <c r="C99" s="166">
        <f>+$B$110*$B$111*C112/12</f>
        <v>75000</v>
      </c>
    </row>
    <row r="100" spans="1:3" x14ac:dyDescent="0.15">
      <c r="A100" s="3" t="s">
        <v>934</v>
      </c>
      <c r="B100" s="166">
        <f>-B112*$B$113</f>
        <v>-8000</v>
      </c>
      <c r="C100" s="166">
        <f>-C112*$B$113</f>
        <v>-24000</v>
      </c>
    </row>
    <row r="101" spans="1:3" x14ac:dyDescent="0.15">
      <c r="A101" s="3" t="s">
        <v>1294</v>
      </c>
      <c r="B101" s="166">
        <f>-B112*$B$111*$B$114</f>
        <v>-12000</v>
      </c>
      <c r="C101" s="166">
        <f>-C112*$B$111*$B$114</f>
        <v>-36000</v>
      </c>
    </row>
    <row r="102" spans="1:3" x14ac:dyDescent="0.15">
      <c r="A102" s="7" t="s">
        <v>1044</v>
      </c>
      <c r="B102" s="166">
        <f>+B99+B100+B101</f>
        <v>5000</v>
      </c>
      <c r="C102" s="166">
        <f>+C99+C100+C101</f>
        <v>15000</v>
      </c>
    </row>
    <row r="104" spans="1:3" x14ac:dyDescent="0.15">
      <c r="A104" s="341" t="s">
        <v>178</v>
      </c>
    </row>
    <row r="105" spans="1:3" ht="15" x14ac:dyDescent="0.15">
      <c r="A105" s="359" t="s">
        <v>939</v>
      </c>
      <c r="B105" s="377">
        <v>1</v>
      </c>
      <c r="C105" s="377">
        <v>2</v>
      </c>
    </row>
    <row r="106" spans="1:3" x14ac:dyDescent="0.15">
      <c r="A106" s="3" t="s">
        <v>1295</v>
      </c>
      <c r="B106" s="166">
        <f>+$B$110*$B$111</f>
        <v>75000</v>
      </c>
      <c r="C106" s="166">
        <f>+$B$110*$B$111</f>
        <v>75000</v>
      </c>
    </row>
    <row r="107" spans="1:3" x14ac:dyDescent="0.15">
      <c r="A107" s="3" t="s">
        <v>1296</v>
      </c>
      <c r="B107" s="166">
        <f>-B112*$B$113-$B$111*$B$114*B112</f>
        <v>-20000</v>
      </c>
      <c r="C107" s="166">
        <f>-C112*$B$113-$B$111*$B$114*C112</f>
        <v>-60000</v>
      </c>
    </row>
    <row r="108" spans="1:3" x14ac:dyDescent="0.15">
      <c r="A108" s="7" t="s">
        <v>1297</v>
      </c>
      <c r="B108" s="166">
        <f>+B107+B106</f>
        <v>55000</v>
      </c>
      <c r="C108" s="166">
        <f>+C107+C106</f>
        <v>15000</v>
      </c>
    </row>
    <row r="110" spans="1:3" x14ac:dyDescent="0.15">
      <c r="A110" s="3" t="s">
        <v>1298</v>
      </c>
      <c r="B110" s="166">
        <v>50</v>
      </c>
    </row>
    <row r="111" spans="1:3" x14ac:dyDescent="0.15">
      <c r="A111" s="3" t="s">
        <v>1299</v>
      </c>
      <c r="B111" s="166">
        <v>1500</v>
      </c>
    </row>
    <row r="112" spans="1:3" x14ac:dyDescent="0.15">
      <c r="A112" s="3" t="s">
        <v>1300</v>
      </c>
      <c r="B112" s="166">
        <v>4</v>
      </c>
      <c r="C112" s="3">
        <v>12</v>
      </c>
    </row>
    <row r="113" spans="1:2" x14ac:dyDescent="0.15">
      <c r="A113" s="3" t="s">
        <v>1302</v>
      </c>
      <c r="B113" s="166">
        <v>2000</v>
      </c>
    </row>
    <row r="114" spans="1:2" x14ac:dyDescent="0.15">
      <c r="A114" s="3" t="s">
        <v>1301</v>
      </c>
      <c r="B114" s="166">
        <v>2</v>
      </c>
    </row>
  </sheetData>
  <phoneticPr fontId="4" type="noConversion"/>
  <pageMargins left="0.78740157480314965" right="0.78740157480314965" top="0.98425196850393704" bottom="0.98425196850393704" header="0.51181102362204722" footer="0.51181102362204722"/>
  <pageSetup paperSize="9" scale="31"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euil25">
    <pageSetUpPr fitToPage="1"/>
  </sheetPr>
  <dimension ref="A1:D53"/>
  <sheetViews>
    <sheetView showGridLines="0" workbookViewId="0"/>
  </sheetViews>
  <sheetFormatPr baseColWidth="10" defaultColWidth="11" defaultRowHeight="14" x14ac:dyDescent="0.15"/>
  <cols>
    <col min="1" max="1" width="19.83203125" style="3" customWidth="1"/>
    <col min="2" max="2" width="11" style="3"/>
    <col min="3" max="3" width="11.1640625" style="3" customWidth="1"/>
    <col min="4" max="16384" width="11" style="3"/>
  </cols>
  <sheetData>
    <row r="1" spans="1:4" ht="15" x14ac:dyDescent="0.15">
      <c r="A1" s="1" t="s">
        <v>1225</v>
      </c>
    </row>
    <row r="3" spans="1:4" x14ac:dyDescent="0.15">
      <c r="A3" s="513" t="s">
        <v>1610</v>
      </c>
      <c r="B3" s="513"/>
      <c r="C3" s="513"/>
      <c r="D3" s="513"/>
    </row>
    <row r="4" spans="1:4" x14ac:dyDescent="0.15">
      <c r="A4" s="513"/>
      <c r="B4" s="513"/>
      <c r="C4" s="513"/>
      <c r="D4" s="513"/>
    </row>
    <row r="5" spans="1:4" x14ac:dyDescent="0.15">
      <c r="A5" s="513"/>
      <c r="B5" s="513"/>
      <c r="C5" s="513"/>
      <c r="D5" s="513"/>
    </row>
    <row r="6" spans="1:4" x14ac:dyDescent="0.15">
      <c r="A6" s="513"/>
      <c r="B6" s="513"/>
      <c r="C6" s="513"/>
      <c r="D6" s="513"/>
    </row>
    <row r="9" spans="1:4" ht="15" x14ac:dyDescent="0.15">
      <c r="A9" s="8" t="s">
        <v>1679</v>
      </c>
    </row>
    <row r="10" spans="1:4" ht="15" x14ac:dyDescent="0.15">
      <c r="A10" s="8"/>
    </row>
    <row r="11" spans="1:4" x14ac:dyDescent="0.15">
      <c r="A11" s="317" t="s">
        <v>557</v>
      </c>
      <c r="B11" s="318" t="s">
        <v>573</v>
      </c>
      <c r="C11" s="318" t="s">
        <v>572</v>
      </c>
      <c r="D11" s="317"/>
    </row>
    <row r="12" spans="1:4" x14ac:dyDescent="0.15">
      <c r="A12" s="3" t="s">
        <v>558</v>
      </c>
      <c r="B12" s="3">
        <v>4</v>
      </c>
      <c r="C12" s="3">
        <v>6</v>
      </c>
      <c r="D12" s="3" t="s">
        <v>131</v>
      </c>
    </row>
    <row r="13" spans="1:4" x14ac:dyDescent="0.15">
      <c r="A13" s="3" t="s">
        <v>566</v>
      </c>
      <c r="B13" s="3">
        <v>6</v>
      </c>
      <c r="C13" s="3">
        <v>5</v>
      </c>
      <c r="D13" s="3" t="s">
        <v>491</v>
      </c>
    </row>
    <row r="14" spans="1:4" x14ac:dyDescent="0.15">
      <c r="A14" s="3" t="s">
        <v>235</v>
      </c>
      <c r="B14" s="3">
        <v>5</v>
      </c>
      <c r="C14" s="3">
        <v>5</v>
      </c>
      <c r="D14" s="3" t="s">
        <v>491</v>
      </c>
    </row>
    <row r="15" spans="1:4" ht="16" x14ac:dyDescent="0.15">
      <c r="A15" s="3" t="s">
        <v>1601</v>
      </c>
      <c r="B15" s="80">
        <v>0.01</v>
      </c>
      <c r="C15" s="80">
        <f>B15</f>
        <v>0.01</v>
      </c>
    </row>
    <row r="16" spans="1:4" x14ac:dyDescent="0.15">
      <c r="B16" s="80"/>
    </row>
    <row r="17" spans="1:4" x14ac:dyDescent="0.15">
      <c r="A17" s="149" t="s">
        <v>1058</v>
      </c>
      <c r="B17" s="80"/>
      <c r="C17" s="149"/>
    </row>
    <row r="18" spans="1:4" x14ac:dyDescent="0.15">
      <c r="A18" s="3" t="s">
        <v>562</v>
      </c>
      <c r="B18" s="68">
        <f>B12/12</f>
        <v>0.33333333333333331</v>
      </c>
      <c r="C18" s="3">
        <f>C12/12</f>
        <v>0.5</v>
      </c>
    </row>
    <row r="19" spans="1:4" x14ac:dyDescent="0.15">
      <c r="A19" s="3" t="s">
        <v>565</v>
      </c>
      <c r="B19" s="67">
        <f>LN(B14/B13)</f>
        <v>-0.18232155679395459</v>
      </c>
      <c r="C19" s="67">
        <f>LN(C14/C13)</f>
        <v>0</v>
      </c>
    </row>
    <row r="20" spans="1:4" ht="16" x14ac:dyDescent="0.15">
      <c r="A20" s="3" t="s">
        <v>1602</v>
      </c>
      <c r="B20" s="104">
        <f>(B15+B29*B29/2)*B18</f>
        <v>9.2963333291259276E-2</v>
      </c>
      <c r="C20" s="104">
        <f>(C15+C29*C29/2)*C18</f>
        <v>0.13944499993688891</v>
      </c>
    </row>
    <row r="21" spans="1:4" x14ac:dyDescent="0.15">
      <c r="A21" s="3" t="s">
        <v>568</v>
      </c>
      <c r="B21" s="104">
        <f>B29*SQRT(B18)</f>
        <v>0.42339107207858301</v>
      </c>
      <c r="C21" s="104">
        <f>C29*SQRT(C18)</f>
        <v>0.51854604412123118</v>
      </c>
    </row>
    <row r="23" spans="1:4" x14ac:dyDescent="0.15">
      <c r="A23" s="3" t="s">
        <v>563</v>
      </c>
      <c r="B23" s="81">
        <f>(B19+B20)/B21</f>
        <v>-0.21105363196253246</v>
      </c>
      <c r="C23" s="81">
        <f>(C19+C20)/C21</f>
        <v>0.2689153673386967</v>
      </c>
    </row>
    <row r="24" spans="1:4" x14ac:dyDescent="0.15">
      <c r="A24" s="3" t="s">
        <v>564</v>
      </c>
      <c r="B24" s="80">
        <f>B23-B21</f>
        <v>-0.63444470404111541</v>
      </c>
      <c r="C24" s="80">
        <f>C23-C21</f>
        <v>-0.24963067678253448</v>
      </c>
    </row>
    <row r="25" spans="1:4" x14ac:dyDescent="0.15">
      <c r="A25" s="3" t="s">
        <v>560</v>
      </c>
      <c r="B25" s="68">
        <f>NORMDIST(B23,0,1,TRUE)</f>
        <v>0.41642271076338022</v>
      </c>
      <c r="C25" s="68">
        <f>NORMDIST(C23,0,1,TRUE)</f>
        <v>0.60600259449659899</v>
      </c>
    </row>
    <row r="26" spans="1:4" x14ac:dyDescent="0.15">
      <c r="A26" s="3" t="s">
        <v>559</v>
      </c>
      <c r="B26" s="68">
        <f>NORMDIST(B24,0,1,TRUE)</f>
        <v>0.26289532146118544</v>
      </c>
      <c r="C26" s="68">
        <f>NORMDIST(C24,0,1,TRUE)</f>
        <v>0.40143648641969543</v>
      </c>
    </row>
    <row r="27" spans="1:4" x14ac:dyDescent="0.15">
      <c r="A27" s="3" t="s">
        <v>569</v>
      </c>
      <c r="B27" s="68">
        <f>EXP(-B18*B15)</f>
        <v>0.99667221605452327</v>
      </c>
      <c r="C27" s="68">
        <f>EXP(-C18*C15)</f>
        <v>0.99501247919268232</v>
      </c>
    </row>
    <row r="28" spans="1:4" x14ac:dyDescent="0.15">
      <c r="A28" s="7" t="s">
        <v>571</v>
      </c>
      <c r="B28" s="102">
        <f>B25*B14-B26*B13*B27</f>
        <v>0.50999077803038562</v>
      </c>
      <c r="C28" s="213">
        <f>C25*C14-C26*C13*C27</f>
        <v>1.0328414045286911</v>
      </c>
      <c r="D28" s="214"/>
    </row>
    <row r="29" spans="1:4" x14ac:dyDescent="0.15">
      <c r="A29" s="7" t="s">
        <v>570</v>
      </c>
      <c r="B29" s="215">
        <v>0.73333484831116247</v>
      </c>
      <c r="C29" s="104">
        <f>B29</f>
        <v>0.73333484831116247</v>
      </c>
      <c r="D29" s="80"/>
    </row>
    <row r="31" spans="1:4" ht="15" x14ac:dyDescent="0.15">
      <c r="A31" s="8" t="s">
        <v>1680</v>
      </c>
    </row>
    <row r="32" spans="1:4" ht="15" x14ac:dyDescent="0.15">
      <c r="A32" s="8"/>
    </row>
    <row r="33" spans="1:4" ht="24" x14ac:dyDescent="0.15">
      <c r="A33" s="359" t="s">
        <v>574</v>
      </c>
      <c r="B33" s="346" t="s">
        <v>1524</v>
      </c>
      <c r="C33" s="346" t="s">
        <v>1386</v>
      </c>
      <c r="D33" s="317"/>
    </row>
    <row r="34" spans="1:4" x14ac:dyDescent="0.15">
      <c r="A34" s="3" t="s">
        <v>558</v>
      </c>
      <c r="B34" s="3">
        <v>6</v>
      </c>
      <c r="C34" s="3">
        <v>6</v>
      </c>
      <c r="D34" s="3" t="s">
        <v>131</v>
      </c>
    </row>
    <row r="35" spans="1:4" x14ac:dyDescent="0.15">
      <c r="A35" s="3" t="s">
        <v>566</v>
      </c>
      <c r="B35" s="3">
        <v>5</v>
      </c>
      <c r="C35" s="3">
        <v>5</v>
      </c>
      <c r="D35" s="3" t="s">
        <v>491</v>
      </c>
    </row>
    <row r="36" spans="1:4" x14ac:dyDescent="0.15">
      <c r="A36" s="3" t="s">
        <v>561</v>
      </c>
      <c r="B36" s="3">
        <f>B14*1.5</f>
        <v>7.5</v>
      </c>
      <c r="C36" s="3">
        <f>C14*0.5</f>
        <v>2.5</v>
      </c>
      <c r="D36" s="3" t="s">
        <v>491</v>
      </c>
    </row>
    <row r="37" spans="1:4" ht="16" x14ac:dyDescent="0.15">
      <c r="A37" s="3" t="s">
        <v>1601</v>
      </c>
      <c r="B37" s="80">
        <v>0.01</v>
      </c>
      <c r="C37" s="80">
        <v>0.01</v>
      </c>
    </row>
    <row r="38" spans="1:4" x14ac:dyDescent="0.15">
      <c r="B38" s="80"/>
    </row>
    <row r="39" spans="1:4" x14ac:dyDescent="0.15">
      <c r="A39" s="149" t="s">
        <v>236</v>
      </c>
      <c r="B39" s="80"/>
      <c r="C39" s="149"/>
    </row>
    <row r="40" spans="1:4" x14ac:dyDescent="0.15">
      <c r="A40" s="3" t="s">
        <v>562</v>
      </c>
      <c r="B40" s="3">
        <f>B34/12</f>
        <v>0.5</v>
      </c>
      <c r="C40" s="3">
        <f>C34/12</f>
        <v>0.5</v>
      </c>
    </row>
    <row r="41" spans="1:4" x14ac:dyDescent="0.15">
      <c r="A41" s="3" t="s">
        <v>565</v>
      </c>
      <c r="B41" s="67">
        <f>LN(B36/B35)</f>
        <v>0.40546510810816438</v>
      </c>
      <c r="C41" s="67">
        <f>LN(C36/C35)</f>
        <v>-0.69314718055994529</v>
      </c>
    </row>
    <row r="42" spans="1:4" x14ac:dyDescent="0.15">
      <c r="A42" s="3" t="s">
        <v>567</v>
      </c>
      <c r="B42" s="104">
        <f>(B37+B51*B51/2)*B40</f>
        <v>0.13944499993688891</v>
      </c>
      <c r="C42" s="104">
        <f>(C37+C51*C51/2)*C40</f>
        <v>0.13944499993688891</v>
      </c>
    </row>
    <row r="43" spans="1:4" x14ac:dyDescent="0.15">
      <c r="A43" s="3" t="s">
        <v>568</v>
      </c>
      <c r="B43" s="104">
        <f>B51*SQRT(B40)</f>
        <v>0.51854604412123118</v>
      </c>
      <c r="C43" s="104">
        <f>C51*SQRT(C40)</f>
        <v>0.51854604412123118</v>
      </c>
    </row>
    <row r="45" spans="1:4" x14ac:dyDescent="0.15">
      <c r="A45" s="3" t="s">
        <v>563</v>
      </c>
      <c r="B45" s="81">
        <f>(B41+B42)/B43</f>
        <v>1.0508422814573792</v>
      </c>
      <c r="C45" s="81">
        <f>(C41+C42)/C43</f>
        <v>-1.06779752135879</v>
      </c>
    </row>
    <row r="46" spans="1:4" x14ac:dyDescent="0.15">
      <c r="A46" s="3" t="s">
        <v>564</v>
      </c>
      <c r="B46" s="80">
        <f>B45-B43</f>
        <v>0.53229623733614806</v>
      </c>
      <c r="C46" s="80">
        <f>C45-C43</f>
        <v>-1.5863435654800213</v>
      </c>
    </row>
    <row r="47" spans="1:4" x14ac:dyDescent="0.15">
      <c r="A47" s="3" t="s">
        <v>560</v>
      </c>
      <c r="B47" s="68">
        <f>NORMDIST(B45,0,1,TRUE)</f>
        <v>0.85333448347019369</v>
      </c>
      <c r="C47" s="68">
        <f>NORMDIST(C45,0,1,TRUE)</f>
        <v>0.14280592819812687</v>
      </c>
    </row>
    <row r="48" spans="1:4" x14ac:dyDescent="0.15">
      <c r="A48" s="3" t="s">
        <v>559</v>
      </c>
      <c r="B48" s="68">
        <f>NORMDIST(B46,0,1,TRUE)</f>
        <v>0.7027395810802427</v>
      </c>
      <c r="C48" s="68">
        <f>NORMDIST(C46,0,1,TRUE)</f>
        <v>5.6330697379806616E-2</v>
      </c>
    </row>
    <row r="49" spans="1:4" x14ac:dyDescent="0.15">
      <c r="A49" s="3" t="s">
        <v>569</v>
      </c>
      <c r="B49" s="68">
        <f>EXP(-B40*B37)</f>
        <v>0.99501247919268232</v>
      </c>
      <c r="C49" s="68">
        <f>EXP(-C40*C37)</f>
        <v>0.99501247919268232</v>
      </c>
    </row>
    <row r="50" spans="1:4" x14ac:dyDescent="0.15">
      <c r="A50" s="7" t="s">
        <v>571</v>
      </c>
      <c r="B50" s="213">
        <f>B47*B36-B48*B35*B49</f>
        <v>2.903835362039056</v>
      </c>
      <c r="C50" s="213">
        <f>C47*C36-C48*C35*C49</f>
        <v>7.6766086222646635E-2</v>
      </c>
    </row>
    <row r="51" spans="1:4" x14ac:dyDescent="0.15">
      <c r="A51" s="3" t="s">
        <v>570</v>
      </c>
      <c r="B51" s="104">
        <f>B29</f>
        <v>0.73333484831116247</v>
      </c>
      <c r="C51" s="104">
        <f>B51</f>
        <v>0.73333484831116247</v>
      </c>
      <c r="D51" s="80"/>
    </row>
    <row r="53" spans="1:4" x14ac:dyDescent="0.15">
      <c r="A53" s="3" t="s">
        <v>1059</v>
      </c>
      <c r="B53" s="81">
        <f>+B50/$C$28-1</f>
        <v>1.8115016974596809</v>
      </c>
      <c r="C53" s="81">
        <f>+C50/$C$28-1</f>
        <v>-0.92567485590135035</v>
      </c>
    </row>
  </sheetData>
  <mergeCells count="1">
    <mergeCell ref="A3:D6"/>
  </mergeCells>
  <phoneticPr fontId="4" type="noConversion"/>
  <pageMargins left="0.78740157480314965" right="0.78740157480314965" top="0.98425196850393704" bottom="0.98425196850393704" header="0.51181102362204722" footer="0.51181102362204722"/>
  <pageSetup paperSize="9" fitToHeight="2"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38"/>
  <dimension ref="A1:D23"/>
  <sheetViews>
    <sheetView showGridLines="0" workbookViewId="0">
      <selection activeCell="E30" sqref="E30"/>
    </sheetView>
  </sheetViews>
  <sheetFormatPr baseColWidth="10" defaultColWidth="11" defaultRowHeight="14" x14ac:dyDescent="0.15"/>
  <cols>
    <col min="1" max="1" width="35.1640625" style="70" customWidth="1"/>
    <col min="2" max="4" width="20.1640625" style="3" customWidth="1"/>
    <col min="5" max="16384" width="11" style="3"/>
  </cols>
  <sheetData>
    <row r="1" spans="1:4" ht="15" x14ac:dyDescent="0.15">
      <c r="A1" s="1" t="s">
        <v>980</v>
      </c>
    </row>
    <row r="2" spans="1:4" s="97" customFormat="1" ht="26" x14ac:dyDescent="0.15">
      <c r="A2" s="360"/>
      <c r="B2" s="361" t="s">
        <v>878</v>
      </c>
      <c r="C2" s="361" t="s">
        <v>882</v>
      </c>
      <c r="D2" s="361" t="s">
        <v>883</v>
      </c>
    </row>
    <row r="3" spans="1:4" ht="15" x14ac:dyDescent="0.15">
      <c r="A3" s="70" t="s">
        <v>1189</v>
      </c>
      <c r="B3" s="64">
        <f>B4*B5</f>
        <v>4000000000</v>
      </c>
      <c r="C3" s="64">
        <f>B3</f>
        <v>4000000000</v>
      </c>
      <c r="D3" s="64">
        <f>C3</f>
        <v>4000000000</v>
      </c>
    </row>
    <row r="4" spans="1:4" s="210" customFormat="1" ht="13" x14ac:dyDescent="0.15">
      <c r="A4" s="208" t="s">
        <v>872</v>
      </c>
      <c r="B4" s="209">
        <v>2000000</v>
      </c>
      <c r="C4" s="209">
        <f t="shared" ref="C4:D9" si="0">B4</f>
        <v>2000000</v>
      </c>
      <c r="D4" s="209">
        <f>C4</f>
        <v>2000000</v>
      </c>
    </row>
    <row r="5" spans="1:4" s="210" customFormat="1" ht="13" x14ac:dyDescent="0.15">
      <c r="A5" s="208" t="s">
        <v>1016</v>
      </c>
      <c r="B5" s="209">
        <v>2000</v>
      </c>
      <c r="C5" s="209">
        <f t="shared" si="0"/>
        <v>2000</v>
      </c>
      <c r="D5" s="209">
        <f t="shared" si="0"/>
        <v>2000</v>
      </c>
    </row>
    <row r="6" spans="1:4" ht="15" x14ac:dyDescent="0.15">
      <c r="A6" s="70" t="s">
        <v>189</v>
      </c>
      <c r="B6" s="64">
        <f>B7*B8</f>
        <v>500000000</v>
      </c>
      <c r="C6" s="64">
        <f t="shared" si="0"/>
        <v>500000000</v>
      </c>
      <c r="D6" s="64">
        <f t="shared" si="0"/>
        <v>500000000</v>
      </c>
    </row>
    <row r="7" spans="1:4" s="210" customFormat="1" ht="13" x14ac:dyDescent="0.15">
      <c r="A7" s="208" t="s">
        <v>873</v>
      </c>
      <c r="B7" s="209">
        <v>500000</v>
      </c>
      <c r="C7" s="209">
        <f t="shared" si="0"/>
        <v>500000</v>
      </c>
      <c r="D7" s="209">
        <f t="shared" si="0"/>
        <v>500000</v>
      </c>
    </row>
    <row r="8" spans="1:4" s="210" customFormat="1" ht="13" x14ac:dyDescent="0.15">
      <c r="A8" s="208" t="s">
        <v>874</v>
      </c>
      <c r="B8" s="209">
        <v>1000</v>
      </c>
      <c r="C8" s="209">
        <f t="shared" si="0"/>
        <v>1000</v>
      </c>
      <c r="D8" s="209">
        <f t="shared" si="0"/>
        <v>1000</v>
      </c>
    </row>
    <row r="9" spans="1:4" s="210" customFormat="1" ht="13" x14ac:dyDescent="0.15">
      <c r="A9" s="208" t="s">
        <v>879</v>
      </c>
      <c r="B9" s="211">
        <v>0.05</v>
      </c>
      <c r="C9" s="211">
        <f t="shared" si="0"/>
        <v>0.05</v>
      </c>
      <c r="D9" s="211">
        <f t="shared" si="0"/>
        <v>0.05</v>
      </c>
    </row>
    <row r="10" spans="1:4" s="210" customFormat="1" ht="13" x14ac:dyDescent="0.15">
      <c r="A10" s="208" t="s">
        <v>880</v>
      </c>
      <c r="B10" s="209"/>
      <c r="C10" s="209">
        <v>2100</v>
      </c>
      <c r="D10" s="209">
        <f>C10</f>
        <v>2100</v>
      </c>
    </row>
    <row r="11" spans="1:4" s="210" customFormat="1" ht="13" x14ac:dyDescent="0.15">
      <c r="A11" s="208" t="s">
        <v>881</v>
      </c>
      <c r="B11" s="211"/>
      <c r="C11" s="211">
        <v>0.08</v>
      </c>
      <c r="D11" s="211">
        <f>C11</f>
        <v>0.08</v>
      </c>
    </row>
    <row r="13" spans="1:4" ht="15" x14ac:dyDescent="0.15">
      <c r="A13" s="70" t="s">
        <v>341</v>
      </c>
      <c r="B13" s="64">
        <v>300000000</v>
      </c>
      <c r="C13" s="64">
        <f>B13</f>
        <v>300000000</v>
      </c>
      <c r="D13" s="64">
        <f>C13</f>
        <v>300000000</v>
      </c>
    </row>
    <row r="14" spans="1:4" ht="15" x14ac:dyDescent="0.15">
      <c r="A14" s="70" t="s">
        <v>876</v>
      </c>
      <c r="B14" s="104">
        <v>0.33300000000000002</v>
      </c>
      <c r="C14" s="104">
        <f>B14</f>
        <v>0.33300000000000002</v>
      </c>
      <c r="D14" s="104">
        <f>C14</f>
        <v>0.33300000000000002</v>
      </c>
    </row>
    <row r="16" spans="1:4" ht="15" x14ac:dyDescent="0.15">
      <c r="A16" s="76" t="s">
        <v>877</v>
      </c>
      <c r="B16" s="212">
        <f>(B13+B9*B8*B7*(1-B14))</f>
        <v>316675000</v>
      </c>
      <c r="C16" s="212">
        <f>(C13+C10*C7*C11*(1-C14))/(C4+C7)</f>
        <v>142.41120000000001</v>
      </c>
      <c r="D16" s="212">
        <f>(D13)/(D4+D7*(1-D10/D5))</f>
        <v>151.8987341772152</v>
      </c>
    </row>
    <row r="18" spans="1:4" x14ac:dyDescent="0.15">
      <c r="A18" s="121" t="s">
        <v>885</v>
      </c>
    </row>
    <row r="19" spans="1:4" ht="15" x14ac:dyDescent="0.15">
      <c r="A19" s="70" t="s">
        <v>884</v>
      </c>
      <c r="B19" s="104"/>
      <c r="C19" s="104">
        <v>0.08</v>
      </c>
      <c r="D19" s="104">
        <f>C19</f>
        <v>0.08</v>
      </c>
    </row>
    <row r="21" spans="1:4" ht="15" x14ac:dyDescent="0.15">
      <c r="A21" s="70" t="s">
        <v>886</v>
      </c>
      <c r="B21" s="64"/>
      <c r="C21" s="64">
        <f>(C19-C9)*C8*C7*(1-C14)</f>
        <v>10005000</v>
      </c>
      <c r="D21" s="64">
        <f>(D19-D9)*D8*D7*(1-D14)</f>
        <v>10005000</v>
      </c>
    </row>
    <row r="22" spans="1:4" ht="15" x14ac:dyDescent="0.15">
      <c r="A22" s="70" t="s">
        <v>887</v>
      </c>
      <c r="B22" s="212"/>
      <c r="C22" s="212">
        <f>C21/(C4+C7)</f>
        <v>4.0019999999999998</v>
      </c>
      <c r="D22" s="212">
        <f>D21/(D4+D7*(1-D10/D5))</f>
        <v>5.0658227848101269</v>
      </c>
    </row>
    <row r="23" spans="1:4" ht="15" x14ac:dyDescent="0.15">
      <c r="A23" s="76" t="s">
        <v>532</v>
      </c>
      <c r="B23" s="212"/>
      <c r="C23" s="212">
        <f>C16+C22</f>
        <v>146.41320000000002</v>
      </c>
      <c r="D23" s="212">
        <f>D16+D22</f>
        <v>156.96455696202534</v>
      </c>
    </row>
  </sheetData>
  <phoneticPr fontId="4" type="noConversion"/>
  <pageMargins left="0.78740157480314965" right="0.78740157480314965" top="0.98425196850393704" bottom="0.98425196850393704" header="0.51181102362204722" footer="0.51181102362204722"/>
  <pageSetup paperSize="9" orientation="portrait"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6">
    <pageSetUpPr fitToPage="1"/>
  </sheetPr>
  <dimension ref="A1:F47"/>
  <sheetViews>
    <sheetView showGridLines="0" workbookViewId="0"/>
  </sheetViews>
  <sheetFormatPr baseColWidth="10" defaultColWidth="11" defaultRowHeight="14" x14ac:dyDescent="0.15"/>
  <cols>
    <col min="1" max="1" width="30" style="3" customWidth="1"/>
    <col min="2" max="2" width="18" style="3" customWidth="1"/>
    <col min="3" max="16384" width="11" style="3"/>
  </cols>
  <sheetData>
    <row r="1" spans="1:4" ht="15" x14ac:dyDescent="0.15">
      <c r="A1" s="1" t="s">
        <v>1449</v>
      </c>
    </row>
    <row r="2" spans="1:4" ht="15" x14ac:dyDescent="0.15">
      <c r="A2" s="8"/>
    </row>
    <row r="3" spans="1:4" x14ac:dyDescent="0.15">
      <c r="A3" s="3" t="s">
        <v>655</v>
      </c>
      <c r="B3" s="74"/>
    </row>
    <row r="4" spans="1:4" x14ac:dyDescent="0.15">
      <c r="A4" s="3" t="s">
        <v>238</v>
      </c>
      <c r="B4" s="166">
        <v>175000000</v>
      </c>
      <c r="C4" s="99"/>
    </row>
    <row r="5" spans="1:4" x14ac:dyDescent="0.15">
      <c r="A5" s="3" t="s">
        <v>239</v>
      </c>
      <c r="B5" s="74">
        <v>56</v>
      </c>
      <c r="C5" s="99"/>
    </row>
    <row r="6" spans="1:4" x14ac:dyDescent="0.15">
      <c r="A6" s="3" t="s">
        <v>237</v>
      </c>
      <c r="B6" s="166">
        <v>131250000</v>
      </c>
    </row>
    <row r="7" spans="1:4" x14ac:dyDescent="0.15">
      <c r="A7" s="3" t="s">
        <v>503</v>
      </c>
      <c r="B7" s="74">
        <v>38</v>
      </c>
    </row>
    <row r="8" spans="1:4" x14ac:dyDescent="0.15">
      <c r="B8" s="74"/>
    </row>
    <row r="9" spans="1:4" x14ac:dyDescent="0.15">
      <c r="A9" s="3" t="s">
        <v>65</v>
      </c>
      <c r="B9" s="74"/>
    </row>
    <row r="10" spans="1:4" x14ac:dyDescent="0.15">
      <c r="A10" s="3" t="s">
        <v>862</v>
      </c>
      <c r="B10" s="74">
        <f>B4/B6</f>
        <v>1.3333333333333333</v>
      </c>
      <c r="C10" s="3" t="s">
        <v>960</v>
      </c>
    </row>
    <row r="11" spans="1:4" x14ac:dyDescent="0.15">
      <c r="B11" s="74"/>
    </row>
    <row r="12" spans="1:4" x14ac:dyDescent="0.15">
      <c r="A12" s="197" t="s">
        <v>962</v>
      </c>
      <c r="B12" s="198" t="str">
        <f>+"3 x "&amp;B5</f>
        <v>3 x 56</v>
      </c>
      <c r="C12" s="199" t="s">
        <v>963</v>
      </c>
      <c r="D12" s="3">
        <f>3*56-3*B16</f>
        <v>144.85714285714286</v>
      </c>
    </row>
    <row r="13" spans="1:4" x14ac:dyDescent="0.15">
      <c r="A13" s="200" t="s">
        <v>243</v>
      </c>
      <c r="B13" s="519" t="s">
        <v>243</v>
      </c>
      <c r="C13" s="519"/>
      <c r="D13" s="139"/>
    </row>
    <row r="14" spans="1:4" x14ac:dyDescent="0.15">
      <c r="A14" s="186" t="s">
        <v>961</v>
      </c>
      <c r="B14" s="201" t="str">
        <f>"3 x "&amp;B7</f>
        <v>3 x 38</v>
      </c>
      <c r="C14" s="202" t="s">
        <v>964</v>
      </c>
      <c r="D14" s="3">
        <f>3*38+4*B16</f>
        <v>144.85714285714286</v>
      </c>
    </row>
    <row r="15" spans="1:4" x14ac:dyDescent="0.15">
      <c r="B15" s="74"/>
      <c r="C15" s="86"/>
    </row>
    <row r="16" spans="1:4" x14ac:dyDescent="0.15">
      <c r="A16" s="7" t="s">
        <v>240</v>
      </c>
      <c r="B16" s="109">
        <f>(B5-B7)/(1+B10)</f>
        <v>7.7142857142857153</v>
      </c>
    </row>
    <row r="17" spans="1:6" x14ac:dyDescent="0.15">
      <c r="B17" s="74"/>
    </row>
    <row r="18" spans="1:6" x14ac:dyDescent="0.15">
      <c r="A18" s="3" t="s">
        <v>66</v>
      </c>
      <c r="B18" s="74"/>
    </row>
    <row r="19" spans="1:6" x14ac:dyDescent="0.15">
      <c r="A19" s="3" t="s">
        <v>241</v>
      </c>
      <c r="B19" s="166">
        <f>B5*B4+B7*B6</f>
        <v>14787500000</v>
      </c>
      <c r="C19" s="82" t="s">
        <v>280</v>
      </c>
      <c r="D19" s="3" t="s">
        <v>278</v>
      </c>
      <c r="F19" s="74">
        <f>B5</f>
        <v>56</v>
      </c>
    </row>
    <row r="20" spans="1:6" x14ac:dyDescent="0.15">
      <c r="A20" s="3" t="s">
        <v>1328</v>
      </c>
      <c r="B20" s="166">
        <f>B4+B6</f>
        <v>306250000</v>
      </c>
      <c r="D20" s="3" t="s">
        <v>279</v>
      </c>
      <c r="F20" s="74">
        <f>B16</f>
        <v>7.7142857142857153</v>
      </c>
    </row>
    <row r="21" spans="1:6" x14ac:dyDescent="0.15">
      <c r="A21" s="7" t="s">
        <v>242</v>
      </c>
      <c r="B21" s="109">
        <f>B19/B20</f>
        <v>48.285714285714285</v>
      </c>
      <c r="F21" s="98">
        <f>F19-F20</f>
        <v>48.285714285714285</v>
      </c>
    </row>
    <row r="22" spans="1:6" x14ac:dyDescent="0.15">
      <c r="B22" s="74"/>
    </row>
    <row r="23" spans="1:6" x14ac:dyDescent="0.15">
      <c r="A23" s="3" t="s">
        <v>225</v>
      </c>
      <c r="B23" s="74"/>
    </row>
    <row r="24" spans="1:6" x14ac:dyDescent="0.15">
      <c r="A24" s="203" t="s">
        <v>244</v>
      </c>
    </row>
    <row r="26" spans="1:6" x14ac:dyDescent="0.15">
      <c r="A26" s="82" t="s">
        <v>872</v>
      </c>
      <c r="B26" s="82" t="s">
        <v>892</v>
      </c>
      <c r="C26" s="82" t="s">
        <v>466</v>
      </c>
    </row>
    <row r="27" spans="1:6" x14ac:dyDescent="0.15">
      <c r="A27" s="82">
        <v>169</v>
      </c>
      <c r="B27" s="204">
        <f>B5</f>
        <v>56</v>
      </c>
      <c r="C27" s="205">
        <f>A27*B27</f>
        <v>9464</v>
      </c>
    </row>
    <row r="29" spans="1:6" x14ac:dyDescent="0.15">
      <c r="A29" s="172" t="s">
        <v>248</v>
      </c>
    </row>
    <row r="30" spans="1:6" x14ac:dyDescent="0.15">
      <c r="A30" s="172"/>
    </row>
    <row r="31" spans="1:6" x14ac:dyDescent="0.15">
      <c r="A31" s="206" t="s">
        <v>247</v>
      </c>
    </row>
    <row r="32" spans="1:6" x14ac:dyDescent="0.15">
      <c r="A32" s="82" t="s">
        <v>240</v>
      </c>
      <c r="B32" s="82" t="s">
        <v>892</v>
      </c>
      <c r="C32" s="82"/>
    </row>
    <row r="33" spans="1:3" x14ac:dyDescent="0.15">
      <c r="A33" s="82">
        <v>133</v>
      </c>
      <c r="B33" s="204">
        <f>B16</f>
        <v>7.7142857142857153</v>
      </c>
      <c r="C33" s="90">
        <f>A33*B33</f>
        <v>1026.0000000000002</v>
      </c>
    </row>
    <row r="35" spans="1:3" x14ac:dyDescent="0.15">
      <c r="A35" s="206" t="s">
        <v>1222</v>
      </c>
    </row>
    <row r="36" spans="1:3" x14ac:dyDescent="0.15">
      <c r="A36" s="82" t="s">
        <v>478</v>
      </c>
      <c r="B36" s="82" t="s">
        <v>892</v>
      </c>
      <c r="C36" s="82"/>
    </row>
    <row r="37" spans="1:3" x14ac:dyDescent="0.15">
      <c r="A37" s="90">
        <f>(A27-A33)/B10</f>
        <v>27</v>
      </c>
      <c r="B37" s="204">
        <f>B7</f>
        <v>38</v>
      </c>
      <c r="C37" s="90">
        <f>-A37*B37</f>
        <v>-1026</v>
      </c>
    </row>
    <row r="39" spans="1:3" x14ac:dyDescent="0.15">
      <c r="A39" s="172" t="s">
        <v>245</v>
      </c>
    </row>
    <row r="41" spans="1:3" x14ac:dyDescent="0.15">
      <c r="A41" s="207" t="s">
        <v>251</v>
      </c>
    </row>
    <row r="42" spans="1:3" x14ac:dyDescent="0.15">
      <c r="A42" s="82" t="s">
        <v>249</v>
      </c>
      <c r="B42" s="82" t="s">
        <v>892</v>
      </c>
      <c r="C42" s="82" t="s">
        <v>466</v>
      </c>
    </row>
    <row r="43" spans="1:3" x14ac:dyDescent="0.15">
      <c r="A43" s="90">
        <f>A27+A37</f>
        <v>196</v>
      </c>
      <c r="B43" s="204">
        <f>B21</f>
        <v>48.285714285714285</v>
      </c>
      <c r="C43" s="90">
        <f>A43*B43</f>
        <v>9464</v>
      </c>
    </row>
    <row r="44" spans="1:3" x14ac:dyDescent="0.15">
      <c r="A44" s="82"/>
      <c r="B44" s="204"/>
      <c r="C44" s="82"/>
    </row>
    <row r="45" spans="1:3" x14ac:dyDescent="0.15">
      <c r="A45" s="207" t="s">
        <v>250</v>
      </c>
      <c r="B45" s="82"/>
      <c r="C45" s="90">
        <f>C33+C37</f>
        <v>0</v>
      </c>
    </row>
    <row r="46" spans="1:3" x14ac:dyDescent="0.15">
      <c r="C46" s="101"/>
    </row>
    <row r="47" spans="1:3" x14ac:dyDescent="0.15">
      <c r="A47" s="7" t="s">
        <v>936</v>
      </c>
      <c r="B47" s="7"/>
      <c r="C47" s="205">
        <f>C43+C45</f>
        <v>9464</v>
      </c>
    </row>
  </sheetData>
  <mergeCells count="1">
    <mergeCell ref="B13:C13"/>
  </mergeCells>
  <phoneticPr fontId="4" type="noConversion"/>
  <pageMargins left="0.78740157480314965" right="0.78740157480314965" top="0.98425196850393704" bottom="0.98425196850393704" header="0.51181102362204722" footer="0.51181102362204722"/>
  <pageSetup paperSize="9" fitToHeight="3"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euil27">
    <pageSetUpPr fitToPage="1"/>
  </sheetPr>
  <dimension ref="A1:E63"/>
  <sheetViews>
    <sheetView showGridLines="0" workbookViewId="0"/>
  </sheetViews>
  <sheetFormatPr baseColWidth="10" defaultColWidth="11" defaultRowHeight="14" x14ac:dyDescent="0.15"/>
  <cols>
    <col min="1" max="1" width="20.83203125" style="3" bestFit="1" customWidth="1"/>
    <col min="2" max="2" width="11" style="3"/>
    <col min="3" max="3" width="12.83203125" style="3" customWidth="1"/>
    <col min="4" max="4" width="9.1640625" style="3" bestFit="1" customWidth="1"/>
    <col min="5" max="16384" width="11" style="3"/>
  </cols>
  <sheetData>
    <row r="1" spans="1:4" ht="15" x14ac:dyDescent="0.15">
      <c r="A1" s="1" t="s">
        <v>578</v>
      </c>
    </row>
    <row r="2" spans="1:4" x14ac:dyDescent="0.15">
      <c r="A2" s="3" t="s">
        <v>579</v>
      </c>
      <c r="B2" s="74">
        <v>100</v>
      </c>
    </row>
    <row r="3" spans="1:4" x14ac:dyDescent="0.15">
      <c r="A3" s="3" t="s">
        <v>580</v>
      </c>
      <c r="B3" s="74">
        <v>25</v>
      </c>
    </row>
    <row r="4" spans="1:4" x14ac:dyDescent="0.15">
      <c r="A4" s="3" t="s">
        <v>396</v>
      </c>
      <c r="B4" s="74">
        <f>B3/B6-B2</f>
        <v>8.2563417436176678E-8</v>
      </c>
    </row>
    <row r="6" spans="1:4" x14ac:dyDescent="0.15">
      <c r="A6" s="3" t="s">
        <v>252</v>
      </c>
      <c r="B6" s="104">
        <v>0.24999999979359144</v>
      </c>
    </row>
    <row r="7" spans="1:4" x14ac:dyDescent="0.15">
      <c r="A7" s="7"/>
      <c r="B7" s="111"/>
    </row>
    <row r="8" spans="1:4" x14ac:dyDescent="0.15">
      <c r="A8" s="3" t="s">
        <v>253</v>
      </c>
    </row>
    <row r="10" spans="1:4" x14ac:dyDescent="0.15">
      <c r="A10" s="3" t="s">
        <v>580</v>
      </c>
      <c r="B10" s="74">
        <v>10</v>
      </c>
      <c r="C10" s="74">
        <v>50</v>
      </c>
      <c r="D10" s="74"/>
    </row>
    <row r="12" spans="1:4" x14ac:dyDescent="0.15">
      <c r="A12" s="3" t="s">
        <v>581</v>
      </c>
      <c r="B12" s="74">
        <f>B10/$B$6</f>
        <v>40.000000033025373</v>
      </c>
      <c r="C12" s="74">
        <f>C10/$B$6</f>
        <v>200.00000016512683</v>
      </c>
      <c r="D12" s="109"/>
    </row>
    <row r="13" spans="1:4" x14ac:dyDescent="0.15">
      <c r="B13" s="74"/>
      <c r="C13" s="74"/>
      <c r="D13" s="109"/>
    </row>
    <row r="14" spans="1:4" x14ac:dyDescent="0.15">
      <c r="A14" s="3" t="s">
        <v>226</v>
      </c>
      <c r="B14" s="74"/>
      <c r="C14" s="74"/>
      <c r="D14" s="109"/>
    </row>
    <row r="15" spans="1:4" x14ac:dyDescent="0.15">
      <c r="B15" s="74"/>
      <c r="C15" s="74"/>
      <c r="D15" s="109"/>
    </row>
    <row r="16" spans="1:4" x14ac:dyDescent="0.15">
      <c r="A16" s="3" t="s">
        <v>254</v>
      </c>
      <c r="B16" s="74"/>
      <c r="C16" s="74"/>
      <c r="D16" s="109"/>
    </row>
    <row r="17" spans="1:5" x14ac:dyDescent="0.15">
      <c r="B17" s="74"/>
      <c r="C17" s="74"/>
      <c r="D17" s="109"/>
    </row>
    <row r="18" spans="1:5" x14ac:dyDescent="0.15">
      <c r="A18" s="3" t="s">
        <v>255</v>
      </c>
      <c r="B18" s="74"/>
      <c r="C18" s="74"/>
      <c r="D18" s="109"/>
    </row>
    <row r="19" spans="1:5" x14ac:dyDescent="0.15">
      <c r="B19" s="74"/>
      <c r="C19" s="74"/>
      <c r="D19" s="109"/>
    </row>
    <row r="20" spans="1:5" x14ac:dyDescent="0.15">
      <c r="A20" s="3" t="s">
        <v>232</v>
      </c>
      <c r="C20" s="3" t="s">
        <v>257</v>
      </c>
      <c r="D20" s="82" t="s">
        <v>258</v>
      </c>
      <c r="E20" s="3" t="s">
        <v>256</v>
      </c>
    </row>
    <row r="21" spans="1:5" x14ac:dyDescent="0.15">
      <c r="D21" s="82"/>
    </row>
    <row r="22" spans="1:5" x14ac:dyDescent="0.15">
      <c r="A22" s="3" t="s">
        <v>259</v>
      </c>
      <c r="C22" s="3" t="s">
        <v>257</v>
      </c>
      <c r="D22" s="82" t="s">
        <v>260</v>
      </c>
      <c r="E22" s="3" t="s">
        <v>256</v>
      </c>
    </row>
    <row r="23" spans="1:5" x14ac:dyDescent="0.15">
      <c r="A23" s="7"/>
      <c r="D23" s="82"/>
    </row>
    <row r="24" spans="1:5" x14ac:dyDescent="0.15">
      <c r="A24" s="7"/>
      <c r="D24" s="82"/>
    </row>
    <row r="25" spans="1:5" ht="15" x14ac:dyDescent="0.15">
      <c r="A25" s="8" t="s">
        <v>1275</v>
      </c>
    </row>
    <row r="26" spans="1:5" ht="15" x14ac:dyDescent="0.15">
      <c r="A26" s="8"/>
    </row>
    <row r="27" spans="1:5" x14ac:dyDescent="0.15">
      <c r="A27" s="342" t="s">
        <v>583</v>
      </c>
      <c r="B27" s="343" t="s">
        <v>72</v>
      </c>
      <c r="C27" s="343" t="s">
        <v>73</v>
      </c>
    </row>
    <row r="28" spans="1:5" ht="15" x14ac:dyDescent="0.15">
      <c r="A28" s="6" t="s">
        <v>1198</v>
      </c>
      <c r="B28" s="166">
        <v>1000</v>
      </c>
      <c r="C28" s="166">
        <v>1000</v>
      </c>
    </row>
    <row r="29" spans="1:5" ht="30" x14ac:dyDescent="0.15">
      <c r="A29" s="6" t="s">
        <v>584</v>
      </c>
      <c r="B29" s="520">
        <v>0.15</v>
      </c>
      <c r="C29" s="520"/>
    </row>
    <row r="30" spans="1:5" ht="30" x14ac:dyDescent="0.15">
      <c r="A30" s="6" t="s">
        <v>585</v>
      </c>
      <c r="B30" s="166">
        <v>50</v>
      </c>
      <c r="C30" s="166">
        <v>300</v>
      </c>
    </row>
    <row r="31" spans="1:5" x14ac:dyDescent="0.15">
      <c r="A31" s="3" t="s">
        <v>586</v>
      </c>
      <c r="B31" s="166">
        <v>50</v>
      </c>
      <c r="C31" s="166"/>
    </row>
    <row r="32" spans="1:5" x14ac:dyDescent="0.15">
      <c r="A32" s="3" t="s">
        <v>65</v>
      </c>
    </row>
    <row r="33" spans="1:4" ht="15" x14ac:dyDescent="0.15">
      <c r="A33" s="4" t="s">
        <v>589</v>
      </c>
      <c r="B33" s="184">
        <f>B30/$B$29</f>
        <v>333.33333333333337</v>
      </c>
      <c r="C33" s="147">
        <f>C30/$B$29</f>
        <v>2000</v>
      </c>
    </row>
    <row r="34" spans="1:4" x14ac:dyDescent="0.15">
      <c r="A34" s="4"/>
      <c r="B34" s="147"/>
      <c r="C34" s="147"/>
    </row>
    <row r="35" spans="1:4" x14ac:dyDescent="0.15">
      <c r="A35" s="3" t="s">
        <v>66</v>
      </c>
    </row>
    <row r="36" spans="1:4" x14ac:dyDescent="0.15">
      <c r="A36" s="3" t="s">
        <v>587</v>
      </c>
      <c r="B36" s="166">
        <v>0</v>
      </c>
      <c r="C36" s="166">
        <f>$B$30+$C$30-B$31-B36</f>
        <v>300</v>
      </c>
    </row>
    <row r="37" spans="1:4" x14ac:dyDescent="0.15">
      <c r="A37" s="3" t="s">
        <v>446</v>
      </c>
      <c r="B37" s="81">
        <f>B$30/B$28</f>
        <v>0.05</v>
      </c>
      <c r="C37" s="81">
        <f>C$30/C$28</f>
        <v>0.3</v>
      </c>
    </row>
    <row r="38" spans="1:4" x14ac:dyDescent="0.15">
      <c r="A38" s="3" t="s">
        <v>591</v>
      </c>
      <c r="B38" s="166">
        <f>B$28*B37</f>
        <v>50</v>
      </c>
      <c r="C38" s="166">
        <f>C$28*C37</f>
        <v>300</v>
      </c>
    </row>
    <row r="39" spans="1:4" ht="30" x14ac:dyDescent="0.15">
      <c r="A39" s="6" t="s">
        <v>590</v>
      </c>
      <c r="B39" s="166">
        <f>B36*B37</f>
        <v>0</v>
      </c>
      <c r="C39" s="166">
        <f>C36*C37</f>
        <v>90</v>
      </c>
    </row>
    <row r="40" spans="1:4" ht="15" x14ac:dyDescent="0.15">
      <c r="A40" s="6" t="s">
        <v>936</v>
      </c>
      <c r="B40" s="166">
        <f>B38+B39</f>
        <v>50</v>
      </c>
      <c r="C40" s="166">
        <f>C38+C39</f>
        <v>390</v>
      </c>
    </row>
    <row r="41" spans="1:4" ht="15" x14ac:dyDescent="0.15">
      <c r="A41" s="6" t="s">
        <v>592</v>
      </c>
      <c r="B41" s="166">
        <f>B40/B$29</f>
        <v>333.33333333333337</v>
      </c>
      <c r="C41" s="166">
        <f>C40/B$29</f>
        <v>2600</v>
      </c>
    </row>
    <row r="42" spans="1:4" ht="15" x14ac:dyDescent="0.15">
      <c r="A42" s="6" t="s">
        <v>1128</v>
      </c>
      <c r="B42" s="166">
        <f>B$33+B36</f>
        <v>333.33333333333337</v>
      </c>
      <c r="C42" s="166">
        <f>C$33+C36</f>
        <v>2300</v>
      </c>
    </row>
    <row r="43" spans="1:4" x14ac:dyDescent="0.15">
      <c r="A43" s="7" t="s">
        <v>588</v>
      </c>
      <c r="B43" s="166">
        <f>B41-B42</f>
        <v>0</v>
      </c>
      <c r="C43" s="166">
        <f>C41-C42</f>
        <v>300</v>
      </c>
      <c r="D43" s="184">
        <f>SUM(B43:C43)</f>
        <v>300</v>
      </c>
    </row>
    <row r="44" spans="1:4" x14ac:dyDescent="0.15">
      <c r="A44" s="7"/>
      <c r="B44" s="166"/>
      <c r="C44" s="166"/>
      <c r="D44" s="196"/>
    </row>
    <row r="45" spans="1:4" ht="15" x14ac:dyDescent="0.15">
      <c r="A45" s="6" t="s">
        <v>225</v>
      </c>
    </row>
    <row r="46" spans="1:4" x14ac:dyDescent="0.15">
      <c r="A46" s="3" t="s">
        <v>587</v>
      </c>
      <c r="B46" s="166">
        <v>300</v>
      </c>
      <c r="C46" s="166">
        <f>$B$30+$C$30-B$31-B46</f>
        <v>0</v>
      </c>
    </row>
    <row r="47" spans="1:4" x14ac:dyDescent="0.15">
      <c r="A47" s="3" t="s">
        <v>446</v>
      </c>
      <c r="B47" s="81">
        <f>B$30/B$28</f>
        <v>0.05</v>
      </c>
      <c r="C47" s="81">
        <f>C$30/C$28</f>
        <v>0.3</v>
      </c>
    </row>
    <row r="48" spans="1:4" x14ac:dyDescent="0.15">
      <c r="A48" s="3" t="s">
        <v>591</v>
      </c>
      <c r="B48" s="166">
        <f>B$28*B47</f>
        <v>50</v>
      </c>
      <c r="C48" s="166">
        <f>C$28*C47</f>
        <v>300</v>
      </c>
    </row>
    <row r="49" spans="1:4" ht="30" x14ac:dyDescent="0.15">
      <c r="A49" s="6" t="s">
        <v>590</v>
      </c>
      <c r="B49" s="166">
        <f>B46*B47</f>
        <v>15</v>
      </c>
      <c r="C49" s="166">
        <f>C46*C47</f>
        <v>0</v>
      </c>
    </row>
    <row r="50" spans="1:4" ht="15" x14ac:dyDescent="0.15">
      <c r="A50" s="6" t="s">
        <v>936</v>
      </c>
      <c r="B50" s="166">
        <f>B48+B49</f>
        <v>65</v>
      </c>
      <c r="C50" s="166">
        <f>C48+C49</f>
        <v>300</v>
      </c>
    </row>
    <row r="51" spans="1:4" ht="15" x14ac:dyDescent="0.15">
      <c r="A51" s="6" t="s">
        <v>592</v>
      </c>
      <c r="B51" s="166">
        <f>B50/B$29</f>
        <v>433.33333333333337</v>
      </c>
      <c r="C51" s="166">
        <f>C50/B$29</f>
        <v>2000</v>
      </c>
    </row>
    <row r="52" spans="1:4" ht="15" x14ac:dyDescent="0.15">
      <c r="A52" s="6" t="s">
        <v>593</v>
      </c>
      <c r="B52" s="166">
        <f>B$33+B46</f>
        <v>633.33333333333337</v>
      </c>
      <c r="C52" s="166">
        <f>C$33+C46</f>
        <v>2000</v>
      </c>
    </row>
    <row r="53" spans="1:4" x14ac:dyDescent="0.15">
      <c r="A53" s="7" t="s">
        <v>588</v>
      </c>
      <c r="B53" s="166">
        <f>B51-B52</f>
        <v>-200</v>
      </c>
      <c r="C53" s="166">
        <f>C51-C52</f>
        <v>0</v>
      </c>
      <c r="D53" s="184">
        <f>SUM(B53:C53)</f>
        <v>-200</v>
      </c>
    </row>
    <row r="54" spans="1:4" x14ac:dyDescent="0.15">
      <c r="A54" s="7"/>
      <c r="B54" s="166"/>
      <c r="C54" s="166"/>
      <c r="D54" s="184"/>
    </row>
    <row r="55" spans="1:4" ht="15" x14ac:dyDescent="0.15">
      <c r="A55" s="6" t="s">
        <v>226</v>
      </c>
    </row>
    <row r="56" spans="1:4" x14ac:dyDescent="0.15">
      <c r="A56" s="3" t="s">
        <v>587</v>
      </c>
      <c r="B56" s="166">
        <v>150</v>
      </c>
      <c r="C56" s="166">
        <f>$B$30+$C$30-B$31-B56</f>
        <v>150</v>
      </c>
    </row>
    <row r="57" spans="1:4" x14ac:dyDescent="0.15">
      <c r="A57" s="3" t="s">
        <v>446</v>
      </c>
      <c r="B57" s="81">
        <f>B$30/B$28</f>
        <v>0.05</v>
      </c>
      <c r="C57" s="81">
        <f>C$30/C$28</f>
        <v>0.3</v>
      </c>
    </row>
    <row r="58" spans="1:4" x14ac:dyDescent="0.15">
      <c r="A58" s="3" t="s">
        <v>591</v>
      </c>
      <c r="B58" s="166">
        <f>B$28*B57</f>
        <v>50</v>
      </c>
      <c r="C58" s="166">
        <f>C$28*C57</f>
        <v>300</v>
      </c>
    </row>
    <row r="59" spans="1:4" ht="30" x14ac:dyDescent="0.15">
      <c r="A59" s="6" t="s">
        <v>590</v>
      </c>
      <c r="B59" s="166">
        <f>B56*B57</f>
        <v>7.5</v>
      </c>
      <c r="C59" s="166">
        <f>C56*C57</f>
        <v>45</v>
      </c>
    </row>
    <row r="60" spans="1:4" ht="15" x14ac:dyDescent="0.15">
      <c r="A60" s="6" t="s">
        <v>936</v>
      </c>
      <c r="B60" s="166">
        <f>B58+B59</f>
        <v>57.5</v>
      </c>
      <c r="C60" s="166">
        <f>C58+C59</f>
        <v>345</v>
      </c>
    </row>
    <row r="61" spans="1:4" ht="15" x14ac:dyDescent="0.15">
      <c r="A61" s="6" t="s">
        <v>592</v>
      </c>
      <c r="B61" s="166">
        <f>B60/B$29</f>
        <v>383.33333333333337</v>
      </c>
      <c r="C61" s="166">
        <f>C60/B$29</f>
        <v>2300</v>
      </c>
    </row>
    <row r="62" spans="1:4" ht="15" x14ac:dyDescent="0.15">
      <c r="A62" s="6" t="s">
        <v>593</v>
      </c>
      <c r="B62" s="166">
        <f>B$33+B56</f>
        <v>483.33333333333337</v>
      </c>
      <c r="C62" s="166">
        <f>C$33+C56</f>
        <v>2150</v>
      </c>
    </row>
    <row r="63" spans="1:4" x14ac:dyDescent="0.15">
      <c r="A63" s="7" t="s">
        <v>588</v>
      </c>
      <c r="B63" s="166">
        <f>B61-B62</f>
        <v>-100</v>
      </c>
      <c r="C63" s="166">
        <f>C61-C62</f>
        <v>150</v>
      </c>
      <c r="D63" s="184">
        <f>SUM(B63:C63)</f>
        <v>50</v>
      </c>
    </row>
  </sheetData>
  <mergeCells count="1">
    <mergeCell ref="B29:C29"/>
  </mergeCells>
  <phoneticPr fontId="4" type="noConversion"/>
  <pageMargins left="0.78740157480314965" right="0.78740157480314965" top="0.98425196850393704" bottom="0.98425196850393704" header="0.51181102362204722" footer="0.51181102362204722"/>
  <pageSetup paperSize="9" fitToHeight="3"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euil28">
    <pageSetUpPr fitToPage="1"/>
  </sheetPr>
  <dimension ref="A1:C32"/>
  <sheetViews>
    <sheetView showGridLines="0" workbookViewId="0"/>
  </sheetViews>
  <sheetFormatPr baseColWidth="10" defaultColWidth="11" defaultRowHeight="14" x14ac:dyDescent="0.15"/>
  <cols>
    <col min="1" max="1" width="38" style="3" customWidth="1"/>
    <col min="2" max="2" width="11" style="3"/>
    <col min="3" max="3" width="11.1640625" style="3" customWidth="1"/>
    <col min="4" max="16384" width="11" style="3"/>
  </cols>
  <sheetData>
    <row r="1" spans="1:3" ht="15" x14ac:dyDescent="0.15">
      <c r="A1" s="1" t="s">
        <v>1225</v>
      </c>
      <c r="B1" s="195"/>
    </row>
    <row r="2" spans="1:3" ht="15" x14ac:dyDescent="0.15">
      <c r="A2" s="8"/>
    </row>
    <row r="3" spans="1:3" x14ac:dyDescent="0.15">
      <c r="A3" s="317"/>
      <c r="B3" s="343" t="s">
        <v>74</v>
      </c>
      <c r="C3" s="343" t="s">
        <v>75</v>
      </c>
    </row>
    <row r="4" spans="1:3" x14ac:dyDescent="0.15">
      <c r="A4" s="3" t="s">
        <v>534</v>
      </c>
      <c r="B4" s="3">
        <f>B6/B5</f>
        <v>10</v>
      </c>
      <c r="C4" s="3">
        <v>18</v>
      </c>
    </row>
    <row r="5" spans="1:3" x14ac:dyDescent="0.15">
      <c r="A5" s="3" t="s">
        <v>261</v>
      </c>
      <c r="B5" s="3">
        <v>140</v>
      </c>
      <c r="C5" s="3">
        <f>+C6/C4</f>
        <v>55</v>
      </c>
    </row>
    <row r="6" spans="1:3" x14ac:dyDescent="0.15">
      <c r="A6" s="3" t="s">
        <v>262</v>
      </c>
      <c r="B6" s="3">
        <v>1400</v>
      </c>
      <c r="C6" s="3">
        <v>990</v>
      </c>
    </row>
    <row r="7" spans="1:3" x14ac:dyDescent="0.15">
      <c r="A7" s="3" t="s">
        <v>270</v>
      </c>
      <c r="B7" s="3">
        <f>B6</f>
        <v>1400</v>
      </c>
      <c r="C7" s="3">
        <f>C6</f>
        <v>990</v>
      </c>
    </row>
    <row r="9" spans="1:3" x14ac:dyDescent="0.15">
      <c r="A9" s="3" t="s">
        <v>267</v>
      </c>
      <c r="B9" s="3">
        <f>B5</f>
        <v>140</v>
      </c>
    </row>
    <row r="10" spans="1:3" x14ac:dyDescent="0.15">
      <c r="A10" s="3" t="s">
        <v>266</v>
      </c>
      <c r="B10" s="3">
        <f>C5</f>
        <v>55</v>
      </c>
    </row>
    <row r="11" spans="1:3" x14ac:dyDescent="0.15">
      <c r="A11" s="3" t="s">
        <v>265</v>
      </c>
      <c r="B11" s="3">
        <f>B10*50%</f>
        <v>27.5</v>
      </c>
    </row>
    <row r="12" spans="1:3" x14ac:dyDescent="0.15">
      <c r="A12" s="3" t="s">
        <v>263</v>
      </c>
      <c r="B12" s="3">
        <f>SUM(B9:B11)</f>
        <v>222.5</v>
      </c>
    </row>
    <row r="14" spans="1:3" x14ac:dyDescent="0.15">
      <c r="A14" s="3" t="s">
        <v>269</v>
      </c>
      <c r="B14" s="80">
        <f>B12/B9-1</f>
        <v>0.58928571428571419</v>
      </c>
    </row>
    <row r="15" spans="1:3" x14ac:dyDescent="0.15">
      <c r="A15" s="3" t="s">
        <v>268</v>
      </c>
      <c r="B15" s="80">
        <f>C6/B6</f>
        <v>0.70714285714285718</v>
      </c>
    </row>
    <row r="16" spans="1:3" x14ac:dyDescent="0.15">
      <c r="A16" s="3" t="s">
        <v>264</v>
      </c>
      <c r="B16" s="80">
        <f>(1+B14)/(1+B15)-1</f>
        <v>-6.9037656903765843E-2</v>
      </c>
    </row>
    <row r="19" spans="1:3" ht="15" x14ac:dyDescent="0.15">
      <c r="A19" s="8" t="s">
        <v>1503</v>
      </c>
    </row>
    <row r="20" spans="1:3" x14ac:dyDescent="0.15">
      <c r="A20" s="7"/>
    </row>
    <row r="21" spans="1:3" x14ac:dyDescent="0.15">
      <c r="A21" s="103" t="s">
        <v>1504</v>
      </c>
    </row>
    <row r="22" spans="1:3" x14ac:dyDescent="0.15">
      <c r="A22" s="362"/>
      <c r="B22" s="317">
        <v>2025</v>
      </c>
    </row>
    <row r="23" spans="1:3" x14ac:dyDescent="0.15">
      <c r="A23" s="3" t="s">
        <v>271</v>
      </c>
      <c r="B23" s="55">
        <v>0.1</v>
      </c>
    </row>
    <row r="24" spans="1:3" x14ac:dyDescent="0.15">
      <c r="A24" s="3" t="s">
        <v>965</v>
      </c>
      <c r="B24" s="29">
        <v>46.6</v>
      </c>
    </row>
    <row r="26" spans="1:3" x14ac:dyDescent="0.15">
      <c r="A26" s="3" t="s">
        <v>1007</v>
      </c>
      <c r="B26" s="29">
        <f>1.7+0.8</f>
        <v>2.5</v>
      </c>
    </row>
    <row r="27" spans="1:3" x14ac:dyDescent="0.15">
      <c r="A27" s="3" t="s">
        <v>272</v>
      </c>
      <c r="B27" s="80">
        <v>0.27200000000000002</v>
      </c>
    </row>
    <row r="28" spans="1:3" x14ac:dyDescent="0.15">
      <c r="A28" s="3" t="s">
        <v>1198</v>
      </c>
      <c r="B28" s="29">
        <v>64</v>
      </c>
    </row>
    <row r="29" spans="1:3" x14ac:dyDescent="0.15">
      <c r="A29" s="3" t="s">
        <v>900</v>
      </c>
      <c r="B29" s="29">
        <v>54.5</v>
      </c>
      <c r="C29" s="181" t="s">
        <v>350</v>
      </c>
    </row>
    <row r="31" spans="1:3" x14ac:dyDescent="0.15">
      <c r="A31" s="3" t="s">
        <v>274</v>
      </c>
      <c r="B31" s="29">
        <f>B26*(1-B27)-B28*B23</f>
        <v>-4.58</v>
      </c>
    </row>
    <row r="32" spans="1:3" x14ac:dyDescent="0.15">
      <c r="A32" s="3" t="s">
        <v>273</v>
      </c>
      <c r="B32" s="29">
        <f>B24-B29</f>
        <v>-7.8999999999999986</v>
      </c>
    </row>
  </sheetData>
  <phoneticPr fontId="4" type="noConversion"/>
  <pageMargins left="0.78740157480314965" right="0.78740157480314965" top="0.98425196850393704" bottom="0.98425196850393704" header="0.51181102362204722" footer="0.51181102362204722"/>
  <pageSetup paperSize="9" fitToHeight="4"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euil32">
    <pageSetUpPr fitToPage="1"/>
  </sheetPr>
  <dimension ref="A1:IV351"/>
  <sheetViews>
    <sheetView showGridLines="0" workbookViewId="0"/>
  </sheetViews>
  <sheetFormatPr baseColWidth="10" defaultColWidth="11" defaultRowHeight="14" x14ac:dyDescent="0.15"/>
  <cols>
    <col min="1" max="1" width="30" style="3" customWidth="1"/>
    <col min="2" max="2" width="12.83203125" style="3" customWidth="1"/>
    <col min="3" max="12" width="11.83203125" style="3" bestFit="1" customWidth="1"/>
    <col min="13" max="16384" width="11" style="3"/>
  </cols>
  <sheetData>
    <row r="1" spans="1:256" ht="15" x14ac:dyDescent="0.15">
      <c r="A1" s="1" t="s">
        <v>1225</v>
      </c>
    </row>
    <row r="2" spans="1:256" ht="15" x14ac:dyDescent="0.15">
      <c r="A2" s="6" t="s">
        <v>675</v>
      </c>
      <c r="B2" s="68">
        <v>20</v>
      </c>
      <c r="C2" s="3" t="s">
        <v>676</v>
      </c>
    </row>
    <row r="3" spans="1:256" ht="15" x14ac:dyDescent="0.15">
      <c r="A3" s="6" t="s">
        <v>682</v>
      </c>
      <c r="B3" s="3">
        <v>5</v>
      </c>
      <c r="C3" s="3" t="s">
        <v>506</v>
      </c>
    </row>
    <row r="4" spans="1:256" ht="15" x14ac:dyDescent="0.15">
      <c r="A4" s="6" t="s">
        <v>677</v>
      </c>
      <c r="B4" s="68">
        <v>1.5</v>
      </c>
      <c r="C4" s="3" t="s">
        <v>676</v>
      </c>
    </row>
    <row r="5" spans="1:256" ht="15" x14ac:dyDescent="0.15">
      <c r="A5" s="6" t="s">
        <v>678</v>
      </c>
      <c r="B5" s="3">
        <v>8</v>
      </c>
      <c r="C5" s="3" t="s">
        <v>506</v>
      </c>
    </row>
    <row r="6" spans="1:256" ht="15" x14ac:dyDescent="0.15">
      <c r="A6" s="6" t="s">
        <v>679</v>
      </c>
      <c r="B6" s="68">
        <v>0</v>
      </c>
    </row>
    <row r="7" spans="1:256" ht="15" x14ac:dyDescent="0.15">
      <c r="A7" s="6" t="s">
        <v>680</v>
      </c>
      <c r="B7" s="68">
        <v>2.5</v>
      </c>
      <c r="C7" s="3" t="s">
        <v>676</v>
      </c>
    </row>
    <row r="8" spans="1:256" ht="15" x14ac:dyDescent="0.15">
      <c r="A8" s="6" t="s">
        <v>681</v>
      </c>
      <c r="B8" s="68">
        <v>3</v>
      </c>
      <c r="C8" s="3" t="s">
        <v>676</v>
      </c>
    </row>
    <row r="9" spans="1:256" ht="15" x14ac:dyDescent="0.15">
      <c r="A9" s="6" t="s">
        <v>629</v>
      </c>
      <c r="B9" s="80">
        <v>0.25</v>
      </c>
    </row>
    <row r="11" spans="1:256" x14ac:dyDescent="0.15">
      <c r="A11" s="60" t="s">
        <v>683</v>
      </c>
    </row>
    <row r="12" spans="1:256" ht="15" x14ac:dyDescent="0.15">
      <c r="A12" s="359" t="s">
        <v>939</v>
      </c>
      <c r="B12" s="317">
        <v>0</v>
      </c>
      <c r="C12" s="317">
        <v>1</v>
      </c>
      <c r="D12" s="317">
        <v>2</v>
      </c>
      <c r="E12" s="317">
        <v>3</v>
      </c>
      <c r="F12" s="317">
        <v>4</v>
      </c>
      <c r="G12" s="317">
        <v>5</v>
      </c>
      <c r="H12" s="317">
        <v>6</v>
      </c>
      <c r="I12" s="317">
        <v>7</v>
      </c>
      <c r="J12" s="317">
        <v>8</v>
      </c>
    </row>
    <row r="13" spans="1:256" ht="15" x14ac:dyDescent="0.15">
      <c r="A13" s="6" t="s">
        <v>929</v>
      </c>
      <c r="B13" s="29">
        <f>-B2-B4</f>
        <v>-21.5</v>
      </c>
      <c r="C13" s="29"/>
      <c r="D13" s="29"/>
      <c r="E13" s="29"/>
      <c r="F13" s="29"/>
      <c r="G13" s="29"/>
      <c r="H13" s="29"/>
      <c r="I13" s="29"/>
      <c r="J13" s="29">
        <f>B6</f>
        <v>0</v>
      </c>
    </row>
    <row r="14" spans="1:256" ht="15" x14ac:dyDescent="0.15">
      <c r="A14" s="6" t="s">
        <v>686</v>
      </c>
      <c r="B14" s="29"/>
      <c r="C14" s="29">
        <f>$B8</f>
        <v>3</v>
      </c>
      <c r="D14" s="29">
        <f t="shared" ref="D14:J14" si="0">$B8</f>
        <v>3</v>
      </c>
      <c r="E14" s="29">
        <f t="shared" si="0"/>
        <v>3</v>
      </c>
      <c r="F14" s="29">
        <f t="shared" si="0"/>
        <v>3</v>
      </c>
      <c r="G14" s="29">
        <f t="shared" si="0"/>
        <v>3</v>
      </c>
      <c r="H14" s="29">
        <f t="shared" si="0"/>
        <v>3</v>
      </c>
      <c r="I14" s="29">
        <f t="shared" si="0"/>
        <v>3</v>
      </c>
      <c r="J14" s="29">
        <f t="shared" si="0"/>
        <v>3</v>
      </c>
      <c r="K14" s="68"/>
    </row>
    <row r="15" spans="1:256" ht="15" x14ac:dyDescent="0.15">
      <c r="A15" s="6" t="s">
        <v>183</v>
      </c>
      <c r="B15" s="29"/>
      <c r="C15" s="29">
        <f>-$B7</f>
        <v>-2.5</v>
      </c>
      <c r="D15" s="29"/>
      <c r="E15" s="29"/>
      <c r="F15" s="29"/>
      <c r="G15" s="29"/>
      <c r="H15" s="29"/>
      <c r="I15" s="29"/>
      <c r="J15" s="29">
        <f>-C15</f>
        <v>2.5</v>
      </c>
      <c r="K15" s="68"/>
    </row>
    <row r="16" spans="1:256" ht="15" x14ac:dyDescent="0.15">
      <c r="A16" s="6" t="s">
        <v>701</v>
      </c>
      <c r="B16" s="29"/>
      <c r="C16" s="29">
        <f>-(C14-C19)*$B9</f>
        <v>0.25</v>
      </c>
      <c r="D16" s="29">
        <f t="shared" ref="D16:J16" si="1">-(D14-D19)*$B9</f>
        <v>0.25</v>
      </c>
      <c r="E16" s="29">
        <f t="shared" si="1"/>
        <v>0.25</v>
      </c>
      <c r="F16" s="29">
        <f t="shared" si="1"/>
        <v>0.25</v>
      </c>
      <c r="G16" s="29">
        <f t="shared" si="1"/>
        <v>0.25</v>
      </c>
      <c r="H16" s="29">
        <f t="shared" si="1"/>
        <v>-0.75</v>
      </c>
      <c r="I16" s="29">
        <f t="shared" si="1"/>
        <v>-0.75</v>
      </c>
      <c r="J16" s="29">
        <f t="shared" si="1"/>
        <v>-0.75</v>
      </c>
      <c r="K16" s="6"/>
      <c r="M16" s="68"/>
      <c r="N16" s="68"/>
      <c r="O16" s="68"/>
      <c r="P16" s="68"/>
      <c r="Q16" s="68"/>
      <c r="R16" s="68"/>
      <c r="S16" s="68"/>
      <c r="T16" s="68"/>
      <c r="U16" s="6"/>
      <c r="W16" s="68"/>
      <c r="X16" s="68"/>
      <c r="Y16" s="68"/>
      <c r="Z16" s="68"/>
      <c r="AA16" s="68"/>
      <c r="AB16" s="68"/>
      <c r="AC16" s="68"/>
      <c r="AD16" s="68"/>
      <c r="AE16" s="6"/>
      <c r="AG16" s="68"/>
      <c r="AH16" s="68"/>
      <c r="AI16" s="68"/>
      <c r="AJ16" s="68"/>
      <c r="AK16" s="68"/>
      <c r="AL16" s="68"/>
      <c r="AM16" s="68"/>
      <c r="AN16" s="68"/>
      <c r="AO16" s="6"/>
      <c r="AQ16" s="68"/>
      <c r="AR16" s="68"/>
      <c r="AS16" s="68"/>
      <c r="AT16" s="68"/>
      <c r="AU16" s="68"/>
      <c r="AV16" s="68"/>
      <c r="AW16" s="68"/>
      <c r="AX16" s="68"/>
      <c r="AY16" s="6"/>
      <c r="BA16" s="68"/>
      <c r="BB16" s="68"/>
      <c r="BC16" s="68"/>
      <c r="BD16" s="68"/>
      <c r="BE16" s="68"/>
      <c r="BF16" s="68"/>
      <c r="BG16" s="68"/>
      <c r="BH16" s="68"/>
      <c r="BI16" s="6"/>
      <c r="BK16" s="68"/>
      <c r="BL16" s="68"/>
      <c r="BM16" s="68"/>
      <c r="BN16" s="68"/>
      <c r="BO16" s="68"/>
      <c r="BP16" s="68"/>
      <c r="BQ16" s="68"/>
      <c r="BR16" s="68"/>
      <c r="BS16" s="6"/>
      <c r="BU16" s="68"/>
      <c r="BV16" s="68"/>
      <c r="BW16" s="68"/>
      <c r="BX16" s="68"/>
      <c r="BY16" s="68"/>
      <c r="BZ16" s="68"/>
      <c r="CA16" s="68"/>
      <c r="CB16" s="68"/>
      <c r="CC16" s="6"/>
      <c r="CE16" s="68"/>
      <c r="CF16" s="68"/>
      <c r="CG16" s="68"/>
      <c r="CH16" s="68"/>
      <c r="CI16" s="68"/>
      <c r="CJ16" s="68"/>
      <c r="CK16" s="68"/>
      <c r="CL16" s="68"/>
      <c r="CM16" s="6"/>
      <c r="CO16" s="68"/>
      <c r="CP16" s="68"/>
      <c r="CQ16" s="68"/>
      <c r="CR16" s="68"/>
      <c r="CS16" s="68"/>
      <c r="CT16" s="68"/>
      <c r="CU16" s="68"/>
      <c r="CV16" s="68"/>
      <c r="CW16" s="6"/>
      <c r="CY16" s="68"/>
      <c r="CZ16" s="68"/>
      <c r="DA16" s="68"/>
      <c r="DB16" s="68"/>
      <c r="DC16" s="68"/>
      <c r="DD16" s="68"/>
      <c r="DE16" s="68"/>
      <c r="DF16" s="68"/>
      <c r="DG16" s="6"/>
      <c r="DI16" s="68"/>
      <c r="DJ16" s="68"/>
      <c r="DK16" s="68"/>
      <c r="DL16" s="68"/>
      <c r="DM16" s="68"/>
      <c r="DN16" s="68"/>
      <c r="DO16" s="68"/>
      <c r="DP16" s="68"/>
      <c r="DQ16" s="6"/>
      <c r="DS16" s="68"/>
      <c r="DT16" s="68"/>
      <c r="DU16" s="68"/>
      <c r="DV16" s="68"/>
      <c r="DW16" s="68"/>
      <c r="DX16" s="68"/>
      <c r="DY16" s="68"/>
      <c r="DZ16" s="68"/>
      <c r="EA16" s="6"/>
      <c r="EC16" s="68"/>
      <c r="ED16" s="68"/>
      <c r="EE16" s="68"/>
      <c r="EF16" s="68"/>
      <c r="EG16" s="68"/>
      <c r="EH16" s="68"/>
      <c r="EI16" s="68"/>
      <c r="EJ16" s="68"/>
      <c r="EK16" s="6"/>
      <c r="EM16" s="68"/>
      <c r="EN16" s="68"/>
      <c r="EO16" s="68"/>
      <c r="EP16" s="68"/>
      <c r="EQ16" s="68"/>
      <c r="ER16" s="68"/>
      <c r="ES16" s="68"/>
      <c r="ET16" s="68"/>
      <c r="EU16" s="6"/>
      <c r="EW16" s="68"/>
      <c r="EX16" s="68"/>
      <c r="EY16" s="68"/>
      <c r="EZ16" s="68"/>
      <c r="FA16" s="68"/>
      <c r="FB16" s="68"/>
      <c r="FC16" s="68"/>
      <c r="FD16" s="68"/>
      <c r="FE16" s="6"/>
      <c r="FG16" s="68"/>
      <c r="FH16" s="68"/>
      <c r="FI16" s="68"/>
      <c r="FJ16" s="68"/>
      <c r="FK16" s="68"/>
      <c r="FL16" s="68"/>
      <c r="FM16" s="68"/>
      <c r="FN16" s="68"/>
      <c r="FO16" s="6"/>
      <c r="FQ16" s="68"/>
      <c r="FR16" s="68"/>
      <c r="FS16" s="68"/>
      <c r="FT16" s="68"/>
      <c r="FU16" s="68"/>
      <c r="FV16" s="68"/>
      <c r="FW16" s="68"/>
      <c r="FX16" s="68"/>
      <c r="FY16" s="6"/>
      <c r="GA16" s="68"/>
      <c r="GB16" s="68"/>
      <c r="GC16" s="68"/>
      <c r="GD16" s="68"/>
      <c r="GE16" s="68"/>
      <c r="GF16" s="68"/>
      <c r="GG16" s="68"/>
      <c r="GH16" s="68"/>
      <c r="GI16" s="6"/>
      <c r="GK16" s="68"/>
      <c r="GL16" s="68"/>
      <c r="GM16" s="68"/>
      <c r="GN16" s="68"/>
      <c r="GO16" s="68"/>
      <c r="GP16" s="68"/>
      <c r="GQ16" s="68"/>
      <c r="GR16" s="68"/>
      <c r="GS16" s="6"/>
      <c r="GU16" s="68"/>
      <c r="GV16" s="68"/>
      <c r="GW16" s="68"/>
      <c r="GX16" s="68"/>
      <c r="GY16" s="68"/>
      <c r="GZ16" s="68"/>
      <c r="HA16" s="68"/>
      <c r="HB16" s="68"/>
      <c r="HC16" s="6"/>
      <c r="HE16" s="68"/>
      <c r="HF16" s="68"/>
      <c r="HG16" s="68"/>
      <c r="HH16" s="68"/>
      <c r="HI16" s="68"/>
      <c r="HJ16" s="68"/>
      <c r="HK16" s="68"/>
      <c r="HL16" s="68"/>
      <c r="HM16" s="6"/>
      <c r="HO16" s="68"/>
      <c r="HP16" s="68"/>
      <c r="HQ16" s="68"/>
      <c r="HR16" s="68"/>
      <c r="HS16" s="68"/>
      <c r="HT16" s="68"/>
      <c r="HU16" s="68"/>
      <c r="HV16" s="68"/>
      <c r="HW16" s="6"/>
      <c r="HY16" s="68"/>
      <c r="HZ16" s="68"/>
      <c r="IA16" s="68"/>
      <c r="IB16" s="68"/>
      <c r="IC16" s="68"/>
      <c r="ID16" s="68"/>
      <c r="IE16" s="68"/>
      <c r="IF16" s="68"/>
      <c r="IG16" s="6"/>
      <c r="II16" s="68"/>
      <c r="IJ16" s="68"/>
      <c r="IK16" s="68"/>
      <c r="IL16" s="68"/>
      <c r="IM16" s="68"/>
      <c r="IN16" s="68"/>
      <c r="IO16" s="68"/>
      <c r="IP16" s="68"/>
      <c r="IQ16" s="6"/>
      <c r="IS16" s="68"/>
      <c r="IT16" s="68"/>
      <c r="IU16" s="68"/>
      <c r="IV16" s="68"/>
    </row>
    <row r="17" spans="1:10" x14ac:dyDescent="0.15">
      <c r="A17" s="7" t="s">
        <v>684</v>
      </c>
      <c r="B17" s="133">
        <f>SUM(B13:B16)</f>
        <v>-21.5</v>
      </c>
      <c r="C17" s="133">
        <f>SUM(C13:C16)</f>
        <v>0.75</v>
      </c>
      <c r="D17" s="133">
        <f t="shared" ref="D17:J17" si="2">SUM(D13:D16)</f>
        <v>3.25</v>
      </c>
      <c r="E17" s="133">
        <f t="shared" si="2"/>
        <v>3.25</v>
      </c>
      <c r="F17" s="133">
        <f t="shared" si="2"/>
        <v>3.25</v>
      </c>
      <c r="G17" s="133">
        <f t="shared" si="2"/>
        <v>3.25</v>
      </c>
      <c r="H17" s="133">
        <f t="shared" si="2"/>
        <v>2.25</v>
      </c>
      <c r="I17" s="133">
        <f t="shared" si="2"/>
        <v>2.25</v>
      </c>
      <c r="J17" s="133">
        <f t="shared" si="2"/>
        <v>4.75</v>
      </c>
    </row>
    <row r="18" spans="1:10" x14ac:dyDescent="0.15">
      <c r="B18" s="29"/>
      <c r="C18" s="29"/>
      <c r="D18" s="29"/>
      <c r="E18" s="29"/>
      <c r="F18" s="29"/>
      <c r="G18" s="29"/>
      <c r="H18" s="29"/>
      <c r="I18" s="29"/>
      <c r="J18" s="29"/>
    </row>
    <row r="19" spans="1:10" ht="15" x14ac:dyDescent="0.15">
      <c r="A19" s="6" t="s">
        <v>685</v>
      </c>
      <c r="B19" s="29"/>
      <c r="C19" s="29">
        <f>$B2/$B3</f>
        <v>4</v>
      </c>
      <c r="D19" s="29">
        <f>$B2/$B3</f>
        <v>4</v>
      </c>
      <c r="E19" s="29">
        <f>$B2/$B3</f>
        <v>4</v>
      </c>
      <c r="F19" s="29">
        <f>$B2/$B3</f>
        <v>4</v>
      </c>
      <c r="G19" s="29">
        <f>$B2/$B3</f>
        <v>4</v>
      </c>
      <c r="H19" s="29"/>
      <c r="I19" s="29"/>
      <c r="J19" s="29"/>
    </row>
    <row r="20" spans="1:10" x14ac:dyDescent="0.15">
      <c r="A20" s="6"/>
      <c r="C20" s="68"/>
      <c r="D20" s="68"/>
      <c r="E20" s="68"/>
      <c r="F20" s="68"/>
      <c r="G20" s="68"/>
    </row>
    <row r="21" spans="1:10" x14ac:dyDescent="0.15">
      <c r="A21" s="60" t="s">
        <v>689</v>
      </c>
    </row>
    <row r="22" spans="1:10" ht="15" x14ac:dyDescent="0.15">
      <c r="A22" s="6" t="s">
        <v>364</v>
      </c>
      <c r="B22" s="104">
        <v>0.1</v>
      </c>
    </row>
    <row r="23" spans="1:10" ht="15" x14ac:dyDescent="0.15">
      <c r="A23" s="4" t="s">
        <v>396</v>
      </c>
      <c r="B23" s="98">
        <f>SUMPRODUCT(B17:J17,POWER(1+$B22,-B12:J12))</f>
        <v>-6.8120881075134943</v>
      </c>
    </row>
    <row r="25" spans="1:10" x14ac:dyDescent="0.15">
      <c r="A25" s="60" t="s">
        <v>690</v>
      </c>
    </row>
    <row r="26" spans="1:10" x14ac:dyDescent="0.15">
      <c r="A26" s="7" t="s">
        <v>687</v>
      </c>
      <c r="B26" s="111">
        <f>IRR(B17:J17)</f>
        <v>1.3854492783894834E-2</v>
      </c>
    </row>
    <row r="27" spans="1:10" ht="15" x14ac:dyDescent="0.15">
      <c r="A27" s="6" t="s">
        <v>396</v>
      </c>
      <c r="B27" s="29">
        <f>SUMPRODUCT(B17:J17,POWER(1+$B26,-B12:J12))</f>
        <v>-1.6608936448392342E-13</v>
      </c>
    </row>
    <row r="29" spans="1:10" ht="15" x14ac:dyDescent="0.15">
      <c r="A29" s="8" t="s">
        <v>1227</v>
      </c>
    </row>
    <row r="30" spans="1:10" x14ac:dyDescent="0.15">
      <c r="A30" s="60" t="s">
        <v>688</v>
      </c>
    </row>
    <row r="31" spans="1:10" x14ac:dyDescent="0.15">
      <c r="A31" s="3" t="s">
        <v>692</v>
      </c>
      <c r="B31" s="68">
        <v>2</v>
      </c>
      <c r="C31" s="3" t="s">
        <v>676</v>
      </c>
    </row>
    <row r="32" spans="1:10" x14ac:dyDescent="0.15">
      <c r="A32" s="3" t="s">
        <v>691</v>
      </c>
      <c r="B32" s="3">
        <v>5</v>
      </c>
      <c r="C32" s="3" t="s">
        <v>506</v>
      </c>
      <c r="D32" s="3" t="s">
        <v>693</v>
      </c>
    </row>
    <row r="33" spans="1:7" x14ac:dyDescent="0.15">
      <c r="A33" s="3" t="s">
        <v>679</v>
      </c>
      <c r="B33" s="68">
        <v>0</v>
      </c>
      <c r="C33" s="3" t="s">
        <v>676</v>
      </c>
    </row>
    <row r="34" spans="1:7" ht="15" x14ac:dyDescent="0.15">
      <c r="A34" s="6" t="s">
        <v>694</v>
      </c>
      <c r="B34" s="68">
        <v>0.8</v>
      </c>
      <c r="C34" s="3" t="s">
        <v>676</v>
      </c>
    </row>
    <row r="35" spans="1:7" x14ac:dyDescent="0.15">
      <c r="A35" s="60" t="s">
        <v>695</v>
      </c>
    </row>
    <row r="36" spans="1:7" x14ac:dyDescent="0.15">
      <c r="A36" s="3" t="s">
        <v>696</v>
      </c>
      <c r="B36" s="68">
        <v>1.5</v>
      </c>
      <c r="C36" s="3" t="s">
        <v>676</v>
      </c>
    </row>
    <row r="37" spans="1:7" x14ac:dyDescent="0.15">
      <c r="A37" s="3" t="s">
        <v>691</v>
      </c>
      <c r="B37" s="3">
        <v>5</v>
      </c>
      <c r="C37" s="3" t="s">
        <v>506</v>
      </c>
      <c r="D37" s="3" t="s">
        <v>693</v>
      </c>
    </row>
    <row r="38" spans="1:7" x14ac:dyDescent="0.15">
      <c r="A38" s="3" t="s">
        <v>679</v>
      </c>
      <c r="B38" s="68">
        <v>0</v>
      </c>
      <c r="C38" s="3" t="s">
        <v>676</v>
      </c>
    </row>
    <row r="39" spans="1:7" ht="15" x14ac:dyDescent="0.15">
      <c r="A39" s="6" t="s">
        <v>697</v>
      </c>
      <c r="B39" s="68">
        <v>1.2</v>
      </c>
      <c r="C39" s="3" t="s">
        <v>676</v>
      </c>
    </row>
    <row r="40" spans="1:7" ht="15" x14ac:dyDescent="0.15">
      <c r="A40" s="6" t="s">
        <v>698</v>
      </c>
      <c r="B40" s="68">
        <v>1</v>
      </c>
      <c r="C40" s="3" t="s">
        <v>676</v>
      </c>
    </row>
    <row r="42" spans="1:7" x14ac:dyDescent="0.15">
      <c r="A42" s="3" t="s">
        <v>629</v>
      </c>
      <c r="B42" s="80">
        <v>0.25</v>
      </c>
    </row>
    <row r="43" spans="1:7" ht="15" x14ac:dyDescent="0.15">
      <c r="A43" s="6" t="s">
        <v>699</v>
      </c>
      <c r="B43" s="80">
        <v>0.12</v>
      </c>
    </row>
    <row r="44" spans="1:7" x14ac:dyDescent="0.15">
      <c r="A44" s="6"/>
    </row>
    <row r="45" spans="1:7" x14ac:dyDescent="0.15">
      <c r="A45" s="60" t="s">
        <v>770</v>
      </c>
    </row>
    <row r="46" spans="1:7" ht="15" x14ac:dyDescent="0.15">
      <c r="A46" s="359" t="s">
        <v>401</v>
      </c>
      <c r="B46" s="343">
        <v>0</v>
      </c>
      <c r="C46" s="343">
        <f>B46+1</f>
        <v>1</v>
      </c>
      <c r="D46" s="343">
        <f>C46+1</f>
        <v>2</v>
      </c>
      <c r="E46" s="343">
        <f>D46+1</f>
        <v>3</v>
      </c>
      <c r="F46" s="343">
        <f>E46+1</f>
        <v>4</v>
      </c>
      <c r="G46" s="343">
        <f>F46+1</f>
        <v>5</v>
      </c>
    </row>
    <row r="47" spans="1:7" ht="15" x14ac:dyDescent="0.15">
      <c r="A47" s="6" t="s">
        <v>700</v>
      </c>
      <c r="B47" s="68">
        <f>-B31</f>
        <v>-2</v>
      </c>
      <c r="G47" s="68">
        <f>B33</f>
        <v>0</v>
      </c>
    </row>
    <row r="48" spans="1:7" ht="15" x14ac:dyDescent="0.15">
      <c r="A48" s="6" t="s">
        <v>768</v>
      </c>
      <c r="B48" s="68">
        <f>-B54*$B42</f>
        <v>4.9999999999999989E-2</v>
      </c>
      <c r="G48" s="68"/>
    </row>
    <row r="49" spans="1:7" ht="15" x14ac:dyDescent="0.15">
      <c r="A49" s="6" t="s">
        <v>686</v>
      </c>
      <c r="C49" s="68">
        <f>B34</f>
        <v>0.8</v>
      </c>
      <c r="D49" s="68">
        <f>$B34</f>
        <v>0.8</v>
      </c>
      <c r="E49" s="68">
        <f>$B34</f>
        <v>0.8</v>
      </c>
      <c r="F49" s="68">
        <f>$B34</f>
        <v>0.8</v>
      </c>
      <c r="G49" s="68">
        <f>$B34</f>
        <v>0.8</v>
      </c>
    </row>
    <row r="50" spans="1:7" ht="15" x14ac:dyDescent="0.15">
      <c r="A50" s="6" t="s">
        <v>701</v>
      </c>
      <c r="C50" s="3">
        <f>-(C49-C55)*$B42</f>
        <v>-0.17499999999999999</v>
      </c>
      <c r="D50" s="3">
        <f>-(D49-D55)*$B42</f>
        <v>-0.17499999999999999</v>
      </c>
      <c r="E50" s="3">
        <f>-(E49-E55)*$B42</f>
        <v>-0.17499999999999999</v>
      </c>
      <c r="F50" s="3">
        <f>-(F49-F55)*$B42</f>
        <v>-0.17499999999999999</v>
      </c>
      <c r="G50" s="3">
        <f>-(G49-G55)*$B42</f>
        <v>-0.1</v>
      </c>
    </row>
    <row r="51" spans="1:7" ht="15" x14ac:dyDescent="0.15">
      <c r="A51" s="6" t="s">
        <v>702</v>
      </c>
      <c r="B51" s="68">
        <f>B40</f>
        <v>1</v>
      </c>
    </row>
    <row r="52" spans="1:7" ht="15" x14ac:dyDescent="0.15">
      <c r="A52" s="4" t="s">
        <v>395</v>
      </c>
      <c r="B52" s="98">
        <f t="shared" ref="B52:G52" si="3">SUM(B47:B51)</f>
        <v>-0.95</v>
      </c>
      <c r="C52" s="98">
        <f t="shared" si="3"/>
        <v>0.625</v>
      </c>
      <c r="D52" s="98">
        <f t="shared" si="3"/>
        <v>0.625</v>
      </c>
      <c r="E52" s="98">
        <f t="shared" si="3"/>
        <v>0.625</v>
      </c>
      <c r="F52" s="98">
        <f t="shared" si="3"/>
        <v>0.625</v>
      </c>
      <c r="G52" s="98">
        <f t="shared" si="3"/>
        <v>0.70000000000000007</v>
      </c>
    </row>
    <row r="53" spans="1:7" x14ac:dyDescent="0.15">
      <c r="A53" s="6"/>
    </row>
    <row r="54" spans="1:7" ht="15" x14ac:dyDescent="0.15">
      <c r="A54" s="6" t="s">
        <v>703</v>
      </c>
      <c r="B54" s="68">
        <f>B40-B39</f>
        <v>-0.19999999999999996</v>
      </c>
    </row>
    <row r="55" spans="1:7" ht="15" x14ac:dyDescent="0.15">
      <c r="A55" s="6" t="s">
        <v>769</v>
      </c>
      <c r="C55" s="68">
        <f>$B31/$B32-$B36/$B37</f>
        <v>0.10000000000000003</v>
      </c>
      <c r="D55" s="68">
        <f>$B31/$B32-$B36/$B37</f>
        <v>0.10000000000000003</v>
      </c>
      <c r="E55" s="68">
        <f>$B31/$B32-$B36/$B37</f>
        <v>0.10000000000000003</v>
      </c>
      <c r="F55" s="68">
        <f>$B31/$B32-$B36/$B37</f>
        <v>0.10000000000000003</v>
      </c>
      <c r="G55" s="68">
        <f>$B31/$B32</f>
        <v>0.4</v>
      </c>
    </row>
    <row r="56" spans="1:7" x14ac:dyDescent="0.15">
      <c r="A56" s="6"/>
    </row>
    <row r="57" spans="1:7" ht="15" x14ac:dyDescent="0.15">
      <c r="A57" s="4" t="s">
        <v>396</v>
      </c>
      <c r="B57" s="98">
        <f>SUMPRODUCT(B52:G52,POWER(1+B43,-B46:G46))</f>
        <v>1.3455421406445227</v>
      </c>
      <c r="C57" s="3" t="s">
        <v>676</v>
      </c>
    </row>
    <row r="58" spans="1:7" ht="15" x14ac:dyDescent="0.15">
      <c r="A58" s="4" t="s">
        <v>687</v>
      </c>
      <c r="B58" s="122">
        <f>IRR(B52:G52)</f>
        <v>0.59959328552403623</v>
      </c>
    </row>
    <row r="59" spans="1:7" x14ac:dyDescent="0.15">
      <c r="A59" s="6"/>
      <c r="B59" s="68"/>
    </row>
    <row r="61" spans="1:7" ht="15" x14ac:dyDescent="0.15">
      <c r="A61" s="8" t="s">
        <v>193</v>
      </c>
    </row>
    <row r="62" spans="1:7" ht="15" x14ac:dyDescent="0.15">
      <c r="A62" s="8"/>
    </row>
    <row r="63" spans="1:7" x14ac:dyDescent="0.15">
      <c r="A63" s="69" t="s">
        <v>713</v>
      </c>
    </row>
    <row r="64" spans="1:7" x14ac:dyDescent="0.15">
      <c r="A64" s="317" t="s">
        <v>925</v>
      </c>
      <c r="B64" s="343">
        <v>0</v>
      </c>
      <c r="C64" s="343">
        <f>B64+1</f>
        <v>1</v>
      </c>
      <c r="D64" s="343">
        <f>C64+1</f>
        <v>2</v>
      </c>
      <c r="E64" s="343">
        <f>D64+1</f>
        <v>3</v>
      </c>
      <c r="F64" s="343">
        <f>E64+1</f>
        <v>4</v>
      </c>
      <c r="G64" s="343">
        <f>F64+1</f>
        <v>5</v>
      </c>
    </row>
    <row r="65" spans="1:8" ht="15" x14ac:dyDescent="0.15">
      <c r="A65" s="6" t="s">
        <v>395</v>
      </c>
      <c r="B65" s="68">
        <v>-100</v>
      </c>
      <c r="C65" s="68">
        <v>110</v>
      </c>
      <c r="D65" s="68">
        <v>-30</v>
      </c>
      <c r="E65" s="68">
        <v>25</v>
      </c>
      <c r="F65" s="68">
        <v>50</v>
      </c>
      <c r="G65" s="68">
        <v>100</v>
      </c>
    </row>
    <row r="66" spans="1:8" ht="15" x14ac:dyDescent="0.15">
      <c r="A66" s="6" t="s">
        <v>424</v>
      </c>
      <c r="B66" s="80">
        <v>0.1</v>
      </c>
      <c r="C66" s="68"/>
      <c r="D66" s="68"/>
      <c r="E66" s="68"/>
      <c r="F66" s="68"/>
      <c r="G66" s="68"/>
    </row>
    <row r="67" spans="1:8" x14ac:dyDescent="0.15">
      <c r="A67" s="3" t="s">
        <v>714</v>
      </c>
      <c r="B67" s="68">
        <f t="shared" ref="B67:G67" si="4">+B65/POWER(1+$B$66,B64+1)</f>
        <v>-90.909090909090907</v>
      </c>
      <c r="C67" s="68">
        <f t="shared" si="4"/>
        <v>90.909090909090892</v>
      </c>
      <c r="D67" s="68">
        <f t="shared" si="4"/>
        <v>-22.539444027047328</v>
      </c>
      <c r="E67" s="68">
        <f t="shared" si="4"/>
        <v>17.075336384126764</v>
      </c>
      <c r="F67" s="68">
        <f t="shared" si="4"/>
        <v>31.046066152957749</v>
      </c>
      <c r="G67" s="68">
        <f t="shared" si="4"/>
        <v>56.44739300537772</v>
      </c>
    </row>
    <row r="68" spans="1:8" x14ac:dyDescent="0.15">
      <c r="A68" s="6"/>
      <c r="B68" s="68"/>
      <c r="C68" s="68"/>
      <c r="D68" s="68"/>
      <c r="E68" s="68"/>
      <c r="F68" s="68"/>
      <c r="G68" s="68"/>
    </row>
    <row r="69" spans="1:8" x14ac:dyDescent="0.15">
      <c r="A69" s="54" t="s">
        <v>396</v>
      </c>
      <c r="B69" s="98">
        <f>SUM(B67:G67)</f>
        <v>82.029351515414888</v>
      </c>
    </row>
    <row r="70" spans="1:8" x14ac:dyDescent="0.15">
      <c r="A70" s="54" t="s">
        <v>687</v>
      </c>
      <c r="B70" s="110">
        <v>0.42640163152504512</v>
      </c>
    </row>
    <row r="71" spans="1:8" x14ac:dyDescent="0.15">
      <c r="A71" s="187"/>
      <c r="B71" s="188"/>
    </row>
    <row r="72" spans="1:8" x14ac:dyDescent="0.15">
      <c r="A72" s="69" t="s">
        <v>715</v>
      </c>
    </row>
    <row r="73" spans="1:8" x14ac:dyDescent="0.15">
      <c r="A73" s="317" t="s">
        <v>925</v>
      </c>
      <c r="B73" s="343">
        <v>0</v>
      </c>
      <c r="C73" s="343">
        <f>B73+1</f>
        <v>1</v>
      </c>
      <c r="D73" s="343">
        <f>C73+1</f>
        <v>2</v>
      </c>
      <c r="E73" s="343">
        <f>D73+1</f>
        <v>3</v>
      </c>
      <c r="F73" s="343">
        <f>E73+1</f>
        <v>4</v>
      </c>
      <c r="G73" s="343">
        <f>F73+1</f>
        <v>5</v>
      </c>
    </row>
    <row r="74" spans="1:8" ht="15" x14ac:dyDescent="0.15">
      <c r="A74" s="6" t="s">
        <v>395</v>
      </c>
      <c r="B74" s="68">
        <v>-100</v>
      </c>
      <c r="C74" s="68">
        <v>110</v>
      </c>
      <c r="D74" s="68">
        <v>-30</v>
      </c>
      <c r="E74" s="68">
        <v>25</v>
      </c>
      <c r="F74" s="68">
        <v>50</v>
      </c>
      <c r="G74" s="68">
        <v>100</v>
      </c>
    </row>
    <row r="75" spans="1:8" x14ac:dyDescent="0.15">
      <c r="A75" s="6"/>
      <c r="B75" s="68"/>
      <c r="C75" s="68"/>
      <c r="D75" s="68"/>
      <c r="E75" s="68"/>
      <c r="F75" s="68"/>
      <c r="G75" s="68"/>
      <c r="H75" s="68"/>
    </row>
    <row r="76" spans="1:8" ht="15" x14ac:dyDescent="0.15">
      <c r="A76" s="6" t="s">
        <v>704</v>
      </c>
      <c r="B76" s="68">
        <f>SUMPRODUCT($B74:B74,POWER(1+$B$78,-$B73:B73))</f>
        <v>-100</v>
      </c>
      <c r="C76" s="68">
        <f>SUMPRODUCT($B74:C74,POWER(1+$B$78,-$B73:C73))</f>
        <v>0</v>
      </c>
      <c r="D76" s="68">
        <f>SUMPRODUCT($B74:D74,POWER(1+$B$78,-$B73:D73))</f>
        <v>-24.793388429752063</v>
      </c>
      <c r="E76" s="68">
        <f>SUMPRODUCT($B74:E74,POWER(1+$B$78,-$B73:E73))</f>
        <v>-6.0105184072126256</v>
      </c>
      <c r="F76" s="68">
        <f>SUMPRODUCT($B74:F74,POWER(1+$B$78,-$B73:F73))</f>
        <v>28.140154361040903</v>
      </c>
      <c r="G76" s="68">
        <f>SUMPRODUCT($B74:G74,POWER(1+$B$78,-$B73:G73))</f>
        <v>90.232286666956398</v>
      </c>
    </row>
    <row r="77" spans="1:8" x14ac:dyDescent="0.15">
      <c r="B77" s="68"/>
    </row>
    <row r="78" spans="1:8" ht="15" x14ac:dyDescent="0.15">
      <c r="A78" s="6" t="s">
        <v>391</v>
      </c>
      <c r="B78" s="104">
        <v>0.1</v>
      </c>
      <c r="C78" s="189"/>
      <c r="D78" s="189"/>
    </row>
    <row r="79" spans="1:8" ht="15" x14ac:dyDescent="0.15">
      <c r="A79" s="4" t="s">
        <v>396</v>
      </c>
      <c r="B79" s="188">
        <f>SUMPRODUCT($B74:G74,POWER(1+$B78,-$B73:G73))</f>
        <v>90.232286666956398</v>
      </c>
      <c r="C79" s="181"/>
      <c r="D79" s="181"/>
      <c r="E79" s="181"/>
      <c r="F79" s="181"/>
      <c r="G79" s="181"/>
    </row>
    <row r="80" spans="1:8" ht="15" x14ac:dyDescent="0.15">
      <c r="A80" s="4" t="s">
        <v>687</v>
      </c>
      <c r="B80" s="152">
        <v>0.42640162762533101</v>
      </c>
      <c r="C80" s="104"/>
    </row>
    <row r="81" spans="1:12" ht="15" x14ac:dyDescent="0.15">
      <c r="A81" s="6" t="s">
        <v>396</v>
      </c>
      <c r="B81" s="68">
        <f>SUMPRODUCT($B74:G74,POWER(1+$B80,-$B73:G73))</f>
        <v>7.3253652033145045E-9</v>
      </c>
    </row>
    <row r="83" spans="1:12" ht="15" x14ac:dyDescent="0.15">
      <c r="A83" s="8" t="s">
        <v>157</v>
      </c>
    </row>
    <row r="84" spans="1:12" x14ac:dyDescent="0.15">
      <c r="A84" s="3" t="s">
        <v>705</v>
      </c>
      <c r="B84" s="3">
        <v>2</v>
      </c>
      <c r="C84" s="3" t="s">
        <v>676</v>
      </c>
    </row>
    <row r="85" spans="1:12" x14ac:dyDescent="0.15">
      <c r="A85" s="3" t="s">
        <v>516</v>
      </c>
      <c r="B85" s="3">
        <v>10</v>
      </c>
      <c r="C85" s="3" t="s">
        <v>506</v>
      </c>
    </row>
    <row r="86" spans="1:12" x14ac:dyDescent="0.15">
      <c r="A86" s="3" t="s">
        <v>706</v>
      </c>
      <c r="B86" s="3">
        <v>0.8</v>
      </c>
      <c r="C86" s="3" t="s">
        <v>676</v>
      </c>
    </row>
    <row r="87" spans="1:12" ht="15" x14ac:dyDescent="0.15">
      <c r="A87" s="6" t="s">
        <v>686</v>
      </c>
      <c r="B87" s="3">
        <v>-0.2</v>
      </c>
      <c r="C87" s="3" t="s">
        <v>676</v>
      </c>
    </row>
    <row r="89" spans="1:12" x14ac:dyDescent="0.15">
      <c r="A89" s="3" t="s">
        <v>707</v>
      </c>
    </row>
    <row r="90" spans="1:12" x14ac:dyDescent="0.15">
      <c r="A90" s="317" t="s">
        <v>716</v>
      </c>
      <c r="B90" s="343">
        <v>0</v>
      </c>
      <c r="C90" s="343">
        <f>B90+1</f>
        <v>1</v>
      </c>
      <c r="D90" s="343">
        <f t="shared" ref="D90:L90" si="5">C90+1</f>
        <v>2</v>
      </c>
      <c r="E90" s="343">
        <f t="shared" si="5"/>
        <v>3</v>
      </c>
      <c r="F90" s="343">
        <f t="shared" si="5"/>
        <v>4</v>
      </c>
      <c r="G90" s="343">
        <f t="shared" si="5"/>
        <v>5</v>
      </c>
      <c r="H90" s="343">
        <f t="shared" si="5"/>
        <v>6</v>
      </c>
      <c r="I90" s="343">
        <f t="shared" si="5"/>
        <v>7</v>
      </c>
      <c r="J90" s="343">
        <f t="shared" si="5"/>
        <v>8</v>
      </c>
      <c r="K90" s="343">
        <f t="shared" si="5"/>
        <v>9</v>
      </c>
      <c r="L90" s="343">
        <f t="shared" si="5"/>
        <v>10</v>
      </c>
    </row>
    <row r="91" spans="1:12" x14ac:dyDescent="0.15">
      <c r="A91" s="3" t="s">
        <v>705</v>
      </c>
      <c r="B91" s="68">
        <f>B84</f>
        <v>2</v>
      </c>
      <c r="C91" s="68"/>
      <c r="D91" s="68"/>
      <c r="E91" s="68"/>
      <c r="F91" s="68"/>
      <c r="G91" s="68"/>
      <c r="H91" s="68"/>
      <c r="I91" s="68"/>
      <c r="J91" s="68"/>
      <c r="K91" s="68"/>
      <c r="L91" s="68"/>
    </row>
    <row r="92" spans="1:12" x14ac:dyDescent="0.15">
      <c r="A92" s="3" t="s">
        <v>717</v>
      </c>
      <c r="B92" s="68">
        <f>-B86</f>
        <v>-0.8</v>
      </c>
      <c r="C92" s="68"/>
      <c r="D92" s="68"/>
      <c r="E92" s="68"/>
      <c r="F92" s="68"/>
      <c r="G92" s="68"/>
      <c r="H92" s="68"/>
      <c r="I92" s="68"/>
      <c r="J92" s="68"/>
      <c r="K92" s="68"/>
      <c r="L92" s="68"/>
    </row>
    <row r="93" spans="1:12" ht="15" x14ac:dyDescent="0.15">
      <c r="A93" s="6" t="s">
        <v>686</v>
      </c>
      <c r="B93" s="68"/>
      <c r="C93" s="68">
        <f>$B87</f>
        <v>-0.2</v>
      </c>
      <c r="D93" s="68">
        <f t="shared" ref="D93:L93" si="6">$B87</f>
        <v>-0.2</v>
      </c>
      <c r="E93" s="68">
        <f t="shared" si="6"/>
        <v>-0.2</v>
      </c>
      <c r="F93" s="68">
        <f t="shared" si="6"/>
        <v>-0.2</v>
      </c>
      <c r="G93" s="68">
        <f t="shared" si="6"/>
        <v>-0.2</v>
      </c>
      <c r="H93" s="68">
        <f t="shared" si="6"/>
        <v>-0.2</v>
      </c>
      <c r="I93" s="68">
        <f t="shared" si="6"/>
        <v>-0.2</v>
      </c>
      <c r="J93" s="68">
        <f t="shared" si="6"/>
        <v>-0.2</v>
      </c>
      <c r="K93" s="68">
        <f t="shared" si="6"/>
        <v>-0.2</v>
      </c>
      <c r="L93" s="68">
        <f t="shared" si="6"/>
        <v>-0.2</v>
      </c>
    </row>
    <row r="94" spans="1:12" x14ac:dyDescent="0.15">
      <c r="A94" s="7" t="s">
        <v>395</v>
      </c>
      <c r="B94" s="98">
        <f>SUM(B91:B93)</f>
        <v>1.2</v>
      </c>
      <c r="C94" s="98">
        <f t="shared" ref="C94:L94" si="7">SUM(C91:C93)</f>
        <v>-0.2</v>
      </c>
      <c r="D94" s="98">
        <f t="shared" si="7"/>
        <v>-0.2</v>
      </c>
      <c r="E94" s="98">
        <f t="shared" si="7"/>
        <v>-0.2</v>
      </c>
      <c r="F94" s="98">
        <f t="shared" si="7"/>
        <v>-0.2</v>
      </c>
      <c r="G94" s="98">
        <f t="shared" si="7"/>
        <v>-0.2</v>
      </c>
      <c r="H94" s="98">
        <f t="shared" si="7"/>
        <v>-0.2</v>
      </c>
      <c r="I94" s="98">
        <f t="shared" si="7"/>
        <v>-0.2</v>
      </c>
      <c r="J94" s="98">
        <f t="shared" si="7"/>
        <v>-0.2</v>
      </c>
      <c r="K94" s="98">
        <f t="shared" si="7"/>
        <v>-0.2</v>
      </c>
      <c r="L94" s="98">
        <f t="shared" si="7"/>
        <v>-0.2</v>
      </c>
    </row>
    <row r="96" spans="1:12" x14ac:dyDescent="0.15">
      <c r="A96" s="3" t="s">
        <v>402</v>
      </c>
      <c r="B96" s="80">
        <v>0.1</v>
      </c>
      <c r="C96" s="80">
        <f>B96+1%</f>
        <v>0.11</v>
      </c>
      <c r="D96" s="80">
        <f>C96+1%</f>
        <v>0.12</v>
      </c>
      <c r="E96" s="80">
        <f>D96+1%</f>
        <v>0.13</v>
      </c>
      <c r="F96" s="80">
        <f>E96+1%</f>
        <v>0.14000000000000001</v>
      </c>
      <c r="G96" s="80">
        <f>F96+1%</f>
        <v>0.15000000000000002</v>
      </c>
    </row>
    <row r="97" spans="1:7" x14ac:dyDescent="0.15">
      <c r="A97" s="7" t="s">
        <v>396</v>
      </c>
      <c r="B97" s="98">
        <f t="shared" ref="B97:G97" si="8">SUMPRODUCT($B94:$L94,POWER(1+B96,-$B90:$L90))</f>
        <v>-2.8913421140936243E-2</v>
      </c>
      <c r="C97" s="98">
        <f t="shared" si="8"/>
        <v>2.2153597771758932E-2</v>
      </c>
      <c r="D97" s="98">
        <f t="shared" si="8"/>
        <v>6.9955394317827227E-2</v>
      </c>
      <c r="E97" s="98">
        <f t="shared" si="8"/>
        <v>0.11475130480942275</v>
      </c>
      <c r="F97" s="98">
        <f t="shared" si="8"/>
        <v>0.1567768707412846</v>
      </c>
      <c r="G97" s="98">
        <f t="shared" si="8"/>
        <v>0.19624627482915372</v>
      </c>
    </row>
    <row r="110" spans="1:7" ht="15" x14ac:dyDescent="0.15">
      <c r="A110" s="8" t="s">
        <v>171</v>
      </c>
    </row>
    <row r="111" spans="1:7" x14ac:dyDescent="0.15">
      <c r="A111" s="3" t="s">
        <v>718</v>
      </c>
      <c r="B111" s="74">
        <v>78000</v>
      </c>
    </row>
    <row r="112" spans="1:7" x14ac:dyDescent="0.15">
      <c r="A112" s="3" t="s">
        <v>719</v>
      </c>
      <c r="B112" s="74">
        <v>3</v>
      </c>
      <c r="C112" s="3" t="s">
        <v>491</v>
      </c>
    </row>
    <row r="113" spans="1:12" x14ac:dyDescent="0.15">
      <c r="A113" s="3" t="s">
        <v>629</v>
      </c>
      <c r="B113" s="80">
        <v>0.25</v>
      </c>
    </row>
    <row r="114" spans="1:12" x14ac:dyDescent="0.15">
      <c r="A114" s="3" t="s">
        <v>391</v>
      </c>
      <c r="B114" s="80">
        <v>0.1</v>
      </c>
    </row>
    <row r="116" spans="1:12" x14ac:dyDescent="0.15">
      <c r="A116" s="3" t="s">
        <v>307</v>
      </c>
      <c r="B116" s="74">
        <v>5</v>
      </c>
      <c r="C116" s="3" t="s">
        <v>491</v>
      </c>
    </row>
    <row r="118" spans="1:12" x14ac:dyDescent="0.15">
      <c r="A118" s="3" t="s">
        <v>308</v>
      </c>
      <c r="B118" s="13">
        <v>7000</v>
      </c>
    </row>
    <row r="120" spans="1:12" x14ac:dyDescent="0.15">
      <c r="A120" s="60" t="s">
        <v>309</v>
      </c>
    </row>
    <row r="121" spans="1:12" x14ac:dyDescent="0.15">
      <c r="A121" s="317" t="s">
        <v>716</v>
      </c>
      <c r="B121" s="343">
        <v>0</v>
      </c>
      <c r="C121" s="343">
        <f>B121+1</f>
        <v>1</v>
      </c>
      <c r="D121" s="343">
        <f t="shared" ref="D121:L121" si="9">C121+1</f>
        <v>2</v>
      </c>
      <c r="E121" s="343">
        <f t="shared" si="9"/>
        <v>3</v>
      </c>
      <c r="F121" s="343">
        <f t="shared" si="9"/>
        <v>4</v>
      </c>
      <c r="G121" s="343">
        <f t="shared" si="9"/>
        <v>5</v>
      </c>
      <c r="H121" s="343">
        <f t="shared" si="9"/>
        <v>6</v>
      </c>
      <c r="I121" s="343">
        <f t="shared" si="9"/>
        <v>7</v>
      </c>
      <c r="J121" s="343">
        <f t="shared" si="9"/>
        <v>8</v>
      </c>
      <c r="K121" s="343">
        <f t="shared" si="9"/>
        <v>9</v>
      </c>
      <c r="L121" s="343">
        <f t="shared" si="9"/>
        <v>10</v>
      </c>
    </row>
    <row r="122" spans="1:12" ht="15" x14ac:dyDescent="0.15">
      <c r="A122" s="70" t="s">
        <v>929</v>
      </c>
      <c r="B122" s="74">
        <f>-B111</f>
        <v>-78000</v>
      </c>
      <c r="C122" s="74"/>
      <c r="D122" s="74"/>
      <c r="E122" s="74"/>
      <c r="F122" s="74"/>
      <c r="G122" s="74"/>
      <c r="H122" s="74"/>
      <c r="I122" s="74"/>
      <c r="J122" s="74"/>
      <c r="K122" s="74"/>
      <c r="L122" s="74"/>
    </row>
    <row r="123" spans="1:12" ht="15" x14ac:dyDescent="0.15">
      <c r="A123" s="70" t="s">
        <v>755</v>
      </c>
      <c r="B123" s="74"/>
      <c r="C123" s="74">
        <f>$B118*($B116-$B112)</f>
        <v>14000</v>
      </c>
      <c r="D123" s="74">
        <f t="shared" ref="D123:L123" si="10">$B118*($B116-$B112)</f>
        <v>14000</v>
      </c>
      <c r="E123" s="74">
        <f t="shared" si="10"/>
        <v>14000</v>
      </c>
      <c r="F123" s="74">
        <f t="shared" si="10"/>
        <v>14000</v>
      </c>
      <c r="G123" s="74">
        <f t="shared" si="10"/>
        <v>14000</v>
      </c>
      <c r="H123" s="74">
        <f t="shared" si="10"/>
        <v>14000</v>
      </c>
      <c r="I123" s="74">
        <f t="shared" si="10"/>
        <v>14000</v>
      </c>
      <c r="J123" s="74">
        <f t="shared" si="10"/>
        <v>14000</v>
      </c>
      <c r="K123" s="74">
        <f t="shared" si="10"/>
        <v>14000</v>
      </c>
      <c r="L123" s="74">
        <f t="shared" si="10"/>
        <v>14000</v>
      </c>
    </row>
    <row r="124" spans="1:12" ht="15" x14ac:dyDescent="0.15">
      <c r="A124" s="70" t="s">
        <v>751</v>
      </c>
      <c r="B124" s="74"/>
      <c r="C124" s="74">
        <f>-(C123-C127)*$B113</f>
        <v>-1550</v>
      </c>
      <c r="D124" s="74">
        <f t="shared" ref="D124:L124" si="11">-(D123-D127)*$B113</f>
        <v>-1550</v>
      </c>
      <c r="E124" s="74">
        <f t="shared" si="11"/>
        <v>-1550</v>
      </c>
      <c r="F124" s="74">
        <f t="shared" si="11"/>
        <v>-1550</v>
      </c>
      <c r="G124" s="74">
        <f t="shared" si="11"/>
        <v>-1550</v>
      </c>
      <c r="H124" s="74">
        <f t="shared" si="11"/>
        <v>-1550</v>
      </c>
      <c r="I124" s="74">
        <f t="shared" si="11"/>
        <v>-1550</v>
      </c>
      <c r="J124" s="74">
        <f t="shared" si="11"/>
        <v>-1550</v>
      </c>
      <c r="K124" s="74">
        <f t="shared" si="11"/>
        <v>-1550</v>
      </c>
      <c r="L124" s="74">
        <f t="shared" si="11"/>
        <v>-1550</v>
      </c>
    </row>
    <row r="125" spans="1:12" x14ac:dyDescent="0.15">
      <c r="A125" s="7" t="s">
        <v>395</v>
      </c>
      <c r="B125" s="109">
        <f t="shared" ref="B125:L125" si="12">SUM(B122:B124)</f>
        <v>-78000</v>
      </c>
      <c r="C125" s="109">
        <f t="shared" si="12"/>
        <v>12450</v>
      </c>
      <c r="D125" s="109">
        <f t="shared" si="12"/>
        <v>12450</v>
      </c>
      <c r="E125" s="109">
        <f t="shared" si="12"/>
        <v>12450</v>
      </c>
      <c r="F125" s="109">
        <f t="shared" si="12"/>
        <v>12450</v>
      </c>
      <c r="G125" s="109">
        <f t="shared" si="12"/>
        <v>12450</v>
      </c>
      <c r="H125" s="109">
        <f t="shared" si="12"/>
        <v>12450</v>
      </c>
      <c r="I125" s="109">
        <f t="shared" si="12"/>
        <v>12450</v>
      </c>
      <c r="J125" s="109">
        <f t="shared" si="12"/>
        <v>12450</v>
      </c>
      <c r="K125" s="109">
        <f t="shared" si="12"/>
        <v>12450</v>
      </c>
      <c r="L125" s="109">
        <f t="shared" si="12"/>
        <v>12450</v>
      </c>
    </row>
    <row r="126" spans="1:12" x14ac:dyDescent="0.15">
      <c r="B126" s="74"/>
      <c r="C126" s="74"/>
      <c r="D126" s="74"/>
      <c r="E126" s="74"/>
      <c r="F126" s="74"/>
      <c r="G126" s="74"/>
      <c r="H126" s="74"/>
      <c r="I126" s="74"/>
      <c r="J126" s="74"/>
      <c r="K126" s="74"/>
      <c r="L126" s="74"/>
    </row>
    <row r="127" spans="1:12" x14ac:dyDescent="0.15">
      <c r="A127" s="3" t="s">
        <v>685</v>
      </c>
      <c r="B127" s="74"/>
      <c r="C127" s="74">
        <f t="shared" ref="C127:L127" si="13">$B111/10</f>
        <v>7800</v>
      </c>
      <c r="D127" s="74">
        <f t="shared" si="13"/>
        <v>7800</v>
      </c>
      <c r="E127" s="74">
        <f t="shared" si="13"/>
        <v>7800</v>
      </c>
      <c r="F127" s="74">
        <f t="shared" si="13"/>
        <v>7800</v>
      </c>
      <c r="G127" s="74">
        <f t="shared" si="13"/>
        <v>7800</v>
      </c>
      <c r="H127" s="74">
        <f t="shared" si="13"/>
        <v>7800</v>
      </c>
      <c r="I127" s="74">
        <f t="shared" si="13"/>
        <v>7800</v>
      </c>
      <c r="J127" s="74">
        <f t="shared" si="13"/>
        <v>7800</v>
      </c>
      <c r="K127" s="74">
        <f t="shared" si="13"/>
        <v>7800</v>
      </c>
      <c r="L127" s="74">
        <f t="shared" si="13"/>
        <v>7800</v>
      </c>
    </row>
    <row r="128" spans="1:12" x14ac:dyDescent="0.15">
      <c r="B128" s="74"/>
      <c r="C128" s="74"/>
      <c r="D128" s="74"/>
      <c r="E128" s="74"/>
      <c r="F128" s="74"/>
      <c r="G128" s="74"/>
      <c r="H128" s="74"/>
      <c r="I128" s="74"/>
      <c r="J128" s="74"/>
      <c r="K128" s="74"/>
      <c r="L128" s="74"/>
    </row>
    <row r="129" spans="1:12" x14ac:dyDescent="0.15">
      <c r="A129" s="7" t="s">
        <v>396</v>
      </c>
      <c r="B129" s="109">
        <f>SUMPRODUCT(B125:L125,POWER(1+B114,-B121:L121))</f>
        <v>-1500.1395339767205</v>
      </c>
      <c r="C129" s="190" t="s">
        <v>310</v>
      </c>
      <c r="D129" s="74"/>
      <c r="E129" s="74"/>
      <c r="F129" s="74"/>
      <c r="G129" s="74"/>
      <c r="H129" s="74"/>
      <c r="I129" s="74"/>
      <c r="J129" s="74"/>
      <c r="K129" s="74"/>
      <c r="L129" s="74"/>
    </row>
    <row r="130" spans="1:12" x14ac:dyDescent="0.15">
      <c r="A130" s="7"/>
      <c r="B130" s="109"/>
      <c r="C130" s="190"/>
      <c r="D130" s="74"/>
      <c r="E130" s="74"/>
      <c r="F130" s="74"/>
      <c r="G130" s="74"/>
      <c r="H130" s="74"/>
      <c r="I130" s="74"/>
      <c r="J130" s="74"/>
      <c r="K130" s="74"/>
      <c r="L130" s="74"/>
    </row>
    <row r="131" spans="1:12" x14ac:dyDescent="0.15">
      <c r="A131" s="3" t="s">
        <v>720</v>
      </c>
      <c r="B131" s="3">
        <v>7000</v>
      </c>
      <c r="C131" s="3">
        <v>8000</v>
      </c>
      <c r="D131" s="3">
        <v>9000</v>
      </c>
      <c r="E131" s="3">
        <v>10000</v>
      </c>
      <c r="F131" s="74"/>
      <c r="G131" s="74"/>
      <c r="H131" s="74"/>
      <c r="I131" s="74"/>
      <c r="J131" s="74"/>
      <c r="K131" s="74"/>
      <c r="L131" s="74"/>
    </row>
    <row r="132" spans="1:12" x14ac:dyDescent="0.15">
      <c r="A132" s="7" t="s">
        <v>396</v>
      </c>
      <c r="B132" s="147">
        <v>-5309.7711395136248</v>
      </c>
      <c r="C132" s="191">
        <v>2678.1660979024491</v>
      </c>
      <c r="D132" s="147">
        <v>10666.103335318534</v>
      </c>
      <c r="E132" s="147">
        <v>18654.040572734626</v>
      </c>
      <c r="F132" s="74"/>
      <c r="G132" s="74"/>
      <c r="H132" s="74"/>
      <c r="I132" s="74"/>
      <c r="J132" s="74"/>
      <c r="K132" s="74"/>
      <c r="L132" s="74"/>
    </row>
    <row r="144" spans="1:12" ht="15" x14ac:dyDescent="0.15">
      <c r="A144" s="8" t="s">
        <v>367</v>
      </c>
    </row>
    <row r="145" spans="1:32" x14ac:dyDescent="0.15">
      <c r="A145" s="3" t="s">
        <v>728</v>
      </c>
      <c r="B145" s="74">
        <v>8400</v>
      </c>
    </row>
    <row r="147" spans="1:32" x14ac:dyDescent="0.15">
      <c r="A147" s="60" t="s">
        <v>724</v>
      </c>
    </row>
    <row r="148" spans="1:32" x14ac:dyDescent="0.15">
      <c r="A148" s="3" t="s">
        <v>725</v>
      </c>
      <c r="B148" s="74">
        <v>1680</v>
      </c>
    </row>
    <row r="149" spans="1:32" x14ac:dyDescent="0.15">
      <c r="A149" s="3" t="s">
        <v>726</v>
      </c>
      <c r="B149" s="74">
        <v>770</v>
      </c>
    </row>
    <row r="150" spans="1:32" x14ac:dyDescent="0.15">
      <c r="A150" s="3" t="s">
        <v>727</v>
      </c>
      <c r="B150" s="74">
        <v>800</v>
      </c>
    </row>
    <row r="151" spans="1:32" x14ac:dyDescent="0.15">
      <c r="A151" s="60" t="s">
        <v>721</v>
      </c>
      <c r="B151" s="74"/>
    </row>
    <row r="152" spans="1:32" x14ac:dyDescent="0.15">
      <c r="A152" s="3" t="s">
        <v>722</v>
      </c>
      <c r="B152" s="74">
        <v>670</v>
      </c>
    </row>
    <row r="153" spans="1:32" x14ac:dyDescent="0.15">
      <c r="A153" s="3" t="s">
        <v>723</v>
      </c>
      <c r="B153" s="74">
        <v>280</v>
      </c>
    </row>
    <row r="154" spans="1:32" x14ac:dyDescent="0.15">
      <c r="A154" s="3" t="s">
        <v>629</v>
      </c>
      <c r="B154" s="74">
        <v>1000</v>
      </c>
    </row>
    <row r="155" spans="1:32" x14ac:dyDescent="0.15">
      <c r="A155" s="60" t="s">
        <v>582</v>
      </c>
      <c r="B155" s="74">
        <f>SUM(B148:B150)-SUM(B152:B154)</f>
        <v>1300</v>
      </c>
    </row>
    <row r="157" spans="1:32" x14ac:dyDescent="0.15">
      <c r="A157" s="60" t="s">
        <v>707</v>
      </c>
    </row>
    <row r="158" spans="1:32" x14ac:dyDescent="0.15">
      <c r="A158" s="342" t="s">
        <v>716</v>
      </c>
      <c r="B158" s="352">
        <v>0</v>
      </c>
      <c r="C158" s="342">
        <v>1</v>
      </c>
      <c r="D158" s="342">
        <f>C158+1</f>
        <v>2</v>
      </c>
      <c r="E158" s="342">
        <f t="shared" ref="E158:AF158" si="14">D158+1</f>
        <v>3</v>
      </c>
      <c r="F158" s="342">
        <f t="shared" si="14"/>
        <v>4</v>
      </c>
      <c r="G158" s="342">
        <f t="shared" si="14"/>
        <v>5</v>
      </c>
      <c r="H158" s="342">
        <f t="shared" si="14"/>
        <v>6</v>
      </c>
      <c r="I158" s="342">
        <f t="shared" si="14"/>
        <v>7</v>
      </c>
      <c r="J158" s="342">
        <f t="shared" si="14"/>
        <v>8</v>
      </c>
      <c r="K158" s="342">
        <f t="shared" si="14"/>
        <v>9</v>
      </c>
      <c r="L158" s="342">
        <f t="shared" si="14"/>
        <v>10</v>
      </c>
      <c r="M158" s="342">
        <f t="shared" si="14"/>
        <v>11</v>
      </c>
      <c r="N158" s="342">
        <f t="shared" si="14"/>
        <v>12</v>
      </c>
      <c r="O158" s="342">
        <f t="shared" si="14"/>
        <v>13</v>
      </c>
      <c r="P158" s="342">
        <f t="shared" si="14"/>
        <v>14</v>
      </c>
      <c r="Q158" s="342">
        <f t="shared" si="14"/>
        <v>15</v>
      </c>
      <c r="R158" s="342">
        <f t="shared" si="14"/>
        <v>16</v>
      </c>
      <c r="S158" s="342">
        <f t="shared" si="14"/>
        <v>17</v>
      </c>
      <c r="T158" s="342">
        <f t="shared" si="14"/>
        <v>18</v>
      </c>
      <c r="U158" s="342">
        <f t="shared" si="14"/>
        <v>19</v>
      </c>
      <c r="V158" s="342">
        <f t="shared" si="14"/>
        <v>20</v>
      </c>
      <c r="W158" s="342">
        <f t="shared" si="14"/>
        <v>21</v>
      </c>
      <c r="X158" s="342">
        <f t="shared" si="14"/>
        <v>22</v>
      </c>
      <c r="Y158" s="342">
        <f t="shared" si="14"/>
        <v>23</v>
      </c>
      <c r="Z158" s="342">
        <f t="shared" si="14"/>
        <v>24</v>
      </c>
      <c r="AA158" s="342">
        <f t="shared" si="14"/>
        <v>25</v>
      </c>
      <c r="AB158" s="342">
        <f t="shared" si="14"/>
        <v>26</v>
      </c>
      <c r="AC158" s="342">
        <f t="shared" si="14"/>
        <v>27</v>
      </c>
      <c r="AD158" s="342">
        <f t="shared" si="14"/>
        <v>28</v>
      </c>
      <c r="AE158" s="342">
        <f t="shared" si="14"/>
        <v>29</v>
      </c>
      <c r="AF158" s="342">
        <f t="shared" si="14"/>
        <v>30</v>
      </c>
    </row>
    <row r="159" spans="1:32" ht="15" x14ac:dyDescent="0.15">
      <c r="A159" s="6" t="str">
        <f>A145</f>
        <v>Investissement initial</v>
      </c>
      <c r="B159" s="74">
        <f>-B145</f>
        <v>-8400</v>
      </c>
    </row>
    <row r="160" spans="1:32" ht="15" x14ac:dyDescent="0.15">
      <c r="A160" s="6" t="s">
        <v>729</v>
      </c>
      <c r="B160" s="74"/>
      <c r="C160" s="74">
        <f>$B155</f>
        <v>1300</v>
      </c>
      <c r="D160" s="74">
        <f t="shared" ref="D160:AF160" si="15">$B155</f>
        <v>1300</v>
      </c>
      <c r="E160" s="74">
        <f t="shared" si="15"/>
        <v>1300</v>
      </c>
      <c r="F160" s="74">
        <f t="shared" si="15"/>
        <v>1300</v>
      </c>
      <c r="G160" s="74">
        <f t="shared" si="15"/>
        <v>1300</v>
      </c>
      <c r="H160" s="74">
        <f t="shared" si="15"/>
        <v>1300</v>
      </c>
      <c r="I160" s="74">
        <f t="shared" si="15"/>
        <v>1300</v>
      </c>
      <c r="J160" s="74">
        <f t="shared" si="15"/>
        <v>1300</v>
      </c>
      <c r="K160" s="74">
        <f t="shared" si="15"/>
        <v>1300</v>
      </c>
      <c r="L160" s="74">
        <f t="shared" si="15"/>
        <v>1300</v>
      </c>
      <c r="M160" s="74">
        <f t="shared" si="15"/>
        <v>1300</v>
      </c>
      <c r="N160" s="74">
        <f t="shared" si="15"/>
        <v>1300</v>
      </c>
      <c r="O160" s="74">
        <f t="shared" si="15"/>
        <v>1300</v>
      </c>
      <c r="P160" s="74">
        <f t="shared" si="15"/>
        <v>1300</v>
      </c>
      <c r="Q160" s="74">
        <f t="shared" si="15"/>
        <v>1300</v>
      </c>
      <c r="R160" s="74">
        <f t="shared" si="15"/>
        <v>1300</v>
      </c>
      <c r="S160" s="74">
        <f t="shared" si="15"/>
        <v>1300</v>
      </c>
      <c r="T160" s="74">
        <f t="shared" si="15"/>
        <v>1300</v>
      </c>
      <c r="U160" s="74">
        <f t="shared" si="15"/>
        <v>1300</v>
      </c>
      <c r="V160" s="74">
        <f t="shared" si="15"/>
        <v>1300</v>
      </c>
      <c r="W160" s="74">
        <f t="shared" si="15"/>
        <v>1300</v>
      </c>
      <c r="X160" s="74">
        <f t="shared" si="15"/>
        <v>1300</v>
      </c>
      <c r="Y160" s="74">
        <f t="shared" si="15"/>
        <v>1300</v>
      </c>
      <c r="Z160" s="74">
        <f t="shared" si="15"/>
        <v>1300</v>
      </c>
      <c r="AA160" s="74">
        <f t="shared" si="15"/>
        <v>1300</v>
      </c>
      <c r="AB160" s="74">
        <f t="shared" si="15"/>
        <v>1300</v>
      </c>
      <c r="AC160" s="74">
        <f t="shared" si="15"/>
        <v>1300</v>
      </c>
      <c r="AD160" s="74">
        <f t="shared" si="15"/>
        <v>1300</v>
      </c>
      <c r="AE160" s="74">
        <f t="shared" si="15"/>
        <v>1300</v>
      </c>
      <c r="AF160" s="74">
        <f t="shared" si="15"/>
        <v>1300</v>
      </c>
    </row>
    <row r="161" spans="1:32" ht="15" x14ac:dyDescent="0.15">
      <c r="A161" s="6" t="s">
        <v>685</v>
      </c>
      <c r="B161" s="74"/>
      <c r="C161" s="74">
        <f>$B153</f>
        <v>280</v>
      </c>
      <c r="D161" s="74">
        <f t="shared" ref="D161:AF161" si="16">$B153</f>
        <v>280</v>
      </c>
      <c r="E161" s="74">
        <f t="shared" si="16"/>
        <v>280</v>
      </c>
      <c r="F161" s="74">
        <f t="shared" si="16"/>
        <v>280</v>
      </c>
      <c r="G161" s="74">
        <f t="shared" si="16"/>
        <v>280</v>
      </c>
      <c r="H161" s="74">
        <f t="shared" si="16"/>
        <v>280</v>
      </c>
      <c r="I161" s="74">
        <f t="shared" si="16"/>
        <v>280</v>
      </c>
      <c r="J161" s="74">
        <f t="shared" si="16"/>
        <v>280</v>
      </c>
      <c r="K161" s="74">
        <f t="shared" si="16"/>
        <v>280</v>
      </c>
      <c r="L161" s="74">
        <f t="shared" si="16"/>
        <v>280</v>
      </c>
      <c r="M161" s="74">
        <f t="shared" si="16"/>
        <v>280</v>
      </c>
      <c r="N161" s="74">
        <f t="shared" si="16"/>
        <v>280</v>
      </c>
      <c r="O161" s="74">
        <f t="shared" si="16"/>
        <v>280</v>
      </c>
      <c r="P161" s="74">
        <f t="shared" si="16"/>
        <v>280</v>
      </c>
      <c r="Q161" s="74">
        <f t="shared" si="16"/>
        <v>280</v>
      </c>
      <c r="R161" s="74">
        <f t="shared" si="16"/>
        <v>280</v>
      </c>
      <c r="S161" s="74">
        <f t="shared" si="16"/>
        <v>280</v>
      </c>
      <c r="T161" s="74">
        <f t="shared" si="16"/>
        <v>280</v>
      </c>
      <c r="U161" s="74">
        <f t="shared" si="16"/>
        <v>280</v>
      </c>
      <c r="V161" s="74">
        <f t="shared" si="16"/>
        <v>280</v>
      </c>
      <c r="W161" s="74">
        <f t="shared" si="16"/>
        <v>280</v>
      </c>
      <c r="X161" s="74">
        <f t="shared" si="16"/>
        <v>280</v>
      </c>
      <c r="Y161" s="74">
        <f t="shared" si="16"/>
        <v>280</v>
      </c>
      <c r="Z161" s="74">
        <f t="shared" si="16"/>
        <v>280</v>
      </c>
      <c r="AA161" s="74">
        <f t="shared" si="16"/>
        <v>280</v>
      </c>
      <c r="AB161" s="74">
        <f t="shared" si="16"/>
        <v>280</v>
      </c>
      <c r="AC161" s="74">
        <f t="shared" si="16"/>
        <v>280</v>
      </c>
      <c r="AD161" s="74">
        <f t="shared" si="16"/>
        <v>280</v>
      </c>
      <c r="AE161" s="74">
        <f t="shared" si="16"/>
        <v>280</v>
      </c>
      <c r="AF161" s="74">
        <f t="shared" si="16"/>
        <v>280</v>
      </c>
    </row>
    <row r="162" spans="1:32" x14ac:dyDescent="0.15">
      <c r="A162" s="7" t="s">
        <v>395</v>
      </c>
      <c r="B162" s="109">
        <f t="shared" ref="B162:AF162" si="17">SUM(B159:B161)</f>
        <v>-8400</v>
      </c>
      <c r="C162" s="109">
        <f t="shared" si="17"/>
        <v>1580</v>
      </c>
      <c r="D162" s="109">
        <f t="shared" si="17"/>
        <v>1580</v>
      </c>
      <c r="E162" s="109">
        <f t="shared" si="17"/>
        <v>1580</v>
      </c>
      <c r="F162" s="109">
        <f t="shared" si="17"/>
        <v>1580</v>
      </c>
      <c r="G162" s="109">
        <f t="shared" si="17"/>
        <v>1580</v>
      </c>
      <c r="H162" s="109">
        <f t="shared" si="17"/>
        <v>1580</v>
      </c>
      <c r="I162" s="109">
        <f t="shared" si="17"/>
        <v>1580</v>
      </c>
      <c r="J162" s="109">
        <f t="shared" si="17"/>
        <v>1580</v>
      </c>
      <c r="K162" s="109">
        <f t="shared" si="17"/>
        <v>1580</v>
      </c>
      <c r="L162" s="109">
        <f t="shared" si="17"/>
        <v>1580</v>
      </c>
      <c r="M162" s="109">
        <f t="shared" si="17"/>
        <v>1580</v>
      </c>
      <c r="N162" s="109">
        <f t="shared" si="17"/>
        <v>1580</v>
      </c>
      <c r="O162" s="109">
        <f t="shared" si="17"/>
        <v>1580</v>
      </c>
      <c r="P162" s="109">
        <f t="shared" si="17"/>
        <v>1580</v>
      </c>
      <c r="Q162" s="109">
        <f t="shared" si="17"/>
        <v>1580</v>
      </c>
      <c r="R162" s="109">
        <f t="shared" si="17"/>
        <v>1580</v>
      </c>
      <c r="S162" s="109">
        <f t="shared" si="17"/>
        <v>1580</v>
      </c>
      <c r="T162" s="109">
        <f t="shared" si="17"/>
        <v>1580</v>
      </c>
      <c r="U162" s="109">
        <f t="shared" si="17"/>
        <v>1580</v>
      </c>
      <c r="V162" s="109">
        <f t="shared" si="17"/>
        <v>1580</v>
      </c>
      <c r="W162" s="109">
        <f t="shared" si="17"/>
        <v>1580</v>
      </c>
      <c r="X162" s="109">
        <f t="shared" si="17"/>
        <v>1580</v>
      </c>
      <c r="Y162" s="109">
        <f t="shared" si="17"/>
        <v>1580</v>
      </c>
      <c r="Z162" s="109">
        <f t="shared" si="17"/>
        <v>1580</v>
      </c>
      <c r="AA162" s="109">
        <f t="shared" si="17"/>
        <v>1580</v>
      </c>
      <c r="AB162" s="109">
        <f t="shared" si="17"/>
        <v>1580</v>
      </c>
      <c r="AC162" s="109">
        <f t="shared" si="17"/>
        <v>1580</v>
      </c>
      <c r="AD162" s="109">
        <f t="shared" si="17"/>
        <v>1580</v>
      </c>
      <c r="AE162" s="109">
        <f t="shared" si="17"/>
        <v>1580</v>
      </c>
      <c r="AF162" s="109">
        <f t="shared" si="17"/>
        <v>1580</v>
      </c>
    </row>
    <row r="164" spans="1:32" x14ac:dyDescent="0.15">
      <c r="A164" s="60" t="s">
        <v>733</v>
      </c>
    </row>
    <row r="165" spans="1:32" x14ac:dyDescent="0.15">
      <c r="A165" s="3" t="s">
        <v>1044</v>
      </c>
      <c r="C165" s="74">
        <f>$B155</f>
        <v>1300</v>
      </c>
      <c r="D165" s="74">
        <f t="shared" ref="D165:AF165" si="18">$B155</f>
        <v>1300</v>
      </c>
      <c r="E165" s="74">
        <f t="shared" si="18"/>
        <v>1300</v>
      </c>
      <c r="F165" s="74">
        <f t="shared" si="18"/>
        <v>1300</v>
      </c>
      <c r="G165" s="74">
        <f t="shared" si="18"/>
        <v>1300</v>
      </c>
      <c r="H165" s="74">
        <f t="shared" si="18"/>
        <v>1300</v>
      </c>
      <c r="I165" s="74">
        <f t="shared" si="18"/>
        <v>1300</v>
      </c>
      <c r="J165" s="74">
        <f t="shared" si="18"/>
        <v>1300</v>
      </c>
      <c r="K165" s="74">
        <f t="shared" si="18"/>
        <v>1300</v>
      </c>
      <c r="L165" s="74">
        <f t="shared" si="18"/>
        <v>1300</v>
      </c>
      <c r="M165" s="74">
        <f t="shared" si="18"/>
        <v>1300</v>
      </c>
      <c r="N165" s="74">
        <f t="shared" si="18"/>
        <v>1300</v>
      </c>
      <c r="O165" s="74">
        <f t="shared" si="18"/>
        <v>1300</v>
      </c>
      <c r="P165" s="74">
        <f t="shared" si="18"/>
        <v>1300</v>
      </c>
      <c r="Q165" s="74">
        <f t="shared" si="18"/>
        <v>1300</v>
      </c>
      <c r="R165" s="74">
        <f t="shared" si="18"/>
        <v>1300</v>
      </c>
      <c r="S165" s="74">
        <f t="shared" si="18"/>
        <v>1300</v>
      </c>
      <c r="T165" s="74">
        <f t="shared" si="18"/>
        <v>1300</v>
      </c>
      <c r="U165" s="74">
        <f t="shared" si="18"/>
        <v>1300</v>
      </c>
      <c r="V165" s="74">
        <f t="shared" si="18"/>
        <v>1300</v>
      </c>
      <c r="W165" s="74">
        <f t="shared" si="18"/>
        <v>1300</v>
      </c>
      <c r="X165" s="74">
        <f t="shared" si="18"/>
        <v>1300</v>
      </c>
      <c r="Y165" s="74">
        <f t="shared" si="18"/>
        <v>1300</v>
      </c>
      <c r="Z165" s="74">
        <f t="shared" si="18"/>
        <v>1300</v>
      </c>
      <c r="AA165" s="74">
        <f t="shared" si="18"/>
        <v>1300</v>
      </c>
      <c r="AB165" s="74">
        <f t="shared" si="18"/>
        <v>1300</v>
      </c>
      <c r="AC165" s="74">
        <f t="shared" si="18"/>
        <v>1300</v>
      </c>
      <c r="AD165" s="74">
        <f t="shared" si="18"/>
        <v>1300</v>
      </c>
      <c r="AE165" s="74">
        <f t="shared" si="18"/>
        <v>1300</v>
      </c>
      <c r="AF165" s="74">
        <f t="shared" si="18"/>
        <v>1300</v>
      </c>
    </row>
    <row r="166" spans="1:32" x14ac:dyDescent="0.15">
      <c r="A166" s="3" t="s">
        <v>736</v>
      </c>
      <c r="C166" s="74">
        <f>$B145-(C158-1)*$B153</f>
        <v>8400</v>
      </c>
      <c r="D166" s="74">
        <f>$B145-(D158-1)*$B153</f>
        <v>8120</v>
      </c>
      <c r="E166" s="74">
        <f t="shared" ref="E166:AF166" si="19">$B145-(E158-1)*$B153</f>
        <v>7840</v>
      </c>
      <c r="F166" s="74">
        <f t="shared" si="19"/>
        <v>7560</v>
      </c>
      <c r="G166" s="74">
        <f t="shared" si="19"/>
        <v>7280</v>
      </c>
      <c r="H166" s="74">
        <f t="shared" si="19"/>
        <v>7000</v>
      </c>
      <c r="I166" s="74">
        <f t="shared" si="19"/>
        <v>6720</v>
      </c>
      <c r="J166" s="74">
        <f t="shared" si="19"/>
        <v>6440</v>
      </c>
      <c r="K166" s="74">
        <f t="shared" si="19"/>
        <v>6160</v>
      </c>
      <c r="L166" s="74">
        <f t="shared" si="19"/>
        <v>5880</v>
      </c>
      <c r="M166" s="74">
        <f t="shared" si="19"/>
        <v>5600</v>
      </c>
      <c r="N166" s="74">
        <f t="shared" si="19"/>
        <v>5320</v>
      </c>
      <c r="O166" s="74">
        <f t="shared" si="19"/>
        <v>5040</v>
      </c>
      <c r="P166" s="74">
        <f t="shared" si="19"/>
        <v>4760</v>
      </c>
      <c r="Q166" s="74">
        <f t="shared" si="19"/>
        <v>4480</v>
      </c>
      <c r="R166" s="74">
        <f t="shared" si="19"/>
        <v>4200</v>
      </c>
      <c r="S166" s="74">
        <f t="shared" si="19"/>
        <v>3920</v>
      </c>
      <c r="T166" s="74">
        <f t="shared" si="19"/>
        <v>3640</v>
      </c>
      <c r="U166" s="74">
        <f t="shared" si="19"/>
        <v>3360</v>
      </c>
      <c r="V166" s="74">
        <f t="shared" si="19"/>
        <v>3080</v>
      </c>
      <c r="W166" s="74">
        <f t="shared" si="19"/>
        <v>2800</v>
      </c>
      <c r="X166" s="74">
        <f t="shared" si="19"/>
        <v>2520</v>
      </c>
      <c r="Y166" s="74">
        <f t="shared" si="19"/>
        <v>2240</v>
      </c>
      <c r="Z166" s="74">
        <f t="shared" si="19"/>
        <v>1960</v>
      </c>
      <c r="AA166" s="74">
        <f t="shared" si="19"/>
        <v>1680</v>
      </c>
      <c r="AB166" s="74">
        <f t="shared" si="19"/>
        <v>1400</v>
      </c>
      <c r="AC166" s="74">
        <f t="shared" si="19"/>
        <v>1120</v>
      </c>
      <c r="AD166" s="74">
        <f t="shared" si="19"/>
        <v>840</v>
      </c>
      <c r="AE166" s="74">
        <f t="shared" si="19"/>
        <v>560</v>
      </c>
      <c r="AF166" s="74">
        <f t="shared" si="19"/>
        <v>280</v>
      </c>
    </row>
    <row r="167" spans="1:32" x14ac:dyDescent="0.15">
      <c r="A167" s="3" t="s">
        <v>737</v>
      </c>
      <c r="C167" s="74">
        <v>0</v>
      </c>
      <c r="D167" s="74">
        <f>C167</f>
        <v>0</v>
      </c>
      <c r="E167" s="74">
        <f t="shared" ref="E167:AF167" si="20">D167</f>
        <v>0</v>
      </c>
      <c r="F167" s="74">
        <f t="shared" si="20"/>
        <v>0</v>
      </c>
      <c r="G167" s="74">
        <f t="shared" si="20"/>
        <v>0</v>
      </c>
      <c r="H167" s="74">
        <f t="shared" si="20"/>
        <v>0</v>
      </c>
      <c r="I167" s="74">
        <f t="shared" si="20"/>
        <v>0</v>
      </c>
      <c r="J167" s="74">
        <f t="shared" si="20"/>
        <v>0</v>
      </c>
      <c r="K167" s="74">
        <f t="shared" si="20"/>
        <v>0</v>
      </c>
      <c r="L167" s="74">
        <f t="shared" si="20"/>
        <v>0</v>
      </c>
      <c r="M167" s="74">
        <f t="shared" si="20"/>
        <v>0</v>
      </c>
      <c r="N167" s="74">
        <f t="shared" si="20"/>
        <v>0</v>
      </c>
      <c r="O167" s="74">
        <f t="shared" si="20"/>
        <v>0</v>
      </c>
      <c r="P167" s="74">
        <f t="shared" si="20"/>
        <v>0</v>
      </c>
      <c r="Q167" s="74">
        <f t="shared" si="20"/>
        <v>0</v>
      </c>
      <c r="R167" s="74">
        <f t="shared" si="20"/>
        <v>0</v>
      </c>
      <c r="S167" s="74">
        <f t="shared" si="20"/>
        <v>0</v>
      </c>
      <c r="T167" s="74">
        <f t="shared" si="20"/>
        <v>0</v>
      </c>
      <c r="U167" s="74">
        <f t="shared" si="20"/>
        <v>0</v>
      </c>
      <c r="V167" s="74">
        <f t="shared" si="20"/>
        <v>0</v>
      </c>
      <c r="W167" s="74">
        <f t="shared" si="20"/>
        <v>0</v>
      </c>
      <c r="X167" s="74">
        <f t="shared" si="20"/>
        <v>0</v>
      </c>
      <c r="Y167" s="74">
        <f t="shared" si="20"/>
        <v>0</v>
      </c>
      <c r="Z167" s="74">
        <f t="shared" si="20"/>
        <v>0</v>
      </c>
      <c r="AA167" s="74">
        <f t="shared" si="20"/>
        <v>0</v>
      </c>
      <c r="AB167" s="74">
        <f t="shared" si="20"/>
        <v>0</v>
      </c>
      <c r="AC167" s="74">
        <f t="shared" si="20"/>
        <v>0</v>
      </c>
      <c r="AD167" s="74">
        <f t="shared" si="20"/>
        <v>0</v>
      </c>
      <c r="AE167" s="74">
        <f t="shared" si="20"/>
        <v>0</v>
      </c>
      <c r="AF167" s="74">
        <f t="shared" si="20"/>
        <v>0</v>
      </c>
    </row>
    <row r="168" spans="1:32" x14ac:dyDescent="0.15">
      <c r="A168" s="3" t="s">
        <v>196</v>
      </c>
      <c r="B168" s="3">
        <v>0</v>
      </c>
      <c r="C168" s="67">
        <f>C165/(C166+C167)</f>
        <v>0.15476190476190477</v>
      </c>
      <c r="D168" s="67">
        <f t="shared" ref="D168:AF168" si="21">D165/(D166+D167)</f>
        <v>0.16009852216748768</v>
      </c>
      <c r="E168" s="67">
        <f t="shared" si="21"/>
        <v>0.16581632653061223</v>
      </c>
      <c r="F168" s="67">
        <f t="shared" si="21"/>
        <v>0.17195767195767195</v>
      </c>
      <c r="G168" s="67">
        <f t="shared" si="21"/>
        <v>0.17857142857142858</v>
      </c>
      <c r="H168" s="67">
        <f t="shared" si="21"/>
        <v>0.18571428571428572</v>
      </c>
      <c r="I168" s="67">
        <f t="shared" si="21"/>
        <v>0.19345238095238096</v>
      </c>
      <c r="J168" s="67">
        <f t="shared" si="21"/>
        <v>0.20186335403726707</v>
      </c>
      <c r="K168" s="67">
        <f t="shared" si="21"/>
        <v>0.21103896103896103</v>
      </c>
      <c r="L168" s="67">
        <f t="shared" si="21"/>
        <v>0.22108843537414966</v>
      </c>
      <c r="M168" s="67">
        <f t="shared" si="21"/>
        <v>0.23214285714285715</v>
      </c>
      <c r="N168" s="67">
        <f t="shared" si="21"/>
        <v>0.24436090225563908</v>
      </c>
      <c r="O168" s="67">
        <f t="shared" si="21"/>
        <v>0.25793650793650796</v>
      </c>
      <c r="P168" s="67">
        <f t="shared" si="21"/>
        <v>0.27310924369747897</v>
      </c>
      <c r="Q168" s="67">
        <f t="shared" si="21"/>
        <v>0.29017857142857145</v>
      </c>
      <c r="R168" s="67">
        <f t="shared" si="21"/>
        <v>0.30952380952380953</v>
      </c>
      <c r="S168" s="67">
        <f t="shared" si="21"/>
        <v>0.33163265306122447</v>
      </c>
      <c r="T168" s="67">
        <f t="shared" si="21"/>
        <v>0.35714285714285715</v>
      </c>
      <c r="U168" s="67">
        <f t="shared" si="21"/>
        <v>0.38690476190476192</v>
      </c>
      <c r="V168" s="67">
        <f t="shared" si="21"/>
        <v>0.42207792207792205</v>
      </c>
      <c r="W168" s="67">
        <f t="shared" si="21"/>
        <v>0.4642857142857143</v>
      </c>
      <c r="X168" s="67">
        <f t="shared" si="21"/>
        <v>0.51587301587301593</v>
      </c>
      <c r="Y168" s="67">
        <f t="shared" si="21"/>
        <v>0.5803571428571429</v>
      </c>
      <c r="Z168" s="67">
        <f t="shared" si="21"/>
        <v>0.66326530612244894</v>
      </c>
      <c r="AA168" s="67">
        <f t="shared" si="21"/>
        <v>0.77380952380952384</v>
      </c>
      <c r="AB168" s="67">
        <f t="shared" si="21"/>
        <v>0.9285714285714286</v>
      </c>
      <c r="AC168" s="67">
        <f t="shared" si="21"/>
        <v>1.1607142857142858</v>
      </c>
      <c r="AD168" s="67">
        <f t="shared" si="21"/>
        <v>1.5476190476190477</v>
      </c>
      <c r="AE168" s="67">
        <f t="shared" si="21"/>
        <v>2.3214285714285716</v>
      </c>
      <c r="AF168" s="67">
        <f t="shared" si="21"/>
        <v>4.6428571428571432</v>
      </c>
    </row>
    <row r="169" spans="1:32" x14ac:dyDescent="0.15">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c r="AE169" s="67"/>
      <c r="AF169" s="67"/>
    </row>
    <row r="170" spans="1:32" x14ac:dyDescent="0.15">
      <c r="A170" s="7" t="s">
        <v>311</v>
      </c>
      <c r="B170" s="115">
        <f>C165/AVERAGE(0,B145)</f>
        <v>0.30952380952380953</v>
      </c>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c r="AE170" s="67"/>
      <c r="AF170" s="67"/>
    </row>
    <row r="171" spans="1:32" x14ac:dyDescent="0.15">
      <c r="A171" s="7" t="s">
        <v>941</v>
      </c>
      <c r="B171" s="115">
        <f>AVERAGE(B168:AF168)</f>
        <v>0.598327565690842</v>
      </c>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c r="AE171" s="67"/>
      <c r="AF171" s="67"/>
    </row>
    <row r="173" spans="1:32" x14ac:dyDescent="0.15">
      <c r="A173" s="60" t="s">
        <v>734</v>
      </c>
    </row>
    <row r="174" spans="1:32" x14ac:dyDescent="0.15">
      <c r="A174" s="3" t="s">
        <v>364</v>
      </c>
      <c r="B174" s="80">
        <v>0.1</v>
      </c>
    </row>
    <row r="175" spans="1:32" ht="15" x14ac:dyDescent="0.15">
      <c r="A175" s="6" t="s">
        <v>730</v>
      </c>
      <c r="B175" s="74">
        <f>SUMPRODUCT($B162:B162,POWER(1+$B174,-$B158:B158))</f>
        <v>-8400</v>
      </c>
      <c r="C175" s="74">
        <f>SUMPRODUCT($B162:C162,POWER(1+$B174,-$B158:C158))</f>
        <v>-6963.636363636364</v>
      </c>
      <c r="D175" s="74">
        <f>SUMPRODUCT($B162:D162,POWER(1+$B174,-$B158:D158))</f>
        <v>-5657.8512396694223</v>
      </c>
      <c r="E175" s="74">
        <f>SUMPRODUCT($B162:E162,POWER(1+$B174,-$B158:E158))</f>
        <v>-4470.7738542449297</v>
      </c>
      <c r="F175" s="74">
        <f>SUMPRODUCT($B162:F162,POWER(1+$B174,-$B158:F158))</f>
        <v>-3391.6125947681185</v>
      </c>
      <c r="G175" s="74">
        <f>SUMPRODUCT($B162:G162,POWER(1+$B174,-$B158:G158))</f>
        <v>-2410.5569043346536</v>
      </c>
      <c r="H175" s="74">
        <f>SUMPRODUCT($B162:H162,POWER(1+$B174,-$B158:H158))</f>
        <v>-1518.6880948496855</v>
      </c>
      <c r="I175" s="74">
        <f>SUMPRODUCT($B162:I162,POWER(1+$B174,-$B158:I158))</f>
        <v>-707.89826804516929</v>
      </c>
      <c r="J175" s="74">
        <f>SUMPRODUCT($B162:J162,POWER(1+$B174,-$B158:J158))</f>
        <v>29.183392686209118</v>
      </c>
      <c r="K175" s="74">
        <f>SUMPRODUCT($B162:K162,POWER(1+$B174,-$B158:K158))</f>
        <v>699.25762971473489</v>
      </c>
      <c r="L175" s="74">
        <f>SUMPRODUCT($B162:L162,POWER(1+$B174,-$B158:L158))</f>
        <v>1308.4160270133946</v>
      </c>
      <c r="M175" s="74">
        <f>SUMPRODUCT($B162:M162,POWER(1+$B174,-$B158:M158))</f>
        <v>1862.1963881939942</v>
      </c>
      <c r="N175" s="74">
        <f>SUMPRODUCT($B162:N162,POWER(1+$B174,-$B158:N158))</f>
        <v>2365.6330801763575</v>
      </c>
      <c r="O175" s="74">
        <f>SUMPRODUCT($B162:O162,POWER(1+$B174,-$B158:O158))</f>
        <v>2823.3028001603243</v>
      </c>
      <c r="P175" s="74">
        <f>SUMPRODUCT($B162:P162,POWER(1+$B174,-$B158:P158))</f>
        <v>3239.3661819639301</v>
      </c>
      <c r="Q175" s="74">
        <f>SUMPRODUCT($B162:Q162,POWER(1+$B174,-$B158:Q158))</f>
        <v>3617.6056199672084</v>
      </c>
      <c r="R175" s="74">
        <f>SUMPRODUCT($B162:R162,POWER(1+$B174,-$B158:R158))</f>
        <v>3961.4596545156433</v>
      </c>
      <c r="S175" s="74">
        <f>SUMPRODUCT($B162:S162,POWER(1+$B174,-$B158:S158))</f>
        <v>4274.0542313778569</v>
      </c>
      <c r="T175" s="74">
        <f>SUMPRODUCT($B162:T162,POWER(1+$B174,-$B158:T158))</f>
        <v>4558.2311194344147</v>
      </c>
      <c r="U175" s="74">
        <f>SUMPRODUCT($B162:U162,POWER(1+$B174,-$B158:U158))</f>
        <v>4816.5737449403759</v>
      </c>
      <c r="V175" s="74">
        <f>SUMPRODUCT($B162:V162,POWER(1+$B174,-$B158:V158))</f>
        <v>5051.4306772185228</v>
      </c>
      <c r="W175" s="74">
        <f>SUMPRODUCT($B162:W162,POWER(1+$B174,-$B158:W158))</f>
        <v>5264.936979289565</v>
      </c>
      <c r="X175" s="74">
        <f>SUMPRODUCT($B162:X162,POWER(1+$B174,-$B158:X158))</f>
        <v>5459.0336175359671</v>
      </c>
      <c r="Y175" s="74">
        <f>SUMPRODUCT($B162:Y162,POWER(1+$B174,-$B158:Y158))</f>
        <v>5635.4851068508779</v>
      </c>
      <c r="Z175" s="74">
        <f>SUMPRODUCT($B162:Z162,POWER(1+$B174,-$B158:Z158))</f>
        <v>5795.8955516826154</v>
      </c>
      <c r="AA175" s="74">
        <f>SUMPRODUCT($B162:AA162,POWER(1+$B174,-$B158:AA158))</f>
        <v>5941.723228802377</v>
      </c>
      <c r="AB175" s="74">
        <f>SUMPRODUCT($B162:AB162,POWER(1+$B174,-$B158:AB158))</f>
        <v>6074.2938443657958</v>
      </c>
      <c r="AC175" s="74">
        <f>SUMPRODUCT($B162:AC162,POWER(1+$B174,-$B158:AC158))</f>
        <v>6194.8125857870864</v>
      </c>
      <c r="AD175" s="74">
        <f>SUMPRODUCT($B162:AD162,POWER(1+$B174,-$B158:AD158))</f>
        <v>6304.3750779882594</v>
      </c>
      <c r="AE175" s="74">
        <f>SUMPRODUCT($B162:AE162,POWER(1+$B174,-$B158:AE158))</f>
        <v>6403.9773436256892</v>
      </c>
      <c r="AF175" s="74">
        <f>SUMPRODUCT($B162:AF162,POWER(1+$B174,-$B158:AF158))</f>
        <v>6494.5248578415349</v>
      </c>
    </row>
    <row r="176" spans="1:32" x14ac:dyDescent="0.15">
      <c r="B176" s="74"/>
    </row>
    <row r="189" spans="1:2" x14ac:dyDescent="0.15">
      <c r="A189" s="7" t="s">
        <v>731</v>
      </c>
      <c r="B189" s="29">
        <f>K158-K175/(L175-K175)</f>
        <v>7.8520922754810174</v>
      </c>
    </row>
    <row r="190" spans="1:2" x14ac:dyDescent="0.15">
      <c r="A190" s="7" t="s">
        <v>732</v>
      </c>
      <c r="B190" s="74">
        <f>AF175</f>
        <v>6494.5248578415349</v>
      </c>
    </row>
    <row r="192" spans="1:2" x14ac:dyDescent="0.15">
      <c r="A192" s="60" t="s">
        <v>735</v>
      </c>
    </row>
    <row r="193" spans="1:3" x14ac:dyDescent="0.15">
      <c r="A193" s="7" t="s">
        <v>687</v>
      </c>
      <c r="B193" s="104">
        <v>0.16024075736114751</v>
      </c>
    </row>
    <row r="194" spans="1:3" ht="15" x14ac:dyDescent="0.15">
      <c r="A194" s="6" t="s">
        <v>396</v>
      </c>
      <c r="B194" s="74">
        <f>SUMPRODUCT(B162:AF162,POWER(1+B193,-B158:AF158))</f>
        <v>1346.0223709964146</v>
      </c>
    </row>
    <row r="195" spans="1:3" x14ac:dyDescent="0.15">
      <c r="A195" s="4"/>
      <c r="B195" s="109"/>
    </row>
    <row r="196" spans="1:3" ht="15" x14ac:dyDescent="0.15">
      <c r="A196" s="8" t="s">
        <v>369</v>
      </c>
    </row>
    <row r="197" spans="1:3" ht="15" x14ac:dyDescent="0.15">
      <c r="A197" s="6" t="s">
        <v>741</v>
      </c>
      <c r="B197" s="74">
        <v>8000</v>
      </c>
    </row>
    <row r="198" spans="1:3" ht="15" x14ac:dyDescent="0.15">
      <c r="A198" s="6" t="s">
        <v>1032</v>
      </c>
      <c r="B198" s="3">
        <v>7</v>
      </c>
    </row>
    <row r="199" spans="1:3" ht="15" x14ac:dyDescent="0.15">
      <c r="A199" s="6" t="s">
        <v>742</v>
      </c>
      <c r="B199" s="3">
        <v>8</v>
      </c>
    </row>
    <row r="200" spans="1:3" ht="15" x14ac:dyDescent="0.15">
      <c r="A200" s="6" t="s">
        <v>312</v>
      </c>
      <c r="B200" s="74">
        <f>(B197*B198/B199)-B222</f>
        <v>2000</v>
      </c>
    </row>
    <row r="201" spans="1:3" ht="15" x14ac:dyDescent="0.15">
      <c r="A201" s="6" t="s">
        <v>740</v>
      </c>
      <c r="B201" s="80">
        <v>0.25</v>
      </c>
    </row>
    <row r="202" spans="1:3" ht="15" x14ac:dyDescent="0.15">
      <c r="A202" s="6" t="s">
        <v>743</v>
      </c>
      <c r="B202" s="74">
        <f>B200*B201</f>
        <v>500</v>
      </c>
    </row>
    <row r="203" spans="1:3" x14ac:dyDescent="0.15">
      <c r="A203" s="6"/>
    </row>
    <row r="204" spans="1:3" ht="15" x14ac:dyDescent="0.15">
      <c r="A204" s="6" t="s">
        <v>744</v>
      </c>
      <c r="B204" s="74">
        <v>10500</v>
      </c>
    </row>
    <row r="205" spans="1:3" ht="15" x14ac:dyDescent="0.15">
      <c r="A205" s="6" t="s">
        <v>359</v>
      </c>
      <c r="B205" s="3">
        <v>7</v>
      </c>
    </row>
    <row r="206" spans="1:3" ht="15" x14ac:dyDescent="0.15">
      <c r="A206" s="6" t="s">
        <v>753</v>
      </c>
      <c r="B206" s="74">
        <v>500</v>
      </c>
    </row>
    <row r="207" spans="1:3" x14ac:dyDescent="0.15">
      <c r="A207" s="6"/>
    </row>
    <row r="208" spans="1:3" ht="15" x14ac:dyDescent="0.15">
      <c r="A208" s="6" t="s">
        <v>745</v>
      </c>
      <c r="B208" s="166">
        <v>100000</v>
      </c>
      <c r="C208" s="3" t="s">
        <v>771</v>
      </c>
    </row>
    <row r="209" spans="1:10" ht="15" x14ac:dyDescent="0.15">
      <c r="A209" s="6" t="s">
        <v>747</v>
      </c>
      <c r="B209" s="74">
        <f>SUM(B210:B212)</f>
        <v>0.38</v>
      </c>
    </row>
    <row r="210" spans="1:10" x14ac:dyDescent="0.15">
      <c r="A210" s="17" t="s">
        <v>748</v>
      </c>
      <c r="B210" s="192">
        <v>0.14000000000000001</v>
      </c>
    </row>
    <row r="211" spans="1:10" x14ac:dyDescent="0.15">
      <c r="A211" s="17" t="s">
        <v>749</v>
      </c>
      <c r="B211" s="192">
        <v>0.1</v>
      </c>
    </row>
    <row r="212" spans="1:10" x14ac:dyDescent="0.15">
      <c r="A212" s="17" t="s">
        <v>750</v>
      </c>
      <c r="B212" s="192">
        <v>0.14000000000000001</v>
      </c>
    </row>
    <row r="213" spans="1:10" ht="15" x14ac:dyDescent="0.15">
      <c r="A213" s="6" t="s">
        <v>746</v>
      </c>
      <c r="B213" s="74">
        <f>SUM(B214:B216)</f>
        <v>0.35</v>
      </c>
    </row>
    <row r="214" spans="1:10" x14ac:dyDescent="0.15">
      <c r="A214" s="17" t="s">
        <v>748</v>
      </c>
      <c r="B214" s="192">
        <v>0.12</v>
      </c>
    </row>
    <row r="215" spans="1:10" x14ac:dyDescent="0.15">
      <c r="A215" s="17" t="s">
        <v>749</v>
      </c>
      <c r="B215" s="192">
        <v>0.09</v>
      </c>
    </row>
    <row r="216" spans="1:10" x14ac:dyDescent="0.15">
      <c r="A216" s="17" t="s">
        <v>750</v>
      </c>
      <c r="B216" s="192">
        <f>B212</f>
        <v>0.14000000000000001</v>
      </c>
    </row>
    <row r="218" spans="1:10" x14ac:dyDescent="0.15">
      <c r="A218" s="60" t="s">
        <v>738</v>
      </c>
    </row>
    <row r="219" spans="1:10" ht="15" x14ac:dyDescent="0.15">
      <c r="A219" s="6" t="s">
        <v>769</v>
      </c>
      <c r="B219" s="74"/>
      <c r="C219" s="74">
        <f t="shared" ref="C219:I219" si="22">$B204/$B205-$B197/$B199</f>
        <v>500</v>
      </c>
      <c r="D219" s="74">
        <f t="shared" si="22"/>
        <v>500</v>
      </c>
      <c r="E219" s="74">
        <f t="shared" si="22"/>
        <v>500</v>
      </c>
      <c r="F219" s="74">
        <f t="shared" si="22"/>
        <v>500</v>
      </c>
      <c r="G219" s="74">
        <f t="shared" si="22"/>
        <v>500</v>
      </c>
      <c r="H219" s="74">
        <f t="shared" si="22"/>
        <v>500</v>
      </c>
      <c r="I219" s="74">
        <f t="shared" si="22"/>
        <v>500</v>
      </c>
      <c r="J219" s="74"/>
    </row>
    <row r="220" spans="1:10" x14ac:dyDescent="0.15">
      <c r="A220" s="6"/>
      <c r="B220" s="74"/>
      <c r="C220" s="74"/>
      <c r="D220" s="74"/>
      <c r="E220" s="74"/>
      <c r="F220" s="74"/>
      <c r="G220" s="74"/>
      <c r="H220" s="74"/>
      <c r="I220" s="74"/>
      <c r="J220" s="74"/>
    </row>
    <row r="221" spans="1:10" x14ac:dyDescent="0.15">
      <c r="A221" s="317" t="s">
        <v>716</v>
      </c>
      <c r="B221" s="343">
        <v>0</v>
      </c>
      <c r="C221" s="343">
        <v>1</v>
      </c>
      <c r="D221" s="343">
        <f t="shared" ref="D221:I221" si="23">C221+1</f>
        <v>2</v>
      </c>
      <c r="E221" s="343">
        <f t="shared" si="23"/>
        <v>3</v>
      </c>
      <c r="F221" s="343">
        <f t="shared" si="23"/>
        <v>4</v>
      </c>
      <c r="G221" s="343">
        <f t="shared" si="23"/>
        <v>5</v>
      </c>
      <c r="H221" s="343">
        <f t="shared" si="23"/>
        <v>6</v>
      </c>
      <c r="I221" s="343">
        <f t="shared" si="23"/>
        <v>7</v>
      </c>
      <c r="J221" s="343">
        <v>8</v>
      </c>
    </row>
    <row r="222" spans="1:10" ht="15" x14ac:dyDescent="0.15">
      <c r="A222" s="6" t="s">
        <v>739</v>
      </c>
      <c r="B222" s="74">
        <v>5000</v>
      </c>
      <c r="D222" s="74"/>
      <c r="E222" s="74"/>
      <c r="F222" s="74"/>
      <c r="G222" s="74"/>
      <c r="H222" s="74"/>
      <c r="I222" s="74"/>
    </row>
    <row r="223" spans="1:10" ht="15" x14ac:dyDescent="0.15">
      <c r="A223" s="6" t="s">
        <v>688</v>
      </c>
      <c r="B223" s="74">
        <v>-11000</v>
      </c>
      <c r="D223" s="74"/>
      <c r="E223" s="74"/>
      <c r="F223" s="74"/>
      <c r="G223" s="74"/>
      <c r="H223" s="74"/>
      <c r="I223" s="74" t="s">
        <v>350</v>
      </c>
      <c r="J223" s="74">
        <f>B206</f>
        <v>500</v>
      </c>
    </row>
    <row r="224" spans="1:10" ht="15" x14ac:dyDescent="0.15">
      <c r="A224" s="6" t="s">
        <v>754</v>
      </c>
      <c r="B224" s="74"/>
      <c r="C224" s="74">
        <f t="shared" ref="C224:I224" si="24">(SUM($B210:$B212)-SUM($B214:$B216))*$B208</f>
        <v>3000.0000000000027</v>
      </c>
      <c r="D224" s="74">
        <f t="shared" si="24"/>
        <v>3000.0000000000027</v>
      </c>
      <c r="E224" s="74">
        <f t="shared" si="24"/>
        <v>3000.0000000000027</v>
      </c>
      <c r="F224" s="74">
        <f t="shared" si="24"/>
        <v>3000.0000000000027</v>
      </c>
      <c r="G224" s="74">
        <f t="shared" si="24"/>
        <v>3000.0000000000027</v>
      </c>
      <c r="H224" s="74">
        <f t="shared" si="24"/>
        <v>3000.0000000000027</v>
      </c>
      <c r="I224" s="74">
        <f t="shared" si="24"/>
        <v>3000.0000000000027</v>
      </c>
    </row>
    <row r="225" spans="1:10" ht="15" x14ac:dyDescent="0.15">
      <c r="A225" s="6" t="s">
        <v>752</v>
      </c>
      <c r="B225" s="74"/>
      <c r="C225" s="74">
        <f t="shared" ref="C225:I225" si="25">-(C224-C219)*$B201</f>
        <v>-625.00000000000068</v>
      </c>
      <c r="D225" s="74">
        <f t="shared" si="25"/>
        <v>-625.00000000000068</v>
      </c>
      <c r="E225" s="74">
        <f t="shared" si="25"/>
        <v>-625.00000000000068</v>
      </c>
      <c r="F225" s="74">
        <f t="shared" si="25"/>
        <v>-625.00000000000068</v>
      </c>
      <c r="G225" s="74">
        <f t="shared" si="25"/>
        <v>-625.00000000000068</v>
      </c>
      <c r="H225" s="74">
        <f t="shared" si="25"/>
        <v>-625.00000000000068</v>
      </c>
      <c r="I225" s="74">
        <f t="shared" si="25"/>
        <v>-625.00000000000068</v>
      </c>
    </row>
    <row r="226" spans="1:10" ht="15" x14ac:dyDescent="0.15">
      <c r="A226" s="6" t="s">
        <v>743</v>
      </c>
      <c r="B226" s="74">
        <f>B202</f>
        <v>500</v>
      </c>
      <c r="D226" s="74"/>
      <c r="E226" s="74"/>
      <c r="F226" s="74"/>
      <c r="G226" s="74"/>
      <c r="H226" s="74"/>
      <c r="I226" s="74"/>
    </row>
    <row r="227" spans="1:10" ht="15" x14ac:dyDescent="0.15">
      <c r="A227" s="4" t="s">
        <v>395</v>
      </c>
      <c r="B227" s="109">
        <f>SUM(B222:B226)</f>
        <v>-5500</v>
      </c>
      <c r="C227" s="109">
        <f>SUM(C222:C226)</f>
        <v>2375.0000000000018</v>
      </c>
      <c r="D227" s="109">
        <f t="shared" ref="D227:J227" si="26">SUM(D222:D226)</f>
        <v>2375.0000000000018</v>
      </c>
      <c r="E227" s="109">
        <f t="shared" si="26"/>
        <v>2375.0000000000018</v>
      </c>
      <c r="F227" s="109">
        <f t="shared" si="26"/>
        <v>2375.0000000000018</v>
      </c>
      <c r="G227" s="109">
        <f t="shared" si="26"/>
        <v>2375.0000000000018</v>
      </c>
      <c r="H227" s="109">
        <f t="shared" si="26"/>
        <v>2375.0000000000018</v>
      </c>
      <c r="I227" s="109">
        <f t="shared" si="26"/>
        <v>2375.0000000000018</v>
      </c>
      <c r="J227" s="109">
        <f t="shared" si="26"/>
        <v>500</v>
      </c>
    </row>
    <row r="228" spans="1:10" x14ac:dyDescent="0.15">
      <c r="A228" s="6"/>
      <c r="B228" s="68"/>
      <c r="C228" s="68"/>
      <c r="D228" s="68"/>
      <c r="E228" s="68"/>
      <c r="F228" s="68"/>
      <c r="G228" s="68"/>
      <c r="H228" s="68"/>
      <c r="I228" s="68"/>
    </row>
    <row r="229" spans="1:10" ht="15" x14ac:dyDescent="0.15">
      <c r="A229" s="6" t="s">
        <v>391</v>
      </c>
      <c r="B229" s="80">
        <v>0.1</v>
      </c>
    </row>
    <row r="230" spans="1:10" ht="15" x14ac:dyDescent="0.15">
      <c r="A230" s="6" t="s">
        <v>396</v>
      </c>
      <c r="B230" s="74">
        <f>NPV(B229,C227:J227)</f>
        <v>11795.748382125583</v>
      </c>
    </row>
    <row r="231" spans="1:10" x14ac:dyDescent="0.15">
      <c r="A231" s="6"/>
      <c r="B231" s="74"/>
    </row>
    <row r="232" spans="1:10" ht="15" x14ac:dyDescent="0.15">
      <c r="A232" s="6" t="s">
        <v>509</v>
      </c>
      <c r="B232" s="74">
        <f>B227</f>
        <v>-5500</v>
      </c>
      <c r="C232" s="91">
        <f>C227/(1+$B$229)^C221</f>
        <v>2159.0909090909104</v>
      </c>
      <c r="D232" s="91">
        <f t="shared" ref="D232:J232" si="27">D227/(1+$B$229)^D221</f>
        <v>1962.809917355373</v>
      </c>
      <c r="E232" s="91">
        <f t="shared" si="27"/>
        <v>1784.372652141248</v>
      </c>
      <c r="F232" s="91">
        <f t="shared" si="27"/>
        <v>1622.1569564920437</v>
      </c>
      <c r="G232" s="91">
        <f t="shared" si="27"/>
        <v>1474.6881422654942</v>
      </c>
      <c r="H232" s="91">
        <f t="shared" si="27"/>
        <v>1340.6255838777217</v>
      </c>
      <c r="I232" s="91">
        <f t="shared" si="27"/>
        <v>1218.7505307979288</v>
      </c>
      <c r="J232" s="91">
        <f t="shared" si="27"/>
        <v>233.25369010486659</v>
      </c>
    </row>
    <row r="233" spans="1:10" ht="15" x14ac:dyDescent="0.15">
      <c r="A233" s="6" t="s">
        <v>730</v>
      </c>
      <c r="B233" s="74">
        <f>B232</f>
        <v>-5500</v>
      </c>
      <c r="C233" s="74">
        <f>SUMPRODUCT($B227:C227,POWER(1+$B229,-$B221:C221))</f>
        <v>-3340.9090909090892</v>
      </c>
      <c r="D233" s="74">
        <f>SUMPRODUCT($B227:D227,POWER(1+$B229,-$B221:D221))</f>
        <v>-1378.0991735537159</v>
      </c>
      <c r="E233" s="74">
        <f>SUMPRODUCT($B227:E227,POWER(1+$B229,-$B221:E221))</f>
        <v>406.27347858753205</v>
      </c>
      <c r="F233" s="74">
        <f>SUMPRODUCT($B227:F227,POWER(1+$B229,-$B221:F221))</f>
        <v>2028.4304350795758</v>
      </c>
      <c r="G233" s="74">
        <f>SUMPRODUCT($B227:G227,POWER(1+$B229,-$B221:G221))</f>
        <v>3503.1185773450698</v>
      </c>
      <c r="H233" s="74">
        <f>SUMPRODUCT($B227:H227,POWER(1+$B229,-$B221:H221))</f>
        <v>4843.7441612227922</v>
      </c>
      <c r="I233" s="74">
        <f>SUMPRODUCT($B227:I227,POWER(1+$B229,-$B221:I221))</f>
        <v>6062.4946920207212</v>
      </c>
    </row>
    <row r="248" spans="1:3" x14ac:dyDescent="0.15">
      <c r="A248" s="7" t="s">
        <v>731</v>
      </c>
      <c r="B248" s="68">
        <f>C221-C233/(D233-C233)</f>
        <v>2.7021052631578923</v>
      </c>
      <c r="C248" s="3" t="s">
        <v>506</v>
      </c>
    </row>
    <row r="249" spans="1:3" x14ac:dyDescent="0.15">
      <c r="A249" s="7"/>
      <c r="B249" s="68"/>
    </row>
    <row r="251" spans="1:3" ht="15" x14ac:dyDescent="0.15">
      <c r="A251" s="8" t="s">
        <v>374</v>
      </c>
    </row>
    <row r="253" spans="1:3" x14ac:dyDescent="0.15">
      <c r="A253" s="3" t="s">
        <v>929</v>
      </c>
      <c r="B253" s="3">
        <v>500</v>
      </c>
    </row>
    <row r="254" spans="1:3" x14ac:dyDescent="0.15">
      <c r="A254" s="3" t="s">
        <v>1196</v>
      </c>
      <c r="B254" s="3">
        <v>433</v>
      </c>
    </row>
    <row r="255" spans="1:3" x14ac:dyDescent="0.15">
      <c r="A255" s="3" t="s">
        <v>966</v>
      </c>
      <c r="B255" s="3">
        <v>500</v>
      </c>
    </row>
    <row r="256" spans="1:3" x14ac:dyDescent="0.15">
      <c r="A256" s="3" t="s">
        <v>967</v>
      </c>
      <c r="B256" s="80">
        <v>0.25</v>
      </c>
    </row>
    <row r="258" spans="1:8" x14ac:dyDescent="0.15">
      <c r="A258" s="7" t="s">
        <v>968</v>
      </c>
    </row>
    <row r="259" spans="1:8" x14ac:dyDescent="0.15">
      <c r="A259" s="3" t="s">
        <v>969</v>
      </c>
      <c r="B259" s="3">
        <v>5</v>
      </c>
    </row>
    <row r="261" spans="1:8" x14ac:dyDescent="0.15">
      <c r="A261" s="317" t="s">
        <v>970</v>
      </c>
      <c r="B261" s="317">
        <v>0</v>
      </c>
      <c r="C261" s="317">
        <v>1</v>
      </c>
      <c r="D261" s="317">
        <f>C261+1</f>
        <v>2</v>
      </c>
      <c r="E261" s="317">
        <f>D261+1</f>
        <v>3</v>
      </c>
      <c r="F261" s="317">
        <f>E261+1</f>
        <v>4</v>
      </c>
      <c r="G261" s="317">
        <f>F261+1</f>
        <v>5</v>
      </c>
    </row>
    <row r="262" spans="1:8" x14ac:dyDescent="0.15">
      <c r="A262" s="3" t="s">
        <v>929</v>
      </c>
      <c r="B262" s="3">
        <f>-B253</f>
        <v>-500</v>
      </c>
    </row>
    <row r="263" spans="1:8" x14ac:dyDescent="0.15">
      <c r="A263" s="3" t="s">
        <v>966</v>
      </c>
      <c r="B263" s="3">
        <f>-B255</f>
        <v>-500</v>
      </c>
      <c r="G263" s="3">
        <f>+B255</f>
        <v>500</v>
      </c>
    </row>
    <row r="264" spans="1:8" x14ac:dyDescent="0.15">
      <c r="A264" s="3" t="s">
        <v>69</v>
      </c>
      <c r="B264" s="3">
        <v>0</v>
      </c>
      <c r="C264" s="3">
        <f>$B254</f>
        <v>433</v>
      </c>
      <c r="D264" s="3">
        <f>$B254</f>
        <v>433</v>
      </c>
      <c r="E264" s="3">
        <f>$B254</f>
        <v>433</v>
      </c>
      <c r="F264" s="3">
        <f>$B254</f>
        <v>433</v>
      </c>
      <c r="G264" s="3">
        <f>$B254</f>
        <v>433</v>
      </c>
    </row>
    <row r="265" spans="1:8" x14ac:dyDescent="0.15">
      <c r="A265" s="3" t="s">
        <v>971</v>
      </c>
      <c r="B265" s="3">
        <v>0</v>
      </c>
      <c r="C265" s="3">
        <f>$B253/$B259</f>
        <v>100</v>
      </c>
      <c r="D265" s="3">
        <f>$B253/$B259</f>
        <v>100</v>
      </c>
      <c r="E265" s="3">
        <f>$B253/$B259</f>
        <v>100</v>
      </c>
      <c r="F265" s="3">
        <f>$B253/$B259</f>
        <v>100</v>
      </c>
      <c r="G265" s="3">
        <f>$B253/$B259</f>
        <v>100</v>
      </c>
    </row>
    <row r="266" spans="1:8" x14ac:dyDescent="0.15">
      <c r="A266" s="3" t="s">
        <v>1007</v>
      </c>
      <c r="B266" s="3">
        <v>0</v>
      </c>
      <c r="C266" s="3">
        <f>C264-C265</f>
        <v>333</v>
      </c>
      <c r="D266" s="3">
        <f>D264-D265</f>
        <v>333</v>
      </c>
      <c r="E266" s="3">
        <f>E264-E265</f>
        <v>333</v>
      </c>
      <c r="F266" s="3">
        <f>F264-F265</f>
        <v>333</v>
      </c>
      <c r="G266" s="3">
        <f>G264-G265</f>
        <v>333</v>
      </c>
    </row>
    <row r="267" spans="1:8" x14ac:dyDescent="0.15">
      <c r="A267" s="3" t="s">
        <v>629</v>
      </c>
      <c r="B267" s="3">
        <v>0</v>
      </c>
      <c r="C267" s="13">
        <f>C266*$B256</f>
        <v>83.25</v>
      </c>
      <c r="D267" s="13">
        <f>D266*$B256</f>
        <v>83.25</v>
      </c>
      <c r="E267" s="13">
        <f>E266*$B256</f>
        <v>83.25</v>
      </c>
      <c r="F267" s="13">
        <f>F266*$B256</f>
        <v>83.25</v>
      </c>
      <c r="G267" s="13">
        <f>G266*$B256</f>
        <v>83.25</v>
      </c>
    </row>
    <row r="268" spans="1:8" x14ac:dyDescent="0.15">
      <c r="A268" s="3" t="s">
        <v>972</v>
      </c>
      <c r="B268" s="3">
        <f t="shared" ref="B268:G268" si="28">B262+B263+B264-B267</f>
        <v>-1000</v>
      </c>
      <c r="C268" s="13">
        <f>C262+C263+C264-C267</f>
        <v>349.75</v>
      </c>
      <c r="D268" s="13">
        <f t="shared" si="28"/>
        <v>349.75</v>
      </c>
      <c r="E268" s="13">
        <f t="shared" si="28"/>
        <v>349.75</v>
      </c>
      <c r="F268" s="13">
        <f t="shared" si="28"/>
        <v>349.75</v>
      </c>
      <c r="G268" s="13">
        <f t="shared" si="28"/>
        <v>849.75</v>
      </c>
    </row>
    <row r="270" spans="1:8" x14ac:dyDescent="0.15">
      <c r="A270" s="7" t="s">
        <v>687</v>
      </c>
      <c r="B270" s="104">
        <f>IRR(B268:G268)</f>
        <v>0.29379218258559736</v>
      </c>
    </row>
    <row r="271" spans="1:8" x14ac:dyDescent="0.15">
      <c r="A271" s="3" t="s">
        <v>1353</v>
      </c>
      <c r="B271" s="3">
        <f>-B262-$B$263</f>
        <v>1000</v>
      </c>
      <c r="C271" s="3">
        <f>B271-C265</f>
        <v>900</v>
      </c>
      <c r="D271" s="3">
        <f>C271-D265</f>
        <v>800</v>
      </c>
      <c r="E271" s="3">
        <f>D271-E265</f>
        <v>700</v>
      </c>
      <c r="F271" s="3">
        <f>E271-F265</f>
        <v>600</v>
      </c>
      <c r="G271" s="3">
        <f>F271-G265</f>
        <v>500</v>
      </c>
    </row>
    <row r="272" spans="1:8" x14ac:dyDescent="0.15">
      <c r="A272" s="3" t="s">
        <v>1354</v>
      </c>
      <c r="C272" s="81">
        <f>(C266-C267)/((B271+C271)/2)</f>
        <v>0.26289473684210524</v>
      </c>
      <c r="D272" s="81">
        <f>(D266-D267)/((C271+D271)/2)</f>
        <v>0.29382352941176471</v>
      </c>
      <c r="E272" s="81">
        <f>(E266-E267)/((D271+E271)/2)</f>
        <v>0.33300000000000002</v>
      </c>
      <c r="F272" s="81">
        <f>(F266-F267)/((E271+F271)/2)</f>
        <v>0.38423076923076921</v>
      </c>
      <c r="G272" s="81">
        <f>(G266-G267)/((F271+G271)/2)</f>
        <v>0.4540909090909091</v>
      </c>
      <c r="H272" s="193">
        <f>AVERAGE(C272:G272)</f>
        <v>0.34560798891510963</v>
      </c>
    </row>
    <row r="274" spans="1:8" x14ac:dyDescent="0.15">
      <c r="A274" s="7" t="s">
        <v>968</v>
      </c>
    </row>
    <row r="275" spans="1:8" x14ac:dyDescent="0.15">
      <c r="A275" s="3" t="s">
        <v>973</v>
      </c>
      <c r="B275" s="3">
        <v>5</v>
      </c>
    </row>
    <row r="277" spans="1:8" x14ac:dyDescent="0.15">
      <c r="A277" s="317" t="s">
        <v>970</v>
      </c>
      <c r="B277" s="317">
        <v>0</v>
      </c>
      <c r="C277" s="317">
        <v>1</v>
      </c>
      <c r="D277" s="317">
        <f>C277+1</f>
        <v>2</v>
      </c>
      <c r="E277" s="317">
        <f>D277+1</f>
        <v>3</v>
      </c>
      <c r="F277" s="317">
        <f>E277+1</f>
        <v>4</v>
      </c>
      <c r="G277" s="317">
        <f>F277+1</f>
        <v>5</v>
      </c>
    </row>
    <row r="278" spans="1:8" x14ac:dyDescent="0.15">
      <c r="A278" s="3" t="s">
        <v>929</v>
      </c>
      <c r="B278" s="3">
        <f>-B253</f>
        <v>-500</v>
      </c>
    </row>
    <row r="279" spans="1:8" x14ac:dyDescent="0.15">
      <c r="A279" s="3" t="s">
        <v>966</v>
      </c>
      <c r="B279" s="3">
        <f>-B255</f>
        <v>-500</v>
      </c>
      <c r="G279" s="3">
        <f>B255</f>
        <v>500</v>
      </c>
    </row>
    <row r="280" spans="1:8" x14ac:dyDescent="0.15">
      <c r="A280" s="3" t="s">
        <v>69</v>
      </c>
      <c r="B280" s="3">
        <v>0</v>
      </c>
      <c r="C280" s="3">
        <f>$B254</f>
        <v>433</v>
      </c>
      <c r="D280" s="3">
        <f>$B254</f>
        <v>433</v>
      </c>
      <c r="E280" s="3">
        <f>$B254</f>
        <v>433</v>
      </c>
      <c r="F280" s="3">
        <f>$B254</f>
        <v>433</v>
      </c>
      <c r="G280" s="3">
        <f>$B254</f>
        <v>433</v>
      </c>
    </row>
    <row r="281" spans="1:8" x14ac:dyDescent="0.15">
      <c r="A281" s="3" t="s">
        <v>971</v>
      </c>
      <c r="B281" s="3">
        <v>0</v>
      </c>
      <c r="C281" s="3">
        <f>B253*0.4</f>
        <v>200</v>
      </c>
      <c r="D281" s="3">
        <f>B253*0.3</f>
        <v>150</v>
      </c>
      <c r="E281" s="3">
        <f>B253*0.2</f>
        <v>100</v>
      </c>
      <c r="F281" s="3">
        <f>B253*0.05</f>
        <v>25</v>
      </c>
      <c r="G281" s="3">
        <f>B253*0.05</f>
        <v>25</v>
      </c>
    </row>
    <row r="282" spans="1:8" x14ac:dyDescent="0.15">
      <c r="A282" s="3" t="s">
        <v>1007</v>
      </c>
      <c r="B282" s="3">
        <v>0</v>
      </c>
      <c r="C282" s="3">
        <f>C280-C281</f>
        <v>233</v>
      </c>
      <c r="D282" s="3">
        <f>D280-D281</f>
        <v>283</v>
      </c>
      <c r="E282" s="3">
        <f>E280-E281</f>
        <v>333</v>
      </c>
      <c r="F282" s="3">
        <f>F280-F281</f>
        <v>408</v>
      </c>
      <c r="G282" s="3">
        <f>G280-G281</f>
        <v>408</v>
      </c>
    </row>
    <row r="283" spans="1:8" x14ac:dyDescent="0.15">
      <c r="A283" s="3" t="s">
        <v>629</v>
      </c>
      <c r="B283" s="3">
        <v>0</v>
      </c>
      <c r="C283" s="13">
        <f>C282*$B256</f>
        <v>58.25</v>
      </c>
      <c r="D283" s="13">
        <f>D282*$B256</f>
        <v>70.75</v>
      </c>
      <c r="E283" s="13">
        <f>E282*$B256</f>
        <v>83.25</v>
      </c>
      <c r="F283" s="13">
        <f>F282*$B256</f>
        <v>102</v>
      </c>
      <c r="G283" s="13">
        <f>G282*$B256</f>
        <v>102</v>
      </c>
    </row>
    <row r="284" spans="1:8" x14ac:dyDescent="0.15">
      <c r="A284" s="3" t="s">
        <v>972</v>
      </c>
      <c r="B284" s="3">
        <f t="shared" ref="B284:G284" si="29">B278+B279+B280-B283</f>
        <v>-1000</v>
      </c>
      <c r="C284" s="13">
        <f t="shared" si="29"/>
        <v>374.75</v>
      </c>
      <c r="D284" s="13">
        <f t="shared" si="29"/>
        <v>362.25</v>
      </c>
      <c r="E284" s="13">
        <f t="shared" si="29"/>
        <v>349.75</v>
      </c>
      <c r="F284" s="13">
        <f t="shared" si="29"/>
        <v>331</v>
      </c>
      <c r="G284" s="13">
        <f t="shared" si="29"/>
        <v>831</v>
      </c>
    </row>
    <row r="285" spans="1:8" x14ac:dyDescent="0.15">
      <c r="A285" s="3" t="s">
        <v>196</v>
      </c>
      <c r="C285" s="13"/>
      <c r="D285" s="13"/>
      <c r="E285" s="13"/>
      <c r="F285" s="13"/>
      <c r="G285" s="13"/>
    </row>
    <row r="286" spans="1:8" x14ac:dyDescent="0.15">
      <c r="A286" s="7" t="s">
        <v>687</v>
      </c>
      <c r="B286" s="104">
        <f>IRR(B284:G284)</f>
        <v>0.30071121996697991</v>
      </c>
    </row>
    <row r="287" spans="1:8" x14ac:dyDescent="0.15">
      <c r="A287" s="3" t="s">
        <v>1353</v>
      </c>
      <c r="B287" s="3">
        <f>-B278-$B$263</f>
        <v>1000</v>
      </c>
      <c r="C287" s="3">
        <f>B287-C281</f>
        <v>800</v>
      </c>
      <c r="D287" s="3">
        <f>C287-D281</f>
        <v>650</v>
      </c>
      <c r="E287" s="3">
        <f>D287-E281</f>
        <v>550</v>
      </c>
      <c r="F287" s="3">
        <f>E287-F281</f>
        <v>525</v>
      </c>
      <c r="G287" s="3">
        <f>F287-G281</f>
        <v>500</v>
      </c>
    </row>
    <row r="288" spans="1:8" x14ac:dyDescent="0.15">
      <c r="A288" s="3" t="s">
        <v>1354</v>
      </c>
      <c r="C288" s="81">
        <f>(C282-C283)/((B287+C287)/2)</f>
        <v>0.19416666666666665</v>
      </c>
      <c r="D288" s="81">
        <f>(D282-D283)/((C287+D287)/2)</f>
        <v>0.29275862068965519</v>
      </c>
      <c r="E288" s="81">
        <f>(E282-E283)/((D287+E287)/2)</f>
        <v>0.41625000000000001</v>
      </c>
      <c r="F288" s="81">
        <f>(F282-F283)/((E287+F287)/2)</f>
        <v>0.56930232558139537</v>
      </c>
      <c r="G288" s="81">
        <f>(G282-G283)/((F287+G287)/2)</f>
        <v>0.59707317073170729</v>
      </c>
      <c r="H288" s="193">
        <f>AVERAGE(C288:G288)</f>
        <v>0.41391015673388487</v>
      </c>
    </row>
    <row r="289" spans="1:1" x14ac:dyDescent="0.15">
      <c r="A289" s="3" t="s">
        <v>974</v>
      </c>
    </row>
    <row r="334" spans="1:1" x14ac:dyDescent="0.15">
      <c r="A334" s="7"/>
    </row>
    <row r="341" spans="1:3" x14ac:dyDescent="0.15">
      <c r="C341" s="80"/>
    </row>
    <row r="342" spans="1:3" x14ac:dyDescent="0.15">
      <c r="A342" s="194"/>
      <c r="C342" s="80"/>
    </row>
    <row r="343" spans="1:3" x14ac:dyDescent="0.15">
      <c r="A343" s="194"/>
    </row>
    <row r="346" spans="1:3" x14ac:dyDescent="0.15">
      <c r="B346" s="13"/>
    </row>
    <row r="349" spans="1:3" x14ac:dyDescent="0.15">
      <c r="B349" s="13"/>
    </row>
    <row r="350" spans="1:3" x14ac:dyDescent="0.15">
      <c r="B350" s="13"/>
    </row>
    <row r="351" spans="1:3" x14ac:dyDescent="0.15">
      <c r="B351" s="13"/>
    </row>
  </sheetData>
  <phoneticPr fontId="4" type="noConversion"/>
  <pageMargins left="0.78740157480314965" right="0.78740157480314965" top="0.98425196850393704" bottom="0.98425196850393704" header="0.51181102362204722" footer="0.51181102362204722"/>
  <pageSetup paperSize="9" fitToHeight="10"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euil33">
    <pageSetUpPr fitToPage="1"/>
  </sheetPr>
  <dimension ref="A1:IV94"/>
  <sheetViews>
    <sheetView showGridLines="0" workbookViewId="0"/>
  </sheetViews>
  <sheetFormatPr baseColWidth="10" defaultColWidth="11" defaultRowHeight="14" x14ac:dyDescent="0.15"/>
  <cols>
    <col min="1" max="1" width="15.83203125" style="3" customWidth="1"/>
    <col min="2" max="2" width="13.1640625" style="3" bestFit="1" customWidth="1"/>
    <col min="3" max="3" width="17.1640625" style="3" customWidth="1"/>
    <col min="4" max="16384" width="11" style="3"/>
  </cols>
  <sheetData>
    <row r="1" spans="1:256" ht="15" x14ac:dyDescent="0.15">
      <c r="A1" s="1" t="s">
        <v>1225</v>
      </c>
    </row>
    <row r="2" spans="1:256" ht="15" x14ac:dyDescent="0.15">
      <c r="A2" s="70" t="s">
        <v>781</v>
      </c>
      <c r="B2" s="3">
        <v>30.2</v>
      </c>
    </row>
    <row r="3" spans="1:256" x14ac:dyDescent="0.15">
      <c r="A3" s="3" t="s">
        <v>782</v>
      </c>
      <c r="B3" s="3">
        <v>5</v>
      </c>
    </row>
    <row r="4" spans="1:256" x14ac:dyDescent="0.15">
      <c r="A4" s="3" t="s">
        <v>783</v>
      </c>
      <c r="B4" s="3">
        <v>6</v>
      </c>
    </row>
    <row r="6" spans="1:256" x14ac:dyDescent="0.15">
      <c r="A6" s="60" t="s">
        <v>764</v>
      </c>
      <c r="J6" s="3" t="s">
        <v>350</v>
      </c>
    </row>
    <row r="7" spans="1:256" x14ac:dyDescent="0.15">
      <c r="A7" s="317" t="s">
        <v>716</v>
      </c>
      <c r="B7" s="317">
        <v>0</v>
      </c>
      <c r="C7" s="317">
        <v>1</v>
      </c>
      <c r="D7" s="317">
        <v>2</v>
      </c>
      <c r="E7" s="317">
        <v>3</v>
      </c>
      <c r="F7" s="317">
        <v>4</v>
      </c>
      <c r="G7" s="317">
        <v>5</v>
      </c>
      <c r="H7" s="317">
        <v>6</v>
      </c>
      <c r="I7" s="317">
        <f>H7+1</f>
        <v>7</v>
      </c>
      <c r="J7" s="317">
        <f t="shared" ref="J7:BU7" si="0">I7+1</f>
        <v>8</v>
      </c>
      <c r="K7" s="317">
        <f t="shared" si="0"/>
        <v>9</v>
      </c>
      <c r="L7" s="317">
        <f t="shared" si="0"/>
        <v>10</v>
      </c>
      <c r="M7" s="317">
        <f t="shared" si="0"/>
        <v>11</v>
      </c>
      <c r="N7" s="317">
        <f t="shared" si="0"/>
        <v>12</v>
      </c>
      <c r="O7" s="317">
        <f t="shared" si="0"/>
        <v>13</v>
      </c>
      <c r="P7" s="317">
        <f t="shared" si="0"/>
        <v>14</v>
      </c>
      <c r="Q7" s="317">
        <f t="shared" si="0"/>
        <v>15</v>
      </c>
      <c r="R7" s="317">
        <f t="shared" si="0"/>
        <v>16</v>
      </c>
      <c r="S7" s="317">
        <f t="shared" si="0"/>
        <v>17</v>
      </c>
      <c r="T7" s="317">
        <f t="shared" si="0"/>
        <v>18</v>
      </c>
      <c r="U7" s="317">
        <f t="shared" si="0"/>
        <v>19</v>
      </c>
      <c r="V7" s="317">
        <f t="shared" si="0"/>
        <v>20</v>
      </c>
      <c r="W7" s="317">
        <f t="shared" si="0"/>
        <v>21</v>
      </c>
      <c r="X7" s="317">
        <f t="shared" si="0"/>
        <v>22</v>
      </c>
      <c r="Y7" s="317">
        <f t="shared" si="0"/>
        <v>23</v>
      </c>
      <c r="Z7" s="317">
        <f t="shared" si="0"/>
        <v>24</v>
      </c>
      <c r="AA7" s="317">
        <f t="shared" si="0"/>
        <v>25</v>
      </c>
      <c r="AB7" s="317">
        <f t="shared" si="0"/>
        <v>26</v>
      </c>
      <c r="AC7" s="317">
        <f t="shared" si="0"/>
        <v>27</v>
      </c>
      <c r="AD7" s="317">
        <f t="shared" si="0"/>
        <v>28</v>
      </c>
      <c r="AE7" s="317">
        <f t="shared" si="0"/>
        <v>29</v>
      </c>
      <c r="AF7" s="317">
        <f t="shared" si="0"/>
        <v>30</v>
      </c>
      <c r="AG7" s="317">
        <f t="shared" si="0"/>
        <v>31</v>
      </c>
      <c r="AH7" s="317">
        <f t="shared" si="0"/>
        <v>32</v>
      </c>
      <c r="AI7" s="317">
        <f t="shared" si="0"/>
        <v>33</v>
      </c>
      <c r="AJ7" s="317">
        <f t="shared" si="0"/>
        <v>34</v>
      </c>
      <c r="AK7" s="317">
        <f t="shared" si="0"/>
        <v>35</v>
      </c>
      <c r="AL7" s="317">
        <f t="shared" si="0"/>
        <v>36</v>
      </c>
      <c r="AM7" s="317">
        <f t="shared" si="0"/>
        <v>37</v>
      </c>
      <c r="AN7" s="317">
        <f t="shared" si="0"/>
        <v>38</v>
      </c>
      <c r="AO7" s="317">
        <f t="shared" si="0"/>
        <v>39</v>
      </c>
      <c r="AP7" s="317">
        <f t="shared" si="0"/>
        <v>40</v>
      </c>
      <c r="AQ7" s="317">
        <f t="shared" si="0"/>
        <v>41</v>
      </c>
      <c r="AR7" s="317">
        <f t="shared" si="0"/>
        <v>42</v>
      </c>
      <c r="AS7" s="317">
        <f t="shared" si="0"/>
        <v>43</v>
      </c>
      <c r="AT7" s="317">
        <f t="shared" si="0"/>
        <v>44</v>
      </c>
      <c r="AU7" s="317">
        <f t="shared" si="0"/>
        <v>45</v>
      </c>
      <c r="AV7" s="317">
        <f t="shared" si="0"/>
        <v>46</v>
      </c>
      <c r="AW7" s="317">
        <f t="shared" si="0"/>
        <v>47</v>
      </c>
      <c r="AX7" s="317">
        <f t="shared" si="0"/>
        <v>48</v>
      </c>
      <c r="AY7" s="317">
        <f t="shared" si="0"/>
        <v>49</v>
      </c>
      <c r="AZ7" s="317">
        <f t="shared" si="0"/>
        <v>50</v>
      </c>
      <c r="BA7" s="317">
        <f t="shared" si="0"/>
        <v>51</v>
      </c>
      <c r="BB7" s="317">
        <f t="shared" si="0"/>
        <v>52</v>
      </c>
      <c r="BC7" s="317">
        <f t="shared" si="0"/>
        <v>53</v>
      </c>
      <c r="BD7" s="317">
        <f t="shared" si="0"/>
        <v>54</v>
      </c>
      <c r="BE7" s="317">
        <f t="shared" si="0"/>
        <v>55</v>
      </c>
      <c r="BF7" s="317">
        <f t="shared" si="0"/>
        <v>56</v>
      </c>
      <c r="BG7" s="317">
        <f t="shared" si="0"/>
        <v>57</v>
      </c>
      <c r="BH7" s="317">
        <f t="shared" si="0"/>
        <v>58</v>
      </c>
      <c r="BI7" s="317">
        <f t="shared" si="0"/>
        <v>59</v>
      </c>
      <c r="BJ7" s="317">
        <f t="shared" si="0"/>
        <v>60</v>
      </c>
      <c r="BK7" s="317">
        <f t="shared" si="0"/>
        <v>61</v>
      </c>
      <c r="BL7" s="317">
        <f t="shared" si="0"/>
        <v>62</v>
      </c>
      <c r="BM7" s="317">
        <f t="shared" si="0"/>
        <v>63</v>
      </c>
      <c r="BN7" s="317">
        <f t="shared" si="0"/>
        <v>64</v>
      </c>
      <c r="BO7" s="317">
        <f t="shared" si="0"/>
        <v>65</v>
      </c>
      <c r="BP7" s="317">
        <f t="shared" si="0"/>
        <v>66</v>
      </c>
      <c r="BQ7" s="317">
        <f t="shared" si="0"/>
        <v>67</v>
      </c>
      <c r="BR7" s="317">
        <f t="shared" si="0"/>
        <v>68</v>
      </c>
      <c r="BS7" s="317">
        <f t="shared" si="0"/>
        <v>69</v>
      </c>
      <c r="BT7" s="317">
        <f t="shared" si="0"/>
        <v>70</v>
      </c>
      <c r="BU7" s="317">
        <f t="shared" si="0"/>
        <v>71</v>
      </c>
      <c r="BV7" s="317">
        <f t="shared" ref="BV7:EG7" si="1">BU7+1</f>
        <v>72</v>
      </c>
      <c r="BW7" s="317">
        <f t="shared" si="1"/>
        <v>73</v>
      </c>
      <c r="BX7" s="317">
        <f t="shared" si="1"/>
        <v>74</v>
      </c>
      <c r="BY7" s="317">
        <f t="shared" si="1"/>
        <v>75</v>
      </c>
      <c r="BZ7" s="317">
        <f t="shared" si="1"/>
        <v>76</v>
      </c>
      <c r="CA7" s="317">
        <f t="shared" si="1"/>
        <v>77</v>
      </c>
      <c r="CB7" s="317">
        <f t="shared" si="1"/>
        <v>78</v>
      </c>
      <c r="CC7" s="317">
        <f t="shared" si="1"/>
        <v>79</v>
      </c>
      <c r="CD7" s="317">
        <f t="shared" si="1"/>
        <v>80</v>
      </c>
      <c r="CE7" s="317">
        <f t="shared" si="1"/>
        <v>81</v>
      </c>
      <c r="CF7" s="317">
        <f t="shared" si="1"/>
        <v>82</v>
      </c>
      <c r="CG7" s="317">
        <f t="shared" si="1"/>
        <v>83</v>
      </c>
      <c r="CH7" s="317">
        <f t="shared" si="1"/>
        <v>84</v>
      </c>
      <c r="CI7" s="317">
        <f t="shared" si="1"/>
        <v>85</v>
      </c>
      <c r="CJ7" s="317">
        <f t="shared" si="1"/>
        <v>86</v>
      </c>
      <c r="CK7" s="317">
        <f t="shared" si="1"/>
        <v>87</v>
      </c>
      <c r="CL7" s="317">
        <f t="shared" si="1"/>
        <v>88</v>
      </c>
      <c r="CM7" s="317">
        <f t="shared" si="1"/>
        <v>89</v>
      </c>
      <c r="CN7" s="317">
        <f t="shared" si="1"/>
        <v>90</v>
      </c>
      <c r="CO7" s="317">
        <f t="shared" si="1"/>
        <v>91</v>
      </c>
      <c r="CP7" s="317">
        <f t="shared" si="1"/>
        <v>92</v>
      </c>
      <c r="CQ7" s="317">
        <f t="shared" si="1"/>
        <v>93</v>
      </c>
      <c r="CR7" s="317">
        <f t="shared" si="1"/>
        <v>94</v>
      </c>
      <c r="CS7" s="317">
        <f t="shared" si="1"/>
        <v>95</v>
      </c>
      <c r="CT7" s="317">
        <f t="shared" si="1"/>
        <v>96</v>
      </c>
      <c r="CU7" s="317">
        <f t="shared" si="1"/>
        <v>97</v>
      </c>
      <c r="CV7" s="317">
        <f t="shared" si="1"/>
        <v>98</v>
      </c>
      <c r="CW7" s="317">
        <f t="shared" si="1"/>
        <v>99</v>
      </c>
      <c r="CX7" s="317">
        <f t="shared" si="1"/>
        <v>100</v>
      </c>
      <c r="CY7" s="317">
        <f t="shared" si="1"/>
        <v>101</v>
      </c>
      <c r="CZ7" s="317">
        <f t="shared" si="1"/>
        <v>102</v>
      </c>
      <c r="DA7" s="317">
        <f t="shared" si="1"/>
        <v>103</v>
      </c>
      <c r="DB7" s="317">
        <f t="shared" si="1"/>
        <v>104</v>
      </c>
      <c r="DC7" s="317">
        <f t="shared" si="1"/>
        <v>105</v>
      </c>
      <c r="DD7" s="317">
        <f t="shared" si="1"/>
        <v>106</v>
      </c>
      <c r="DE7" s="317">
        <f t="shared" si="1"/>
        <v>107</v>
      </c>
      <c r="DF7" s="317">
        <f t="shared" si="1"/>
        <v>108</v>
      </c>
      <c r="DG7" s="317">
        <f t="shared" si="1"/>
        <v>109</v>
      </c>
      <c r="DH7" s="317">
        <f t="shared" si="1"/>
        <v>110</v>
      </c>
      <c r="DI7" s="317">
        <f t="shared" si="1"/>
        <v>111</v>
      </c>
      <c r="DJ7" s="317">
        <f t="shared" si="1"/>
        <v>112</v>
      </c>
      <c r="DK7" s="317">
        <f t="shared" si="1"/>
        <v>113</v>
      </c>
      <c r="DL7" s="317">
        <f t="shared" si="1"/>
        <v>114</v>
      </c>
      <c r="DM7" s="317">
        <f t="shared" si="1"/>
        <v>115</v>
      </c>
      <c r="DN7" s="317">
        <f t="shared" si="1"/>
        <v>116</v>
      </c>
      <c r="DO7" s="317">
        <f t="shared" si="1"/>
        <v>117</v>
      </c>
      <c r="DP7" s="317">
        <f t="shared" si="1"/>
        <v>118</v>
      </c>
      <c r="DQ7" s="317">
        <f t="shared" si="1"/>
        <v>119</v>
      </c>
      <c r="DR7" s="317">
        <f t="shared" si="1"/>
        <v>120</v>
      </c>
      <c r="DS7" s="317">
        <f t="shared" si="1"/>
        <v>121</v>
      </c>
      <c r="DT7" s="317">
        <f t="shared" si="1"/>
        <v>122</v>
      </c>
      <c r="DU7" s="317">
        <f t="shared" si="1"/>
        <v>123</v>
      </c>
      <c r="DV7" s="317">
        <f t="shared" si="1"/>
        <v>124</v>
      </c>
      <c r="DW7" s="317">
        <f t="shared" si="1"/>
        <v>125</v>
      </c>
      <c r="DX7" s="317">
        <f t="shared" si="1"/>
        <v>126</v>
      </c>
      <c r="DY7" s="317">
        <f t="shared" si="1"/>
        <v>127</v>
      </c>
      <c r="DZ7" s="317">
        <f t="shared" si="1"/>
        <v>128</v>
      </c>
      <c r="EA7" s="317">
        <f t="shared" si="1"/>
        <v>129</v>
      </c>
      <c r="EB7" s="317">
        <f t="shared" si="1"/>
        <v>130</v>
      </c>
      <c r="EC7" s="317">
        <f t="shared" si="1"/>
        <v>131</v>
      </c>
      <c r="ED7" s="317">
        <f t="shared" si="1"/>
        <v>132</v>
      </c>
      <c r="EE7" s="317">
        <f t="shared" si="1"/>
        <v>133</v>
      </c>
      <c r="EF7" s="317">
        <f t="shared" si="1"/>
        <v>134</v>
      </c>
      <c r="EG7" s="317">
        <f t="shared" si="1"/>
        <v>135</v>
      </c>
      <c r="EH7" s="317">
        <f t="shared" ref="EH7:GS7" si="2">EG7+1</f>
        <v>136</v>
      </c>
      <c r="EI7" s="317">
        <f t="shared" si="2"/>
        <v>137</v>
      </c>
      <c r="EJ7" s="317">
        <f t="shared" si="2"/>
        <v>138</v>
      </c>
      <c r="EK7" s="317">
        <f t="shared" si="2"/>
        <v>139</v>
      </c>
      <c r="EL7" s="317">
        <f t="shared" si="2"/>
        <v>140</v>
      </c>
      <c r="EM7" s="317">
        <f t="shared" si="2"/>
        <v>141</v>
      </c>
      <c r="EN7" s="317">
        <f t="shared" si="2"/>
        <v>142</v>
      </c>
      <c r="EO7" s="317">
        <f t="shared" si="2"/>
        <v>143</v>
      </c>
      <c r="EP7" s="317">
        <f t="shared" si="2"/>
        <v>144</v>
      </c>
      <c r="EQ7" s="317">
        <f t="shared" si="2"/>
        <v>145</v>
      </c>
      <c r="ER7" s="317">
        <f t="shared" si="2"/>
        <v>146</v>
      </c>
      <c r="ES7" s="317">
        <f t="shared" si="2"/>
        <v>147</v>
      </c>
      <c r="ET7" s="317">
        <f t="shared" si="2"/>
        <v>148</v>
      </c>
      <c r="EU7" s="317">
        <f t="shared" si="2"/>
        <v>149</v>
      </c>
      <c r="EV7" s="317">
        <f t="shared" si="2"/>
        <v>150</v>
      </c>
      <c r="EW7" s="317">
        <f t="shared" si="2"/>
        <v>151</v>
      </c>
      <c r="EX7" s="317">
        <f t="shared" si="2"/>
        <v>152</v>
      </c>
      <c r="EY7" s="317">
        <f t="shared" si="2"/>
        <v>153</v>
      </c>
      <c r="EZ7" s="317">
        <f t="shared" si="2"/>
        <v>154</v>
      </c>
      <c r="FA7" s="317">
        <f t="shared" si="2"/>
        <v>155</v>
      </c>
      <c r="FB7" s="317">
        <f t="shared" si="2"/>
        <v>156</v>
      </c>
      <c r="FC7" s="317">
        <f t="shared" si="2"/>
        <v>157</v>
      </c>
      <c r="FD7" s="317">
        <f t="shared" si="2"/>
        <v>158</v>
      </c>
      <c r="FE7" s="317">
        <f t="shared" si="2"/>
        <v>159</v>
      </c>
      <c r="FF7" s="317">
        <f t="shared" si="2"/>
        <v>160</v>
      </c>
      <c r="FG7" s="317">
        <f t="shared" si="2"/>
        <v>161</v>
      </c>
      <c r="FH7" s="317">
        <f t="shared" si="2"/>
        <v>162</v>
      </c>
      <c r="FI7" s="317">
        <f t="shared" si="2"/>
        <v>163</v>
      </c>
      <c r="FJ7" s="317">
        <f t="shared" si="2"/>
        <v>164</v>
      </c>
      <c r="FK7" s="317">
        <f t="shared" si="2"/>
        <v>165</v>
      </c>
      <c r="FL7" s="317">
        <f t="shared" si="2"/>
        <v>166</v>
      </c>
      <c r="FM7" s="317">
        <f t="shared" si="2"/>
        <v>167</v>
      </c>
      <c r="FN7" s="317">
        <f t="shared" si="2"/>
        <v>168</v>
      </c>
      <c r="FO7" s="317">
        <f t="shared" si="2"/>
        <v>169</v>
      </c>
      <c r="FP7" s="317">
        <f t="shared" si="2"/>
        <v>170</v>
      </c>
      <c r="FQ7" s="317">
        <f t="shared" si="2"/>
        <v>171</v>
      </c>
      <c r="FR7" s="317">
        <f t="shared" si="2"/>
        <v>172</v>
      </c>
      <c r="FS7" s="317">
        <f t="shared" si="2"/>
        <v>173</v>
      </c>
      <c r="FT7" s="317">
        <f t="shared" si="2"/>
        <v>174</v>
      </c>
      <c r="FU7" s="317">
        <f t="shared" si="2"/>
        <v>175</v>
      </c>
      <c r="FV7" s="317">
        <f t="shared" si="2"/>
        <v>176</v>
      </c>
      <c r="FW7" s="317">
        <f t="shared" si="2"/>
        <v>177</v>
      </c>
      <c r="FX7" s="317">
        <f t="shared" si="2"/>
        <v>178</v>
      </c>
      <c r="FY7" s="317">
        <f t="shared" si="2"/>
        <v>179</v>
      </c>
      <c r="FZ7" s="317">
        <f t="shared" si="2"/>
        <v>180</v>
      </c>
      <c r="GA7" s="317">
        <f t="shared" si="2"/>
        <v>181</v>
      </c>
      <c r="GB7" s="317">
        <f t="shared" si="2"/>
        <v>182</v>
      </c>
      <c r="GC7" s="317">
        <f t="shared" si="2"/>
        <v>183</v>
      </c>
      <c r="GD7" s="317">
        <f t="shared" si="2"/>
        <v>184</v>
      </c>
      <c r="GE7" s="317">
        <f t="shared" si="2"/>
        <v>185</v>
      </c>
      <c r="GF7" s="317">
        <f t="shared" si="2"/>
        <v>186</v>
      </c>
      <c r="GG7" s="317">
        <f t="shared" si="2"/>
        <v>187</v>
      </c>
      <c r="GH7" s="317">
        <f t="shared" si="2"/>
        <v>188</v>
      </c>
      <c r="GI7" s="317">
        <f t="shared" si="2"/>
        <v>189</v>
      </c>
      <c r="GJ7" s="317">
        <f t="shared" si="2"/>
        <v>190</v>
      </c>
      <c r="GK7" s="317">
        <f t="shared" si="2"/>
        <v>191</v>
      </c>
      <c r="GL7" s="317">
        <f t="shared" si="2"/>
        <v>192</v>
      </c>
      <c r="GM7" s="317">
        <f t="shared" si="2"/>
        <v>193</v>
      </c>
      <c r="GN7" s="317">
        <f t="shared" si="2"/>
        <v>194</v>
      </c>
      <c r="GO7" s="317">
        <f t="shared" si="2"/>
        <v>195</v>
      </c>
      <c r="GP7" s="317">
        <f t="shared" si="2"/>
        <v>196</v>
      </c>
      <c r="GQ7" s="317">
        <f t="shared" si="2"/>
        <v>197</v>
      </c>
      <c r="GR7" s="317">
        <f t="shared" si="2"/>
        <v>198</v>
      </c>
      <c r="GS7" s="317">
        <f t="shared" si="2"/>
        <v>199</v>
      </c>
      <c r="GT7" s="317">
        <f t="shared" ref="GT7:IV7" si="3">GS7+1</f>
        <v>200</v>
      </c>
      <c r="GU7" s="317">
        <f t="shared" si="3"/>
        <v>201</v>
      </c>
      <c r="GV7" s="317">
        <f t="shared" si="3"/>
        <v>202</v>
      </c>
      <c r="GW7" s="317">
        <f t="shared" si="3"/>
        <v>203</v>
      </c>
      <c r="GX7" s="317">
        <f t="shared" si="3"/>
        <v>204</v>
      </c>
      <c r="GY7" s="317">
        <f t="shared" si="3"/>
        <v>205</v>
      </c>
      <c r="GZ7" s="317">
        <f t="shared" si="3"/>
        <v>206</v>
      </c>
      <c r="HA7" s="317">
        <f t="shared" si="3"/>
        <v>207</v>
      </c>
      <c r="HB7" s="317">
        <f t="shared" si="3"/>
        <v>208</v>
      </c>
      <c r="HC7" s="317">
        <f t="shared" si="3"/>
        <v>209</v>
      </c>
      <c r="HD7" s="317">
        <f t="shared" si="3"/>
        <v>210</v>
      </c>
      <c r="HE7" s="317">
        <f t="shared" si="3"/>
        <v>211</v>
      </c>
      <c r="HF7" s="317">
        <f t="shared" si="3"/>
        <v>212</v>
      </c>
      <c r="HG7" s="317">
        <f t="shared" si="3"/>
        <v>213</v>
      </c>
      <c r="HH7" s="317">
        <f t="shared" si="3"/>
        <v>214</v>
      </c>
      <c r="HI7" s="317">
        <f t="shared" si="3"/>
        <v>215</v>
      </c>
      <c r="HJ7" s="317">
        <f t="shared" si="3"/>
        <v>216</v>
      </c>
      <c r="HK7" s="317">
        <f t="shared" si="3"/>
        <v>217</v>
      </c>
      <c r="HL7" s="317">
        <f t="shared" si="3"/>
        <v>218</v>
      </c>
      <c r="HM7" s="317">
        <f t="shared" si="3"/>
        <v>219</v>
      </c>
      <c r="HN7" s="317">
        <f t="shared" si="3"/>
        <v>220</v>
      </c>
      <c r="HO7" s="317">
        <f t="shared" si="3"/>
        <v>221</v>
      </c>
      <c r="HP7" s="317">
        <f t="shared" si="3"/>
        <v>222</v>
      </c>
      <c r="HQ7" s="317">
        <f t="shared" si="3"/>
        <v>223</v>
      </c>
      <c r="HR7" s="317">
        <f t="shared" si="3"/>
        <v>224</v>
      </c>
      <c r="HS7" s="317">
        <f t="shared" si="3"/>
        <v>225</v>
      </c>
      <c r="HT7" s="317">
        <f t="shared" si="3"/>
        <v>226</v>
      </c>
      <c r="HU7" s="317">
        <f t="shared" si="3"/>
        <v>227</v>
      </c>
      <c r="HV7" s="317">
        <f t="shared" si="3"/>
        <v>228</v>
      </c>
      <c r="HW7" s="317">
        <f t="shared" si="3"/>
        <v>229</v>
      </c>
      <c r="HX7" s="317">
        <f t="shared" si="3"/>
        <v>230</v>
      </c>
      <c r="HY7" s="317">
        <f t="shared" si="3"/>
        <v>231</v>
      </c>
      <c r="HZ7" s="317">
        <f t="shared" si="3"/>
        <v>232</v>
      </c>
      <c r="IA7" s="317">
        <f t="shared" si="3"/>
        <v>233</v>
      </c>
      <c r="IB7" s="317">
        <f t="shared" si="3"/>
        <v>234</v>
      </c>
      <c r="IC7" s="317">
        <f t="shared" si="3"/>
        <v>235</v>
      </c>
      <c r="ID7" s="317">
        <f t="shared" si="3"/>
        <v>236</v>
      </c>
      <c r="IE7" s="317">
        <f t="shared" si="3"/>
        <v>237</v>
      </c>
      <c r="IF7" s="317">
        <f t="shared" si="3"/>
        <v>238</v>
      </c>
      <c r="IG7" s="317">
        <f t="shared" si="3"/>
        <v>239</v>
      </c>
      <c r="IH7" s="317">
        <f t="shared" si="3"/>
        <v>240</v>
      </c>
      <c r="II7" s="317">
        <f t="shared" si="3"/>
        <v>241</v>
      </c>
      <c r="IJ7" s="317">
        <f t="shared" si="3"/>
        <v>242</v>
      </c>
      <c r="IK7" s="317">
        <f t="shared" si="3"/>
        <v>243</v>
      </c>
      <c r="IL7" s="317">
        <f t="shared" si="3"/>
        <v>244</v>
      </c>
      <c r="IM7" s="317">
        <f t="shared" si="3"/>
        <v>245</v>
      </c>
      <c r="IN7" s="317">
        <f t="shared" si="3"/>
        <v>246</v>
      </c>
      <c r="IO7" s="317">
        <f t="shared" si="3"/>
        <v>247</v>
      </c>
      <c r="IP7" s="317">
        <f t="shared" si="3"/>
        <v>248</v>
      </c>
      <c r="IQ7" s="317">
        <f t="shared" si="3"/>
        <v>249</v>
      </c>
      <c r="IR7" s="317">
        <f t="shared" si="3"/>
        <v>250</v>
      </c>
      <c r="IS7" s="317">
        <f t="shared" si="3"/>
        <v>251</v>
      </c>
      <c r="IT7" s="317">
        <f t="shared" si="3"/>
        <v>252</v>
      </c>
      <c r="IU7" s="317">
        <f t="shared" si="3"/>
        <v>253</v>
      </c>
      <c r="IV7" s="317">
        <f t="shared" si="3"/>
        <v>254</v>
      </c>
    </row>
    <row r="8" spans="1:256" x14ac:dyDescent="0.15">
      <c r="A8" s="3" t="s">
        <v>515</v>
      </c>
      <c r="B8" s="3">
        <v>-30.2</v>
      </c>
      <c r="C8" s="3">
        <v>5</v>
      </c>
      <c r="D8" s="3">
        <v>5</v>
      </c>
      <c r="E8" s="3">
        <v>5</v>
      </c>
      <c r="F8" s="3">
        <v>5</v>
      </c>
      <c r="G8" s="3">
        <v>5</v>
      </c>
      <c r="H8" s="3">
        <v>6</v>
      </c>
      <c r="I8" s="3">
        <v>6</v>
      </c>
      <c r="J8" s="3">
        <v>6</v>
      </c>
      <c r="K8" s="3">
        <v>6</v>
      </c>
      <c r="L8" s="3">
        <v>6</v>
      </c>
      <c r="M8" s="3">
        <v>6</v>
      </c>
      <c r="N8" s="3">
        <v>6</v>
      </c>
      <c r="O8" s="3">
        <v>6</v>
      </c>
      <c r="P8" s="3">
        <v>6</v>
      </c>
      <c r="Q8" s="3">
        <v>6</v>
      </c>
      <c r="R8" s="3">
        <v>6</v>
      </c>
      <c r="S8" s="3">
        <v>6</v>
      </c>
      <c r="T8" s="3">
        <v>6</v>
      </c>
      <c r="U8" s="3">
        <v>6</v>
      </c>
      <c r="V8" s="3">
        <v>6</v>
      </c>
      <c r="W8" s="3">
        <v>6</v>
      </c>
      <c r="X8" s="3">
        <v>6</v>
      </c>
      <c r="Y8" s="3">
        <v>6</v>
      </c>
      <c r="Z8" s="3">
        <v>6</v>
      </c>
      <c r="AA8" s="3">
        <v>6</v>
      </c>
      <c r="AB8" s="3">
        <v>6</v>
      </c>
      <c r="AC8" s="3">
        <v>6</v>
      </c>
      <c r="AD8" s="3">
        <v>6</v>
      </c>
      <c r="AE8" s="3">
        <v>6</v>
      </c>
      <c r="AF8" s="3">
        <v>6</v>
      </c>
      <c r="AG8" s="3">
        <v>6</v>
      </c>
      <c r="AH8" s="3">
        <v>6</v>
      </c>
      <c r="AI8" s="3">
        <v>6</v>
      </c>
      <c r="AJ8" s="3">
        <v>6</v>
      </c>
      <c r="AK8" s="3">
        <v>6</v>
      </c>
      <c r="AL8" s="3">
        <v>6</v>
      </c>
      <c r="AM8" s="3">
        <v>6</v>
      </c>
      <c r="AN8" s="3">
        <v>6</v>
      </c>
      <c r="AO8" s="3">
        <v>6</v>
      </c>
      <c r="AP8" s="3">
        <v>6</v>
      </c>
      <c r="AQ8" s="3">
        <v>6</v>
      </c>
      <c r="AR8" s="3">
        <v>6</v>
      </c>
      <c r="AS8" s="3">
        <v>6</v>
      </c>
      <c r="AT8" s="3">
        <v>6</v>
      </c>
      <c r="AU8" s="3">
        <v>6</v>
      </c>
      <c r="AV8" s="3">
        <v>6</v>
      </c>
      <c r="AW8" s="3">
        <v>6</v>
      </c>
      <c r="AX8" s="3">
        <v>6</v>
      </c>
      <c r="AY8" s="3">
        <v>6</v>
      </c>
      <c r="AZ8" s="3">
        <v>6</v>
      </c>
      <c r="BA8" s="3">
        <v>6</v>
      </c>
      <c r="BB8" s="3">
        <v>6</v>
      </c>
      <c r="BC8" s="3">
        <v>6</v>
      </c>
      <c r="BD8" s="3">
        <v>6</v>
      </c>
      <c r="BE8" s="3">
        <v>6</v>
      </c>
      <c r="BF8" s="3">
        <v>6</v>
      </c>
      <c r="BG8" s="3">
        <v>6</v>
      </c>
      <c r="BH8" s="3">
        <v>6</v>
      </c>
      <c r="BI8" s="3">
        <v>6</v>
      </c>
      <c r="BJ8" s="3">
        <v>6</v>
      </c>
      <c r="BK8" s="3">
        <v>6</v>
      </c>
      <c r="BL8" s="3">
        <v>6</v>
      </c>
      <c r="BM8" s="3">
        <v>6</v>
      </c>
      <c r="BN8" s="3">
        <v>6</v>
      </c>
      <c r="BO8" s="3">
        <v>6</v>
      </c>
      <c r="BP8" s="3">
        <v>6</v>
      </c>
      <c r="BQ8" s="3">
        <v>6</v>
      </c>
      <c r="BR8" s="3">
        <v>6</v>
      </c>
      <c r="BS8" s="3">
        <v>6</v>
      </c>
      <c r="BT8" s="3">
        <v>6</v>
      </c>
      <c r="BU8" s="3">
        <v>6</v>
      </c>
      <c r="BV8" s="3">
        <v>6</v>
      </c>
      <c r="BW8" s="3">
        <v>6</v>
      </c>
      <c r="BX8" s="3">
        <v>6</v>
      </c>
      <c r="BY8" s="3">
        <v>6</v>
      </c>
      <c r="BZ8" s="3">
        <v>6</v>
      </c>
      <c r="CA8" s="3">
        <v>6</v>
      </c>
      <c r="CB8" s="3">
        <v>6</v>
      </c>
      <c r="CC8" s="3">
        <v>6</v>
      </c>
      <c r="CD8" s="3">
        <v>6</v>
      </c>
      <c r="CE8" s="3">
        <v>6</v>
      </c>
      <c r="CF8" s="3">
        <v>6</v>
      </c>
      <c r="CG8" s="3">
        <v>6</v>
      </c>
      <c r="CH8" s="3">
        <v>6</v>
      </c>
      <c r="CI8" s="3">
        <v>6</v>
      </c>
      <c r="CJ8" s="3">
        <v>6</v>
      </c>
      <c r="CK8" s="3">
        <v>6</v>
      </c>
      <c r="CL8" s="3">
        <v>6</v>
      </c>
      <c r="CM8" s="3">
        <v>6</v>
      </c>
      <c r="CN8" s="3">
        <v>6</v>
      </c>
      <c r="CO8" s="3">
        <v>6</v>
      </c>
      <c r="CP8" s="3">
        <v>6</v>
      </c>
      <c r="CQ8" s="3">
        <v>6</v>
      </c>
      <c r="CR8" s="3">
        <v>6</v>
      </c>
      <c r="CS8" s="3">
        <v>6</v>
      </c>
      <c r="CT8" s="3">
        <v>6</v>
      </c>
      <c r="CU8" s="3">
        <v>6</v>
      </c>
      <c r="CV8" s="3">
        <v>6</v>
      </c>
      <c r="CW8" s="3">
        <v>6</v>
      </c>
      <c r="CX8" s="3">
        <v>6</v>
      </c>
      <c r="CY8" s="3">
        <v>6</v>
      </c>
      <c r="CZ8" s="3">
        <v>6</v>
      </c>
      <c r="DA8" s="3">
        <v>6</v>
      </c>
      <c r="DB8" s="3">
        <v>6</v>
      </c>
      <c r="DC8" s="3">
        <v>6</v>
      </c>
      <c r="DD8" s="3">
        <v>6</v>
      </c>
      <c r="DE8" s="3">
        <v>6</v>
      </c>
      <c r="DF8" s="3">
        <v>6</v>
      </c>
      <c r="DG8" s="3">
        <v>6</v>
      </c>
      <c r="DH8" s="3">
        <v>6</v>
      </c>
      <c r="DI8" s="3">
        <v>6</v>
      </c>
      <c r="DJ8" s="3">
        <v>6</v>
      </c>
      <c r="DK8" s="3">
        <v>6</v>
      </c>
      <c r="DL8" s="3">
        <v>6</v>
      </c>
      <c r="DM8" s="3">
        <v>6</v>
      </c>
      <c r="DN8" s="3">
        <v>6</v>
      </c>
      <c r="DO8" s="3">
        <v>6</v>
      </c>
      <c r="DP8" s="3">
        <v>6</v>
      </c>
      <c r="DQ8" s="3">
        <v>6</v>
      </c>
      <c r="DR8" s="3">
        <v>6</v>
      </c>
      <c r="DS8" s="3">
        <v>6</v>
      </c>
      <c r="DT8" s="3">
        <v>6</v>
      </c>
      <c r="DU8" s="3">
        <v>6</v>
      </c>
      <c r="DV8" s="3">
        <v>6</v>
      </c>
      <c r="DW8" s="3">
        <v>6</v>
      </c>
      <c r="DX8" s="3">
        <v>6</v>
      </c>
      <c r="DY8" s="3">
        <v>6</v>
      </c>
      <c r="DZ8" s="3">
        <v>6</v>
      </c>
      <c r="EA8" s="3">
        <v>6</v>
      </c>
      <c r="EB8" s="3">
        <v>6</v>
      </c>
      <c r="EC8" s="3">
        <v>6</v>
      </c>
      <c r="ED8" s="3">
        <v>6</v>
      </c>
      <c r="EE8" s="3">
        <v>6</v>
      </c>
      <c r="EF8" s="3">
        <v>6</v>
      </c>
      <c r="EG8" s="3">
        <v>6</v>
      </c>
      <c r="EH8" s="3">
        <v>6</v>
      </c>
      <c r="EI8" s="3">
        <v>6</v>
      </c>
      <c r="EJ8" s="3">
        <v>6</v>
      </c>
      <c r="EK8" s="3">
        <v>6</v>
      </c>
      <c r="EL8" s="3">
        <v>6</v>
      </c>
      <c r="EM8" s="3">
        <v>6</v>
      </c>
      <c r="EN8" s="3">
        <v>6</v>
      </c>
      <c r="EO8" s="3">
        <v>6</v>
      </c>
      <c r="EP8" s="3">
        <v>6</v>
      </c>
      <c r="EQ8" s="3">
        <v>6</v>
      </c>
      <c r="ER8" s="3">
        <v>6</v>
      </c>
      <c r="ES8" s="3">
        <v>6</v>
      </c>
      <c r="ET8" s="3">
        <v>6</v>
      </c>
      <c r="EU8" s="3">
        <v>6</v>
      </c>
      <c r="EV8" s="3">
        <v>6</v>
      </c>
      <c r="EW8" s="3">
        <v>6</v>
      </c>
      <c r="EX8" s="3">
        <v>6</v>
      </c>
      <c r="EY8" s="3">
        <v>6</v>
      </c>
      <c r="EZ8" s="3">
        <v>6</v>
      </c>
      <c r="FA8" s="3">
        <v>6</v>
      </c>
      <c r="FB8" s="3">
        <v>6</v>
      </c>
      <c r="FC8" s="3">
        <v>6</v>
      </c>
      <c r="FD8" s="3">
        <v>6</v>
      </c>
      <c r="FE8" s="3">
        <v>6</v>
      </c>
      <c r="FF8" s="3">
        <v>6</v>
      </c>
      <c r="FG8" s="3">
        <v>6</v>
      </c>
      <c r="FH8" s="3">
        <v>6</v>
      </c>
      <c r="FI8" s="3">
        <v>6</v>
      </c>
      <c r="FJ8" s="3">
        <v>6</v>
      </c>
      <c r="FK8" s="3">
        <v>6</v>
      </c>
      <c r="FL8" s="3">
        <v>6</v>
      </c>
      <c r="FM8" s="3">
        <v>6</v>
      </c>
      <c r="FN8" s="3">
        <v>6</v>
      </c>
      <c r="FO8" s="3">
        <v>6</v>
      </c>
      <c r="FP8" s="3">
        <v>6</v>
      </c>
      <c r="FQ8" s="3">
        <v>6</v>
      </c>
      <c r="FR8" s="3">
        <v>6</v>
      </c>
      <c r="FS8" s="3">
        <v>6</v>
      </c>
      <c r="FT8" s="3">
        <v>6</v>
      </c>
      <c r="FU8" s="3">
        <v>6</v>
      </c>
      <c r="FV8" s="3">
        <v>6</v>
      </c>
      <c r="FW8" s="3">
        <v>6</v>
      </c>
      <c r="FX8" s="3">
        <v>6</v>
      </c>
      <c r="FY8" s="3">
        <v>6</v>
      </c>
      <c r="FZ8" s="3">
        <v>6</v>
      </c>
      <c r="GA8" s="3">
        <v>6</v>
      </c>
      <c r="GB8" s="3">
        <v>6</v>
      </c>
      <c r="GC8" s="3">
        <v>6</v>
      </c>
      <c r="GD8" s="3">
        <v>6</v>
      </c>
      <c r="GE8" s="3">
        <v>6</v>
      </c>
      <c r="GF8" s="3">
        <v>6</v>
      </c>
      <c r="GG8" s="3">
        <v>6</v>
      </c>
      <c r="GH8" s="3">
        <v>6</v>
      </c>
      <c r="GI8" s="3">
        <v>6</v>
      </c>
      <c r="GJ8" s="3">
        <v>6</v>
      </c>
      <c r="GK8" s="3">
        <v>6</v>
      </c>
      <c r="GL8" s="3">
        <v>6</v>
      </c>
      <c r="GM8" s="3">
        <v>6</v>
      </c>
      <c r="GN8" s="3">
        <v>6</v>
      </c>
      <c r="GO8" s="3">
        <v>6</v>
      </c>
      <c r="GP8" s="3">
        <v>6</v>
      </c>
      <c r="GQ8" s="3">
        <v>6</v>
      </c>
      <c r="GR8" s="3">
        <v>6</v>
      </c>
      <c r="GS8" s="3">
        <v>6</v>
      </c>
      <c r="GT8" s="3">
        <v>6</v>
      </c>
      <c r="GU8" s="3">
        <v>6</v>
      </c>
      <c r="GV8" s="3">
        <v>6</v>
      </c>
      <c r="GW8" s="3">
        <v>6</v>
      </c>
      <c r="GX8" s="3">
        <v>6</v>
      </c>
      <c r="GY8" s="3">
        <v>6</v>
      </c>
      <c r="GZ8" s="3">
        <v>6</v>
      </c>
      <c r="HA8" s="3">
        <v>6</v>
      </c>
      <c r="HB8" s="3">
        <v>6</v>
      </c>
      <c r="HC8" s="3">
        <v>6</v>
      </c>
      <c r="HD8" s="3">
        <v>6</v>
      </c>
      <c r="HE8" s="3">
        <v>6</v>
      </c>
      <c r="HF8" s="3">
        <v>6</v>
      </c>
      <c r="HG8" s="3">
        <v>6</v>
      </c>
      <c r="HH8" s="3">
        <v>6</v>
      </c>
      <c r="HI8" s="3">
        <v>6</v>
      </c>
      <c r="HJ8" s="3">
        <v>6</v>
      </c>
      <c r="HK8" s="3">
        <v>6</v>
      </c>
      <c r="HL8" s="3">
        <v>6</v>
      </c>
      <c r="HM8" s="3">
        <v>6</v>
      </c>
      <c r="HN8" s="3">
        <v>6</v>
      </c>
      <c r="HO8" s="3">
        <v>6</v>
      </c>
      <c r="HP8" s="3">
        <v>6</v>
      </c>
      <c r="HQ8" s="3">
        <v>6</v>
      </c>
      <c r="HR8" s="3">
        <v>6</v>
      </c>
      <c r="HS8" s="3">
        <v>6</v>
      </c>
      <c r="HT8" s="3">
        <v>6</v>
      </c>
      <c r="HU8" s="3">
        <v>6</v>
      </c>
      <c r="HV8" s="3">
        <v>6</v>
      </c>
      <c r="HW8" s="3">
        <v>6</v>
      </c>
      <c r="HX8" s="3">
        <v>6</v>
      </c>
      <c r="HY8" s="3">
        <v>6</v>
      </c>
      <c r="HZ8" s="3">
        <v>6</v>
      </c>
      <c r="IA8" s="3">
        <v>6</v>
      </c>
      <c r="IB8" s="3">
        <v>6</v>
      </c>
      <c r="IC8" s="3">
        <v>6</v>
      </c>
      <c r="ID8" s="3">
        <v>6</v>
      </c>
      <c r="IE8" s="3">
        <v>6</v>
      </c>
      <c r="IF8" s="3">
        <v>6</v>
      </c>
      <c r="IG8" s="3">
        <v>6</v>
      </c>
      <c r="IH8" s="3">
        <v>6</v>
      </c>
      <c r="II8" s="3">
        <v>6</v>
      </c>
      <c r="IJ8" s="3">
        <v>6</v>
      </c>
      <c r="IK8" s="3">
        <v>6</v>
      </c>
      <c r="IL8" s="3">
        <v>6</v>
      </c>
      <c r="IM8" s="3">
        <v>6</v>
      </c>
      <c r="IN8" s="3">
        <v>6</v>
      </c>
      <c r="IO8" s="3">
        <v>6</v>
      </c>
      <c r="IP8" s="3">
        <v>6</v>
      </c>
      <c r="IQ8" s="3">
        <v>6</v>
      </c>
      <c r="IR8" s="3">
        <v>6</v>
      </c>
      <c r="IS8" s="3">
        <v>6</v>
      </c>
      <c r="IT8" s="3">
        <v>6</v>
      </c>
      <c r="IU8" s="3">
        <v>6</v>
      </c>
      <c r="IV8" s="3">
        <v>6</v>
      </c>
    </row>
    <row r="9" spans="1:256" x14ac:dyDescent="0.15">
      <c r="A9" s="3" t="s">
        <v>350</v>
      </c>
      <c r="B9" s="74" t="s">
        <v>350</v>
      </c>
      <c r="C9" s="74" t="s">
        <v>350</v>
      </c>
      <c r="D9" s="74" t="s">
        <v>350</v>
      </c>
      <c r="E9" s="74" t="s">
        <v>350</v>
      </c>
      <c r="F9" s="74" t="s">
        <v>350</v>
      </c>
      <c r="G9" s="74" t="s">
        <v>350</v>
      </c>
      <c r="H9" s="74" t="s">
        <v>350</v>
      </c>
    </row>
    <row r="10" spans="1:256" x14ac:dyDescent="0.15">
      <c r="A10" s="7" t="s">
        <v>595</v>
      </c>
      <c r="B10" s="111">
        <f>IRR(B8:IS8)</f>
        <v>0.18003460677684546</v>
      </c>
    </row>
    <row r="11" spans="1:256" x14ac:dyDescent="0.15">
      <c r="A11" s="3" t="s">
        <v>350</v>
      </c>
      <c r="B11" s="102" t="s">
        <v>350</v>
      </c>
    </row>
    <row r="13" spans="1:256" ht="15" x14ac:dyDescent="0.15">
      <c r="A13" s="8" t="s">
        <v>1227</v>
      </c>
    </row>
    <row r="14" spans="1:256" ht="30" x14ac:dyDescent="0.15">
      <c r="A14" s="70" t="s">
        <v>785</v>
      </c>
      <c r="B14" s="74">
        <v>1000</v>
      </c>
    </row>
    <row r="15" spans="1:256" ht="15" x14ac:dyDescent="0.15">
      <c r="A15" s="70" t="s">
        <v>786</v>
      </c>
      <c r="B15" s="74">
        <v>1037.9000000000001</v>
      </c>
    </row>
    <row r="16" spans="1:256" ht="15" x14ac:dyDescent="0.15">
      <c r="A16" s="70" t="s">
        <v>787</v>
      </c>
      <c r="B16" s="104">
        <v>0.11</v>
      </c>
    </row>
    <row r="18" spans="1:7" x14ac:dyDescent="0.15">
      <c r="A18" s="60" t="s">
        <v>764</v>
      </c>
    </row>
    <row r="19" spans="1:7" ht="15" x14ac:dyDescent="0.15">
      <c r="A19" s="363" t="s">
        <v>716</v>
      </c>
      <c r="B19" s="317">
        <v>0</v>
      </c>
      <c r="C19" s="317">
        <v>1</v>
      </c>
      <c r="D19" s="317">
        <v>2</v>
      </c>
      <c r="E19" s="317">
        <v>3</v>
      </c>
      <c r="F19" s="317">
        <v>4</v>
      </c>
      <c r="G19" s="317">
        <v>5</v>
      </c>
    </row>
    <row r="20" spans="1:7" ht="15" x14ac:dyDescent="0.15">
      <c r="A20" s="70" t="s">
        <v>784</v>
      </c>
      <c r="B20" s="74">
        <f>-B15</f>
        <v>-1037.9000000000001</v>
      </c>
      <c r="C20" s="74">
        <v>110</v>
      </c>
      <c r="D20" s="3">
        <v>110</v>
      </c>
      <c r="E20" s="3">
        <v>110</v>
      </c>
      <c r="F20" s="3">
        <v>110</v>
      </c>
      <c r="G20" s="3">
        <v>1110</v>
      </c>
    </row>
    <row r="21" spans="1:7" ht="15" x14ac:dyDescent="0.15">
      <c r="A21" s="70" t="s">
        <v>788</v>
      </c>
      <c r="B21" s="74" t="s">
        <v>350</v>
      </c>
      <c r="C21" s="74" t="s">
        <v>350</v>
      </c>
    </row>
    <row r="22" spans="1:7" ht="15" x14ac:dyDescent="0.15">
      <c r="A22" s="76" t="s">
        <v>597</v>
      </c>
      <c r="B22" s="110">
        <f>IRR(B20:G20)</f>
        <v>0.10000202377975009</v>
      </c>
    </row>
    <row r="23" spans="1:7" ht="15" x14ac:dyDescent="0.15">
      <c r="A23" s="70" t="s">
        <v>350</v>
      </c>
      <c r="B23" s="74" t="s">
        <v>350</v>
      </c>
    </row>
    <row r="25" spans="1:7" ht="15" x14ac:dyDescent="0.15">
      <c r="A25" s="8" t="s">
        <v>193</v>
      </c>
    </row>
    <row r="26" spans="1:7" ht="15" x14ac:dyDescent="0.15">
      <c r="A26" s="70" t="s">
        <v>789</v>
      </c>
      <c r="B26" s="3">
        <v>1000</v>
      </c>
    </row>
    <row r="28" spans="1:7" x14ac:dyDescent="0.15">
      <c r="A28" s="3" t="s">
        <v>595</v>
      </c>
      <c r="B28" s="104">
        <f>B10</f>
        <v>0.18003460677684546</v>
      </c>
    </row>
    <row r="29" spans="1:7" x14ac:dyDescent="0.15">
      <c r="A29" s="3" t="s">
        <v>601</v>
      </c>
      <c r="B29" s="74">
        <f>B26*B2</f>
        <v>30200</v>
      </c>
    </row>
    <row r="30" spans="1:7" x14ac:dyDescent="0.15">
      <c r="A30" s="3" t="s">
        <v>597</v>
      </c>
      <c r="B30" s="104">
        <f>B22</f>
        <v>0.10000202377975009</v>
      </c>
    </row>
    <row r="31" spans="1:7" x14ac:dyDescent="0.15">
      <c r="A31" s="3" t="s">
        <v>602</v>
      </c>
      <c r="B31" s="74">
        <f>B15</f>
        <v>1037.9000000000001</v>
      </c>
    </row>
    <row r="32" spans="1:7" x14ac:dyDescent="0.15">
      <c r="A32" s="3" t="s">
        <v>903</v>
      </c>
      <c r="B32" s="80">
        <v>0.34</v>
      </c>
    </row>
    <row r="33" spans="1:4" x14ac:dyDescent="0.15">
      <c r="A33" s="7" t="s">
        <v>598</v>
      </c>
      <c r="B33" s="110">
        <f>(B28*B29+B30*(1-B32)*B31)/(B29+B31)</f>
        <v>0.17624577551558185</v>
      </c>
      <c r="C33" s="103"/>
    </row>
    <row r="35" spans="1:4" ht="15" x14ac:dyDescent="0.15">
      <c r="A35" s="8" t="s">
        <v>157</v>
      </c>
    </row>
    <row r="36" spans="1:4" x14ac:dyDescent="0.15">
      <c r="B36" s="82" t="s">
        <v>791</v>
      </c>
      <c r="C36" s="82" t="s">
        <v>75</v>
      </c>
    </row>
    <row r="37" spans="1:4" ht="15" x14ac:dyDescent="0.15">
      <c r="A37" s="70" t="s">
        <v>790</v>
      </c>
      <c r="B37" s="74">
        <v>10000</v>
      </c>
      <c r="C37" s="74">
        <v>1000</v>
      </c>
    </row>
    <row r="38" spans="1:4" ht="15" x14ac:dyDescent="0.15">
      <c r="A38" s="70" t="s">
        <v>466</v>
      </c>
      <c r="B38" s="74">
        <v>12000</v>
      </c>
      <c r="C38" s="74">
        <v>1000</v>
      </c>
    </row>
    <row r="39" spans="1:4" ht="30" x14ac:dyDescent="0.15">
      <c r="A39" s="70" t="s">
        <v>794</v>
      </c>
      <c r="B39" s="74">
        <v>1800</v>
      </c>
      <c r="C39" s="74">
        <v>100</v>
      </c>
    </row>
    <row r="41" spans="1:4" x14ac:dyDescent="0.15">
      <c r="A41" s="60" t="s">
        <v>795</v>
      </c>
      <c r="D41" s="7" t="s">
        <v>936</v>
      </c>
    </row>
    <row r="42" spans="1:4" x14ac:dyDescent="0.15">
      <c r="B42" s="104">
        <f>B39/B38</f>
        <v>0.15</v>
      </c>
      <c r="C42" s="104">
        <f>C39/C38</f>
        <v>0.1</v>
      </c>
      <c r="D42" s="152">
        <f>SUM(B39:C39)/SUM(B38:C38)</f>
        <v>0.14615384615384616</v>
      </c>
    </row>
    <row r="44" spans="1:4" ht="15" x14ac:dyDescent="0.15">
      <c r="A44" s="8" t="s">
        <v>171</v>
      </c>
    </row>
    <row r="45" spans="1:4" x14ac:dyDescent="0.15">
      <c r="A45" s="3" t="s">
        <v>796</v>
      </c>
      <c r="B45" s="3">
        <v>100</v>
      </c>
    </row>
    <row r="46" spans="1:4" x14ac:dyDescent="0.15">
      <c r="A46" s="3" t="s">
        <v>797</v>
      </c>
      <c r="B46" s="3">
        <v>26</v>
      </c>
    </row>
    <row r="47" spans="1:4" x14ac:dyDescent="0.15">
      <c r="A47" s="3" t="s">
        <v>186</v>
      </c>
      <c r="B47" s="80">
        <v>0.25</v>
      </c>
    </row>
    <row r="48" spans="1:4" x14ac:dyDescent="0.15">
      <c r="A48" s="60" t="s">
        <v>798</v>
      </c>
    </row>
    <row r="49" spans="1:4" x14ac:dyDescent="0.15">
      <c r="B49" s="83" t="s">
        <v>799</v>
      </c>
      <c r="C49" s="83" t="s">
        <v>800</v>
      </c>
      <c r="D49" s="83" t="s">
        <v>801</v>
      </c>
    </row>
    <row r="50" spans="1:4" x14ac:dyDescent="0.15">
      <c r="A50" s="3" t="s">
        <v>791</v>
      </c>
      <c r="B50" s="80">
        <v>0.6</v>
      </c>
      <c r="C50" s="80">
        <v>0.12</v>
      </c>
      <c r="D50" s="80">
        <v>0.12</v>
      </c>
    </row>
    <row r="51" spans="1:4" x14ac:dyDescent="0.15">
      <c r="A51" s="3" t="s">
        <v>75</v>
      </c>
      <c r="B51" s="80">
        <v>0.4</v>
      </c>
      <c r="C51" s="80">
        <v>0.04</v>
      </c>
      <c r="D51" s="80">
        <v>0.03</v>
      </c>
    </row>
    <row r="52" spans="1:4" x14ac:dyDescent="0.15">
      <c r="B52" s="80"/>
      <c r="C52" s="80"/>
      <c r="D52" s="80"/>
    </row>
    <row r="53" spans="1:4" x14ac:dyDescent="0.15">
      <c r="A53" s="3" t="s">
        <v>791</v>
      </c>
      <c r="B53" s="74"/>
      <c r="C53" s="74">
        <f>B46-C54</f>
        <v>24.4</v>
      </c>
      <c r="D53" s="74">
        <f>C53*(1-B47)</f>
        <v>18.299999999999997</v>
      </c>
    </row>
    <row r="54" spans="1:4" x14ac:dyDescent="0.15">
      <c r="A54" s="3" t="s">
        <v>75</v>
      </c>
      <c r="B54" s="74">
        <f>B45*B51</f>
        <v>40</v>
      </c>
      <c r="C54" s="74">
        <f>B54*C51</f>
        <v>1.6</v>
      </c>
      <c r="D54" s="74">
        <f>C54</f>
        <v>1.6</v>
      </c>
    </row>
    <row r="55" spans="1:4" x14ac:dyDescent="0.15">
      <c r="A55" s="3" t="s">
        <v>395</v>
      </c>
      <c r="B55" s="80"/>
      <c r="C55" s="74">
        <f>SUM(C53:C54)</f>
        <v>26</v>
      </c>
      <c r="D55" s="74">
        <f>SUM(D53:D54)</f>
        <v>19.899999999999999</v>
      </c>
    </row>
    <row r="57" spans="1:4" x14ac:dyDescent="0.15">
      <c r="A57" s="60" t="s">
        <v>508</v>
      </c>
    </row>
    <row r="58" spans="1:4" x14ac:dyDescent="0.15">
      <c r="A58" s="3" t="s">
        <v>716</v>
      </c>
      <c r="B58" s="3">
        <v>0</v>
      </c>
      <c r="C58" s="3">
        <v>0</v>
      </c>
    </row>
    <row r="59" spans="1:4" x14ac:dyDescent="0.15">
      <c r="A59" s="3" t="s">
        <v>802</v>
      </c>
      <c r="B59" s="74">
        <f>-B$45</f>
        <v>-100</v>
      </c>
      <c r="C59" s="74">
        <f>SUM($C53:$C54)/B60</f>
        <v>295.4545454545455</v>
      </c>
    </row>
    <row r="60" spans="1:4" x14ac:dyDescent="0.15">
      <c r="A60" s="7" t="s">
        <v>598</v>
      </c>
      <c r="B60" s="111">
        <f>B50*C50+B51*C51</f>
        <v>8.7999999999999995E-2</v>
      </c>
      <c r="C60" s="146"/>
    </row>
    <row r="61" spans="1:4" x14ac:dyDescent="0.15">
      <c r="A61" s="7" t="s">
        <v>777</v>
      </c>
      <c r="B61" s="184">
        <f>SUMPRODUCT(B59:C59,POWER(1+B60,-B58:C58))</f>
        <v>195.4545454545455</v>
      </c>
      <c r="C61" s="146"/>
    </row>
    <row r="62" spans="1:4" x14ac:dyDescent="0.15">
      <c r="C62" s="146"/>
    </row>
    <row r="63" spans="1:4" x14ac:dyDescent="0.15">
      <c r="A63" s="3" t="s">
        <v>803</v>
      </c>
      <c r="B63" s="74">
        <f>-B$45</f>
        <v>-100</v>
      </c>
      <c r="C63" s="74">
        <f>B46*(1-B47)/B64</f>
        <v>232.14285714285717</v>
      </c>
    </row>
    <row r="64" spans="1:4" x14ac:dyDescent="0.15">
      <c r="A64" s="7" t="s">
        <v>598</v>
      </c>
      <c r="B64" s="111">
        <f>B50*D50+B51*D51</f>
        <v>8.3999999999999991E-2</v>
      </c>
    </row>
    <row r="65" spans="1:4" x14ac:dyDescent="0.15">
      <c r="A65" s="7" t="s">
        <v>778</v>
      </c>
      <c r="B65" s="184">
        <f>B63+C63</f>
        <v>132.14285714285717</v>
      </c>
    </row>
    <row r="67" spans="1:4" ht="15" x14ac:dyDescent="0.15">
      <c r="A67" s="8" t="s">
        <v>804</v>
      </c>
    </row>
    <row r="68" spans="1:4" ht="24" x14ac:dyDescent="0.15">
      <c r="A68" s="317"/>
      <c r="B68" s="346" t="s">
        <v>1387</v>
      </c>
      <c r="C68" s="346" t="s">
        <v>805</v>
      </c>
      <c r="D68" s="346" t="s">
        <v>806</v>
      </c>
    </row>
    <row r="69" spans="1:4" ht="30" x14ac:dyDescent="0.15">
      <c r="A69" s="70" t="s">
        <v>807</v>
      </c>
      <c r="B69" s="166">
        <v>2160</v>
      </c>
      <c r="C69" s="166">
        <v>18500</v>
      </c>
      <c r="D69" s="166">
        <v>632</v>
      </c>
    </row>
    <row r="70" spans="1:4" ht="15" x14ac:dyDescent="0.15">
      <c r="A70" s="70" t="s">
        <v>791</v>
      </c>
      <c r="B70" s="166">
        <v>1580</v>
      </c>
      <c r="C70" s="166">
        <v>10512</v>
      </c>
      <c r="D70" s="166">
        <v>824</v>
      </c>
    </row>
    <row r="71" spans="1:4" ht="15" x14ac:dyDescent="0.15">
      <c r="A71" s="70" t="s">
        <v>75</v>
      </c>
      <c r="B71" s="166">
        <v>812</v>
      </c>
      <c r="C71" s="166">
        <v>-12</v>
      </c>
      <c r="D71" s="166">
        <v>1356</v>
      </c>
    </row>
    <row r="72" spans="1:4" ht="15" x14ac:dyDescent="0.15">
      <c r="A72" s="70" t="s">
        <v>763</v>
      </c>
      <c r="B72" s="166">
        <v>22210</v>
      </c>
      <c r="C72" s="166">
        <v>23724</v>
      </c>
      <c r="D72" s="166">
        <v>701</v>
      </c>
    </row>
    <row r="73" spans="1:4" ht="15" x14ac:dyDescent="0.15">
      <c r="A73" s="70" t="s">
        <v>808</v>
      </c>
      <c r="B73" s="166">
        <v>405</v>
      </c>
      <c r="C73" s="166">
        <v>1625</v>
      </c>
      <c r="D73" s="166">
        <v>82</v>
      </c>
    </row>
    <row r="74" spans="1:4" ht="15" x14ac:dyDescent="0.15">
      <c r="A74" s="70" t="s">
        <v>1044</v>
      </c>
      <c r="B74" s="166">
        <v>226</v>
      </c>
      <c r="C74" s="166">
        <v>1057</v>
      </c>
      <c r="D74" s="166">
        <v>-24</v>
      </c>
    </row>
    <row r="75" spans="1:4" ht="15" x14ac:dyDescent="0.15">
      <c r="A75" s="70" t="s">
        <v>810</v>
      </c>
      <c r="B75" s="3">
        <v>0.8</v>
      </c>
      <c r="C75" s="3">
        <v>0.5</v>
      </c>
      <c r="D75" s="3">
        <v>1.2</v>
      </c>
    </row>
    <row r="76" spans="1:4" ht="15" x14ac:dyDescent="0.15">
      <c r="A76" s="70" t="s">
        <v>809</v>
      </c>
      <c r="B76" s="3">
        <v>0.1</v>
      </c>
      <c r="C76" s="3">
        <v>0</v>
      </c>
      <c r="D76" s="3">
        <v>0.3</v>
      </c>
    </row>
    <row r="77" spans="1:4" ht="15" x14ac:dyDescent="0.15">
      <c r="A77" s="70" t="s">
        <v>186</v>
      </c>
      <c r="B77" s="80">
        <v>0.25</v>
      </c>
      <c r="C77" s="80">
        <v>0.25</v>
      </c>
      <c r="D77" s="80">
        <v>0.25</v>
      </c>
    </row>
    <row r="79" spans="1:4" ht="15" x14ac:dyDescent="0.15">
      <c r="A79" s="70" t="s">
        <v>811</v>
      </c>
      <c r="B79" s="55">
        <v>2.5000000000000001E-2</v>
      </c>
    </row>
    <row r="80" spans="1:4" ht="15" x14ac:dyDescent="0.15">
      <c r="A80" s="70" t="s">
        <v>812</v>
      </c>
      <c r="B80" s="55">
        <v>0.08</v>
      </c>
    </row>
    <row r="82" spans="1:5" x14ac:dyDescent="0.15">
      <c r="A82" s="317"/>
      <c r="B82" s="317"/>
      <c r="C82" s="317"/>
      <c r="D82" s="317"/>
      <c r="E82" s="346" t="s">
        <v>813</v>
      </c>
    </row>
    <row r="83" spans="1:5" x14ac:dyDescent="0.15">
      <c r="A83" s="3" t="s">
        <v>595</v>
      </c>
      <c r="B83" s="235">
        <f>$B79+B75*($B80-$B79)</f>
        <v>6.9000000000000006E-2</v>
      </c>
      <c r="C83" s="235">
        <f>$B79+C75*($B80-$B79)</f>
        <v>5.2500000000000005E-2</v>
      </c>
      <c r="D83" s="235">
        <f>$B79+D75*($B80-$B79)</f>
        <v>9.0999999999999998E-2</v>
      </c>
      <c r="E83" s="235">
        <f>SUMPRODUCT(B83:D83,B69:D69)/SUM(B69:D69)</f>
        <v>5.5316644749201588E-2</v>
      </c>
    </row>
    <row r="84" spans="1:5" x14ac:dyDescent="0.15">
      <c r="A84" s="3" t="s">
        <v>597</v>
      </c>
      <c r="B84" s="235">
        <f>($B79+B76*($B80-$B79))*(1-B77)</f>
        <v>2.2875000000000003E-2</v>
      </c>
      <c r="C84" s="235">
        <f>($B79+C76*($B80-$B79))*(1-C77)</f>
        <v>1.8750000000000003E-2</v>
      </c>
      <c r="D84" s="235">
        <f>($B79+D76*($B80-$B79))*(1-D77)</f>
        <v>3.1125E-2</v>
      </c>
      <c r="E84" s="235">
        <f>SUMPRODUCT(B84:D84,B71:D71)/SUM(B71:D71)</f>
        <v>2.8086734693877555E-2</v>
      </c>
    </row>
    <row r="85" spans="1:5" x14ac:dyDescent="0.15">
      <c r="A85" s="7" t="s">
        <v>598</v>
      </c>
      <c r="B85" s="235">
        <f>(B83*B69+B84*B71)/(B69+B71)</f>
        <v>5.6397880215343213E-2</v>
      </c>
      <c r="C85" s="235">
        <f>(C83*C69+C84*C71)/(C69+C71)</f>
        <v>5.2521906101254873E-2</v>
      </c>
      <c r="D85" s="235">
        <f>(D83*D69+D84*D71)/(D69+D71)</f>
        <v>5.0159708249496983E-2</v>
      </c>
      <c r="E85" s="364">
        <f>SUMPRODUCT(B85:D85,B69:D69+B71:D71)/SUM(B69:D69,B71:D71)</f>
        <v>5.2812905151825323E-2</v>
      </c>
    </row>
    <row r="90" spans="1:5" x14ac:dyDescent="0.15">
      <c r="A90" s="70"/>
    </row>
    <row r="91" spans="1:5" x14ac:dyDescent="0.15">
      <c r="A91" s="70"/>
      <c r="B91" s="50"/>
      <c r="C91" s="50"/>
      <c r="D91" s="50"/>
    </row>
    <row r="93" spans="1:5" x14ac:dyDescent="0.15">
      <c r="A93" s="70"/>
    </row>
    <row r="94" spans="1:5" x14ac:dyDescent="0.15">
      <c r="A94" s="76"/>
      <c r="B94" s="116"/>
    </row>
  </sheetData>
  <phoneticPr fontId="4" type="noConversion"/>
  <pageMargins left="0.78740157480314965" right="0.78740157480314965" top="0.98425196850393704" bottom="0.98425196850393704" header="0.51181102362204722" footer="0.51181102362204722"/>
  <pageSetup paperSize="9" scale="10" fitToHeight="4"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ignoredErrors>
    <ignoredError sqref="B10" formulaRange="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euil34"/>
  <dimension ref="A1:F32"/>
  <sheetViews>
    <sheetView showGridLines="0" topLeftCell="A12" workbookViewId="0">
      <selection activeCell="A18" sqref="A18:F32"/>
    </sheetView>
  </sheetViews>
  <sheetFormatPr baseColWidth="10" defaultColWidth="11" defaultRowHeight="14" x14ac:dyDescent="0.15"/>
  <cols>
    <col min="1" max="1" width="16.83203125" style="3" customWidth="1"/>
    <col min="2" max="16384" width="11" style="3"/>
  </cols>
  <sheetData>
    <row r="1" spans="1:4" ht="15" x14ac:dyDescent="0.15">
      <c r="A1" s="1" t="s">
        <v>988</v>
      </c>
    </row>
    <row r="2" spans="1:4" ht="15" x14ac:dyDescent="0.15">
      <c r="A2" s="70" t="s">
        <v>814</v>
      </c>
      <c r="B2" s="68">
        <v>-2.5</v>
      </c>
      <c r="C2" s="3" t="s">
        <v>676</v>
      </c>
    </row>
    <row r="3" spans="1:4" ht="15" x14ac:dyDescent="0.15">
      <c r="A3" s="70" t="s">
        <v>815</v>
      </c>
      <c r="B3" s="68">
        <v>5</v>
      </c>
      <c r="C3" s="3" t="s">
        <v>676</v>
      </c>
    </row>
    <row r="4" spans="1:4" x14ac:dyDescent="0.15">
      <c r="A4" s="70"/>
    </row>
    <row r="5" spans="1:4" ht="15" x14ac:dyDescent="0.15">
      <c r="A5" s="76" t="s">
        <v>446</v>
      </c>
      <c r="B5" s="116">
        <v>0.14869806393960094</v>
      </c>
    </row>
    <row r="6" spans="1:4" ht="15" x14ac:dyDescent="0.15">
      <c r="A6" s="70" t="s">
        <v>396</v>
      </c>
      <c r="B6" s="68">
        <f>B2+B3*POWER(1+B5,-5)</f>
        <v>3.1672550715455827E-6</v>
      </c>
    </row>
    <row r="7" spans="1:4" x14ac:dyDescent="0.15">
      <c r="A7" s="70"/>
    </row>
    <row r="8" spans="1:4" ht="15" x14ac:dyDescent="0.15">
      <c r="A8" s="70" t="s">
        <v>815</v>
      </c>
      <c r="B8" s="68">
        <v>5</v>
      </c>
      <c r="C8" s="3" t="s">
        <v>676</v>
      </c>
    </row>
    <row r="9" spans="1:4" ht="15" x14ac:dyDescent="0.15">
      <c r="A9" s="70" t="s">
        <v>446</v>
      </c>
      <c r="B9" s="67">
        <v>0.2</v>
      </c>
    </row>
    <row r="10" spans="1:4" ht="15" x14ac:dyDescent="0.15">
      <c r="A10" s="70" t="s">
        <v>396</v>
      </c>
      <c r="B10" s="68">
        <f>B12+B8*POWER(1+B9,-5)</f>
        <v>0</v>
      </c>
    </row>
    <row r="11" spans="1:4" x14ac:dyDescent="0.15">
      <c r="A11" s="70"/>
    </row>
    <row r="12" spans="1:4" ht="30" x14ac:dyDescent="0.15">
      <c r="A12" s="76" t="s">
        <v>817</v>
      </c>
      <c r="B12" s="98">
        <v>-2.0093878600823043</v>
      </c>
      <c r="C12" s="7" t="s">
        <v>676</v>
      </c>
      <c r="D12" s="3" t="s">
        <v>816</v>
      </c>
    </row>
    <row r="15" spans="1:4" ht="15" x14ac:dyDescent="0.15">
      <c r="A15" s="8" t="s">
        <v>27</v>
      </c>
    </row>
    <row r="16" spans="1:4" ht="15" x14ac:dyDescent="0.15">
      <c r="A16" s="8" t="s">
        <v>989</v>
      </c>
    </row>
    <row r="18" spans="1:6" x14ac:dyDescent="0.15">
      <c r="A18" s="513" t="s">
        <v>1611</v>
      </c>
      <c r="B18" s="514"/>
      <c r="C18" s="514"/>
      <c r="D18" s="514"/>
      <c r="E18" s="514"/>
      <c r="F18" s="514"/>
    </row>
    <row r="19" spans="1:6" x14ac:dyDescent="0.15">
      <c r="A19" s="514"/>
      <c r="B19" s="514"/>
      <c r="C19" s="514"/>
      <c r="D19" s="514"/>
      <c r="E19" s="514"/>
      <c r="F19" s="514"/>
    </row>
    <row r="20" spans="1:6" x14ac:dyDescent="0.15">
      <c r="A20" s="514"/>
      <c r="B20" s="514"/>
      <c r="C20" s="514"/>
      <c r="D20" s="514"/>
      <c r="E20" s="514"/>
      <c r="F20" s="514"/>
    </row>
    <row r="21" spans="1:6" x14ac:dyDescent="0.15">
      <c r="A21" s="514"/>
      <c r="B21" s="514"/>
      <c r="C21" s="514"/>
      <c r="D21" s="514"/>
      <c r="E21" s="514"/>
      <c r="F21" s="514"/>
    </row>
    <row r="22" spans="1:6" x14ac:dyDescent="0.15">
      <c r="A22" s="514"/>
      <c r="B22" s="514"/>
      <c r="C22" s="514"/>
      <c r="D22" s="514"/>
      <c r="E22" s="514"/>
      <c r="F22" s="514"/>
    </row>
    <row r="23" spans="1:6" x14ac:dyDescent="0.15">
      <c r="A23" s="514"/>
      <c r="B23" s="514"/>
      <c r="C23" s="514"/>
      <c r="D23" s="514"/>
      <c r="E23" s="514"/>
      <c r="F23" s="514"/>
    </row>
    <row r="24" spans="1:6" x14ac:dyDescent="0.15">
      <c r="A24" s="514"/>
      <c r="B24" s="514"/>
      <c r="C24" s="514"/>
      <c r="D24" s="514"/>
      <c r="E24" s="514"/>
      <c r="F24" s="514"/>
    </row>
    <row r="25" spans="1:6" x14ac:dyDescent="0.15">
      <c r="A25" s="514"/>
      <c r="B25" s="514"/>
      <c r="C25" s="514"/>
      <c r="D25" s="514"/>
      <c r="E25" s="514"/>
      <c r="F25" s="514"/>
    </row>
    <row r="26" spans="1:6" x14ac:dyDescent="0.15">
      <c r="A26" s="514"/>
      <c r="B26" s="514"/>
      <c r="C26" s="514"/>
      <c r="D26" s="514"/>
      <c r="E26" s="514"/>
      <c r="F26" s="514"/>
    </row>
    <row r="27" spans="1:6" x14ac:dyDescent="0.15">
      <c r="A27" s="514"/>
      <c r="B27" s="514"/>
      <c r="C27" s="514"/>
      <c r="D27" s="514"/>
      <c r="E27" s="514"/>
      <c r="F27" s="514"/>
    </row>
    <row r="28" spans="1:6" x14ac:dyDescent="0.15">
      <c r="A28" s="514"/>
      <c r="B28" s="514"/>
      <c r="C28" s="514"/>
      <c r="D28" s="514"/>
      <c r="E28" s="514"/>
      <c r="F28" s="514"/>
    </row>
    <row r="29" spans="1:6" x14ac:dyDescent="0.15">
      <c r="A29" s="514"/>
      <c r="B29" s="514"/>
      <c r="C29" s="514"/>
      <c r="D29" s="514"/>
      <c r="E29" s="514"/>
      <c r="F29" s="514"/>
    </row>
    <row r="30" spans="1:6" x14ac:dyDescent="0.15">
      <c r="A30" s="514"/>
      <c r="B30" s="514"/>
      <c r="C30" s="514"/>
      <c r="D30" s="514"/>
      <c r="E30" s="514"/>
      <c r="F30" s="514"/>
    </row>
    <row r="31" spans="1:6" x14ac:dyDescent="0.15">
      <c r="A31" s="514"/>
      <c r="B31" s="514"/>
      <c r="C31" s="514"/>
      <c r="D31" s="514"/>
      <c r="E31" s="514"/>
      <c r="F31" s="514"/>
    </row>
    <row r="32" spans="1:6" x14ac:dyDescent="0.15">
      <c r="A32" s="514"/>
      <c r="B32" s="514"/>
      <c r="C32" s="514"/>
      <c r="D32" s="514"/>
      <c r="E32" s="514"/>
      <c r="F32" s="514"/>
    </row>
  </sheetData>
  <mergeCells count="1">
    <mergeCell ref="A18:F32"/>
  </mergeCells>
  <phoneticPr fontId="4" type="noConversion"/>
  <pageMargins left="0.78740157480314965" right="0.78740157480314965" top="0.98425196850393704" bottom="0.98425196850393704" header="0.51181102362204722" footer="0.51181102362204722"/>
  <pageSetup paperSize="9"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euil40">
    <pageSetUpPr fitToPage="1"/>
  </sheetPr>
  <dimension ref="A1:M128"/>
  <sheetViews>
    <sheetView showGridLines="0" zoomScale="90" zoomScaleNormal="130" workbookViewId="0"/>
  </sheetViews>
  <sheetFormatPr baseColWidth="10" defaultColWidth="11" defaultRowHeight="14" x14ac:dyDescent="0.15"/>
  <cols>
    <col min="1" max="1" width="29.1640625" style="3" bestFit="1" customWidth="1"/>
    <col min="2" max="7" width="12" style="3" customWidth="1"/>
    <col min="8" max="8" width="16.1640625" style="3" customWidth="1"/>
    <col min="9" max="9" width="12" style="3" customWidth="1"/>
    <col min="10" max="11" width="11" style="3"/>
    <col min="12" max="12" width="11" style="82"/>
    <col min="13" max="16384" width="11" style="3"/>
  </cols>
  <sheetData>
    <row r="1" spans="1:12" ht="15" x14ac:dyDescent="0.15">
      <c r="A1" s="1" t="s">
        <v>1060</v>
      </c>
    </row>
    <row r="2" spans="1:12" s="97" customFormat="1" ht="12" x14ac:dyDescent="0.15">
      <c r="L2" s="446"/>
    </row>
    <row r="3" spans="1:12" x14ac:dyDescent="0.15">
      <c r="A3" s="3" t="s">
        <v>552</v>
      </c>
      <c r="B3" s="180">
        <v>120</v>
      </c>
      <c r="C3" s="180">
        <v>120</v>
      </c>
      <c r="D3" s="180"/>
      <c r="E3" s="181"/>
      <c r="F3" s="181"/>
      <c r="G3" s="181"/>
      <c r="H3" s="181"/>
      <c r="I3" s="181"/>
      <c r="J3" s="181"/>
    </row>
    <row r="5" spans="1:12" x14ac:dyDescent="0.15">
      <c r="A5" s="3" t="s">
        <v>875</v>
      </c>
      <c r="B5" s="3">
        <v>21</v>
      </c>
      <c r="C5" s="3">
        <v>14</v>
      </c>
    </row>
    <row r="6" spans="1:12" x14ac:dyDescent="0.15">
      <c r="A6" s="3" t="s">
        <v>534</v>
      </c>
      <c r="B6" s="512">
        <v>30</v>
      </c>
      <c r="C6" s="512"/>
      <c r="D6" s="82"/>
    </row>
    <row r="7" spans="1:12" x14ac:dyDescent="0.15">
      <c r="A7" s="3" t="s">
        <v>907</v>
      </c>
      <c r="B7" s="3">
        <f>+B5*B6</f>
        <v>630</v>
      </c>
      <c r="C7" s="3">
        <f>+C5*B6</f>
        <v>420</v>
      </c>
    </row>
    <row r="8" spans="1:12" x14ac:dyDescent="0.15">
      <c r="A8" s="3" t="s">
        <v>921</v>
      </c>
      <c r="B8" s="3">
        <v>5</v>
      </c>
      <c r="C8" s="3">
        <v>5</v>
      </c>
    </row>
    <row r="10" spans="1:12" x14ac:dyDescent="0.15">
      <c r="A10" s="3" t="s">
        <v>364</v>
      </c>
      <c r="B10" s="80">
        <v>0.25</v>
      </c>
      <c r="C10" s="80">
        <v>0.25</v>
      </c>
      <c r="D10" s="80"/>
    </row>
    <row r="12" spans="1:12" x14ac:dyDescent="0.15">
      <c r="A12" s="7" t="s">
        <v>368</v>
      </c>
      <c r="B12" s="133">
        <f>-B3+(B7)*POWER(1+B10,-B8)</f>
        <v>86.43840000000003</v>
      </c>
      <c r="C12" s="133">
        <f>-C3+(C7)*POWER(1+C10,-C8)</f>
        <v>17.62560000000002</v>
      </c>
      <c r="D12" s="133"/>
    </row>
    <row r="15" spans="1:12" ht="15" x14ac:dyDescent="0.15">
      <c r="A15" s="8" t="s">
        <v>542</v>
      </c>
    </row>
    <row r="16" spans="1:12" x14ac:dyDescent="0.15">
      <c r="A16" s="342" t="s">
        <v>408</v>
      </c>
      <c r="B16" s="352">
        <v>1</v>
      </c>
      <c r="C16" s="352">
        <v>2</v>
      </c>
      <c r="D16" s="352">
        <v>3</v>
      </c>
      <c r="E16" s="352">
        <v>4</v>
      </c>
      <c r="F16" s="352">
        <v>5</v>
      </c>
      <c r="H16" s="365"/>
      <c r="I16" s="365"/>
    </row>
    <row r="17" spans="1:8" x14ac:dyDescent="0.15">
      <c r="A17" s="3" t="s">
        <v>763</v>
      </c>
      <c r="B17" s="3">
        <v>3960</v>
      </c>
      <c r="C17" s="3">
        <v>4080</v>
      </c>
      <c r="D17" s="3">
        <v>4200</v>
      </c>
      <c r="E17" s="3">
        <v>4326</v>
      </c>
      <c r="F17" s="3">
        <v>4458</v>
      </c>
    </row>
    <row r="18" spans="1:8" x14ac:dyDescent="0.15">
      <c r="A18" s="3" t="s">
        <v>922</v>
      </c>
      <c r="B18" s="3">
        <v>1782</v>
      </c>
      <c r="C18" s="3">
        <v>1794</v>
      </c>
      <c r="D18" s="3">
        <v>1806</v>
      </c>
      <c r="E18" s="3">
        <v>1860</v>
      </c>
      <c r="F18" s="3">
        <v>1917</v>
      </c>
    </row>
    <row r="19" spans="1:8" x14ac:dyDescent="0.15">
      <c r="A19" s="3" t="s">
        <v>934</v>
      </c>
      <c r="B19" s="3">
        <v>870</v>
      </c>
      <c r="C19" s="3">
        <v>897</v>
      </c>
      <c r="D19" s="3">
        <v>924</v>
      </c>
      <c r="E19" s="3">
        <v>996</v>
      </c>
      <c r="F19" s="3">
        <v>1026</v>
      </c>
    </row>
    <row r="20" spans="1:8" x14ac:dyDescent="0.15">
      <c r="A20" s="3" t="s">
        <v>1173</v>
      </c>
      <c r="B20" s="3">
        <v>396</v>
      </c>
      <c r="C20" s="3">
        <v>408</v>
      </c>
      <c r="D20" s="3">
        <v>420</v>
      </c>
      <c r="E20" s="3">
        <v>432</v>
      </c>
      <c r="F20" s="3">
        <v>447</v>
      </c>
    </row>
    <row r="21" spans="1:8" x14ac:dyDescent="0.15">
      <c r="A21" s="3" t="s">
        <v>69</v>
      </c>
      <c r="B21" s="3">
        <v>912</v>
      </c>
      <c r="C21" s="3">
        <v>981</v>
      </c>
      <c r="D21" s="3">
        <v>1050</v>
      </c>
      <c r="E21" s="3">
        <v>1038</v>
      </c>
      <c r="F21" s="3">
        <v>1068</v>
      </c>
    </row>
    <row r="22" spans="1:8" x14ac:dyDescent="0.15">
      <c r="A22" s="3" t="s">
        <v>979</v>
      </c>
      <c r="B22" s="3">
        <v>330</v>
      </c>
      <c r="C22" s="3">
        <v>315</v>
      </c>
      <c r="D22" s="3">
        <v>300</v>
      </c>
      <c r="E22" s="3">
        <v>300</v>
      </c>
      <c r="F22" s="3">
        <v>300</v>
      </c>
    </row>
    <row r="23" spans="1:8" x14ac:dyDescent="0.15">
      <c r="A23" s="3" t="s">
        <v>1007</v>
      </c>
      <c r="B23" s="3">
        <f>B21-B22</f>
        <v>582</v>
      </c>
      <c r="C23" s="3">
        <f>C21-C22</f>
        <v>666</v>
      </c>
      <c r="D23" s="3">
        <f>D21-D22</f>
        <v>750</v>
      </c>
      <c r="E23" s="3">
        <f>E21-E22</f>
        <v>738</v>
      </c>
      <c r="F23" s="3">
        <f>F21-F22</f>
        <v>768</v>
      </c>
    </row>
    <row r="25" spans="1:8" x14ac:dyDescent="0.15">
      <c r="A25" s="3" t="s">
        <v>214</v>
      </c>
      <c r="B25" s="3">
        <v>300</v>
      </c>
      <c r="C25" s="3">
        <v>300</v>
      </c>
      <c r="D25" s="3">
        <v>300</v>
      </c>
      <c r="E25" s="3">
        <v>300</v>
      </c>
      <c r="F25" s="3">
        <v>300</v>
      </c>
    </row>
    <row r="26" spans="1:8" ht="15" x14ac:dyDescent="0.15">
      <c r="A26" s="6" t="s">
        <v>183</v>
      </c>
      <c r="B26" s="3">
        <v>50</v>
      </c>
      <c r="C26" s="3">
        <v>50</v>
      </c>
    </row>
    <row r="27" spans="1:8" x14ac:dyDescent="0.15">
      <c r="A27" s="6"/>
    </row>
    <row r="28" spans="1:8" ht="15" x14ac:dyDescent="0.15">
      <c r="A28" s="6" t="s">
        <v>96</v>
      </c>
    </row>
    <row r="29" spans="1:8" ht="15" x14ac:dyDescent="0.15">
      <c r="A29" s="6" t="s">
        <v>791</v>
      </c>
      <c r="B29" s="80">
        <f>2/3</f>
        <v>0.66666666666666663</v>
      </c>
    </row>
    <row r="30" spans="1:8" ht="15" x14ac:dyDescent="0.15">
      <c r="A30" s="6" t="s">
        <v>75</v>
      </c>
      <c r="B30" s="80">
        <f>1-B29</f>
        <v>0.33333333333333337</v>
      </c>
    </row>
    <row r="31" spans="1:8" x14ac:dyDescent="0.15">
      <c r="A31" s="3" t="s">
        <v>595</v>
      </c>
      <c r="B31" s="80">
        <v>0.1</v>
      </c>
      <c r="C31" s="80"/>
      <c r="D31" s="80"/>
      <c r="E31" s="80"/>
      <c r="F31" s="80"/>
      <c r="G31" s="80"/>
      <c r="H31" s="80"/>
    </row>
    <row r="32" spans="1:8" x14ac:dyDescent="0.15">
      <c r="A32" s="3" t="s">
        <v>597</v>
      </c>
      <c r="B32" s="80">
        <v>0.06</v>
      </c>
      <c r="C32" s="80"/>
      <c r="D32" s="80"/>
      <c r="E32" s="80"/>
      <c r="F32" s="80"/>
      <c r="G32" s="80"/>
      <c r="H32" s="80"/>
    </row>
    <row r="33" spans="1:8" x14ac:dyDescent="0.15">
      <c r="A33" s="7" t="s">
        <v>598</v>
      </c>
      <c r="B33" s="111">
        <f>B31*B29+B32*(1-B35)*B30</f>
        <v>7.9266666666666666E-2</v>
      </c>
      <c r="C33" s="55"/>
      <c r="D33" s="55"/>
      <c r="E33" s="55"/>
      <c r="F33" s="55"/>
      <c r="G33" s="55"/>
      <c r="H33" s="55"/>
    </row>
    <row r="35" spans="1:8" x14ac:dyDescent="0.15">
      <c r="A35" s="3" t="s">
        <v>876</v>
      </c>
      <c r="B35" s="80">
        <v>0.37</v>
      </c>
      <c r="C35" s="80"/>
      <c r="D35" s="80"/>
      <c r="E35" s="80"/>
      <c r="F35" s="80"/>
      <c r="G35" s="80"/>
      <c r="H35" s="80"/>
    </row>
    <row r="36" spans="1:8" x14ac:dyDescent="0.15">
      <c r="A36" s="3" t="s">
        <v>97</v>
      </c>
      <c r="B36" s="80">
        <v>0.02</v>
      </c>
    </row>
    <row r="37" spans="1:8" x14ac:dyDescent="0.15">
      <c r="B37" s="80"/>
    </row>
    <row r="38" spans="1:8" x14ac:dyDescent="0.15">
      <c r="A38" s="317"/>
      <c r="B38" s="343">
        <v>1</v>
      </c>
      <c r="C38" s="343">
        <v>2</v>
      </c>
      <c r="D38" s="343">
        <v>3</v>
      </c>
      <c r="E38" s="343">
        <v>4</v>
      </c>
      <c r="F38" s="343">
        <v>5</v>
      </c>
      <c r="G38" s="343"/>
      <c r="H38" s="343" t="s">
        <v>104</v>
      </c>
    </row>
    <row r="39" spans="1:8" x14ac:dyDescent="0.15">
      <c r="B39" s="55"/>
      <c r="C39" s="55"/>
      <c r="D39" s="55"/>
      <c r="E39" s="55"/>
      <c r="F39" s="55"/>
      <c r="G39" s="55"/>
    </row>
    <row r="40" spans="1:8" x14ac:dyDescent="0.15">
      <c r="A40" s="3" t="s">
        <v>69</v>
      </c>
      <c r="B40" s="29">
        <f>B21</f>
        <v>912</v>
      </c>
      <c r="C40" s="29">
        <f>C21</f>
        <v>981</v>
      </c>
      <c r="D40" s="29">
        <f>D21</f>
        <v>1050</v>
      </c>
      <c r="E40" s="29">
        <f>E21</f>
        <v>1038</v>
      </c>
      <c r="F40" s="29">
        <f>F21</f>
        <v>1068</v>
      </c>
      <c r="G40" s="29"/>
    </row>
    <row r="41" spans="1:8" x14ac:dyDescent="0.15">
      <c r="A41" s="86" t="s">
        <v>95</v>
      </c>
      <c r="B41" s="29">
        <f>$B$35*B23</f>
        <v>215.34</v>
      </c>
      <c r="C41" s="29">
        <f>$B$35*C23</f>
        <v>246.42</v>
      </c>
      <c r="D41" s="29">
        <f>$B$35*D23</f>
        <v>277.5</v>
      </c>
      <c r="E41" s="29">
        <f>$B$35*E23</f>
        <v>273.06</v>
      </c>
      <c r="F41" s="29">
        <f>$B$35*F23</f>
        <v>284.15999999999997</v>
      </c>
      <c r="G41" s="29"/>
    </row>
    <row r="42" spans="1:8" x14ac:dyDescent="0.15">
      <c r="A42" s="86" t="s">
        <v>708</v>
      </c>
      <c r="B42" s="29">
        <f t="shared" ref="B42:C43" si="0">B25</f>
        <v>300</v>
      </c>
      <c r="C42" s="29">
        <f t="shared" si="0"/>
        <v>300</v>
      </c>
      <c r="D42" s="29">
        <f>D25</f>
        <v>300</v>
      </c>
      <c r="E42" s="29">
        <f>E25</f>
        <v>300</v>
      </c>
      <c r="F42" s="29">
        <f>F25</f>
        <v>300</v>
      </c>
      <c r="G42" s="29"/>
    </row>
    <row r="43" spans="1:8" ht="15" x14ac:dyDescent="0.15">
      <c r="A43" s="182" t="s">
        <v>901</v>
      </c>
      <c r="B43" s="29">
        <f t="shared" si="0"/>
        <v>50</v>
      </c>
      <c r="C43" s="29">
        <f t="shared" si="0"/>
        <v>50</v>
      </c>
      <c r="D43" s="29">
        <f>E26</f>
        <v>0</v>
      </c>
      <c r="E43" s="29">
        <f>F26</f>
        <v>0</v>
      </c>
      <c r="F43" s="29">
        <f>G26</f>
        <v>0</v>
      </c>
      <c r="G43" s="29"/>
    </row>
    <row r="44" spans="1:8" x14ac:dyDescent="0.15">
      <c r="B44" s="88"/>
      <c r="C44" s="88"/>
      <c r="D44" s="88"/>
      <c r="E44" s="88"/>
      <c r="F44" s="88"/>
      <c r="G44" s="183"/>
      <c r="H44" s="88"/>
    </row>
    <row r="45" spans="1:8" x14ac:dyDescent="0.15">
      <c r="A45" s="3" t="s">
        <v>201</v>
      </c>
      <c r="B45" s="13">
        <f>B40-B41-B42-B43</f>
        <v>346.65999999999997</v>
      </c>
      <c r="C45" s="13">
        <f>C40-C41-C42-C43</f>
        <v>384.58000000000004</v>
      </c>
      <c r="D45" s="13">
        <f>D40-D41-D42-D43</f>
        <v>472.5</v>
      </c>
      <c r="E45" s="13">
        <f>E40-E41-E42-E43</f>
        <v>464.94000000000005</v>
      </c>
      <c r="F45" s="13">
        <f>F40-F41-F42-F43</f>
        <v>483.84000000000003</v>
      </c>
      <c r="G45" s="13"/>
      <c r="H45" s="13">
        <f>F45*(1+B36)</f>
        <v>493.51680000000005</v>
      </c>
    </row>
    <row r="46" spans="1:8" x14ac:dyDescent="0.15">
      <c r="A46" s="3" t="s">
        <v>98</v>
      </c>
      <c r="B46" s="29"/>
      <c r="C46" s="29"/>
      <c r="D46" s="29"/>
      <c r="E46" s="29"/>
      <c r="F46" s="13">
        <f>H45/(B33-B36)</f>
        <v>8327.0551181102383</v>
      </c>
      <c r="G46" s="13"/>
      <c r="H46" s="29"/>
    </row>
    <row r="47" spans="1:8" x14ac:dyDescent="0.15">
      <c r="B47" s="29"/>
      <c r="C47" s="29"/>
      <c r="D47" s="29"/>
      <c r="E47" s="29"/>
      <c r="F47" s="29"/>
      <c r="G47" s="29"/>
      <c r="H47" s="29"/>
    </row>
    <row r="48" spans="1:8" x14ac:dyDescent="0.15">
      <c r="A48" s="3" t="s">
        <v>357</v>
      </c>
      <c r="B48" s="29"/>
      <c r="C48" s="29"/>
      <c r="D48" s="29"/>
      <c r="E48" s="29"/>
      <c r="F48" s="29"/>
      <c r="G48" s="29"/>
      <c r="H48" s="29"/>
    </row>
    <row r="49" spans="1:8" x14ac:dyDescent="0.15">
      <c r="A49" s="86" t="s">
        <v>101</v>
      </c>
      <c r="B49" s="13">
        <f>B45*POWER(1+$B$33,-B38)</f>
        <v>321.1995799617024</v>
      </c>
      <c r="C49" s="13">
        <f>C45*POWER(1+$B$33,-C38)</f>
        <v>330.16358158315376</v>
      </c>
      <c r="D49" s="13">
        <f>D45*POWER(1+$B$33,-D38)</f>
        <v>375.85083620660959</v>
      </c>
      <c r="E49" s="13">
        <f>E45*POWER(1+$B$33,-E38)</f>
        <v>342.6745532404446</v>
      </c>
      <c r="F49" s="13">
        <f>F45*POWER(1+$B$33,-F38)</f>
        <v>330.4136263465324</v>
      </c>
      <c r="G49" s="13"/>
    </row>
    <row r="50" spans="1:8" x14ac:dyDescent="0.15">
      <c r="A50" s="86" t="s">
        <v>102</v>
      </c>
      <c r="B50" s="13">
        <f>F46*POWER(1+B33,-F38)</f>
        <v>5686.5337267738432</v>
      </c>
      <c r="C50" s="29"/>
      <c r="D50" s="29"/>
      <c r="E50" s="29"/>
      <c r="F50" s="29"/>
      <c r="G50" s="29"/>
    </row>
    <row r="51" spans="1:8" x14ac:dyDescent="0.15">
      <c r="B51" s="13"/>
      <c r="C51" s="29"/>
      <c r="D51" s="29"/>
      <c r="E51" s="29"/>
      <c r="F51" s="29"/>
      <c r="G51" s="29"/>
      <c r="H51" s="29"/>
    </row>
    <row r="52" spans="1:8" x14ac:dyDescent="0.15">
      <c r="A52" s="7" t="s">
        <v>300</v>
      </c>
      <c r="B52" s="77">
        <f>SUM(B49:F49)+B50</f>
        <v>7386.8359041122858</v>
      </c>
    </row>
    <row r="53" spans="1:8" x14ac:dyDescent="0.15">
      <c r="A53" s="3" t="s">
        <v>99</v>
      </c>
      <c r="B53" s="13">
        <v>2250</v>
      </c>
    </row>
    <row r="54" spans="1:8" x14ac:dyDescent="0.15">
      <c r="A54" s="7" t="s">
        <v>100</v>
      </c>
      <c r="B54" s="77">
        <f>B52-B53</f>
        <v>5136.8359041122858</v>
      </c>
    </row>
    <row r="56" spans="1:8" ht="15" x14ac:dyDescent="0.15">
      <c r="A56" s="8" t="s">
        <v>1061</v>
      </c>
    </row>
    <row r="58" spans="1:8" x14ac:dyDescent="0.15">
      <c r="A58" s="3" t="s">
        <v>103</v>
      </c>
      <c r="B58" s="3">
        <v>10</v>
      </c>
    </row>
    <row r="59" spans="1:8" x14ac:dyDescent="0.15">
      <c r="A59" s="3" t="s">
        <v>924</v>
      </c>
      <c r="B59" s="3">
        <v>15</v>
      </c>
    </row>
    <row r="61" spans="1:8" x14ac:dyDescent="0.15">
      <c r="A61" s="3" t="s">
        <v>1782</v>
      </c>
      <c r="B61" s="3">
        <v>100</v>
      </c>
    </row>
    <row r="62" spans="1:8" x14ac:dyDescent="0.15">
      <c r="A62" s="3" t="s">
        <v>1783</v>
      </c>
      <c r="B62" s="3">
        <v>60</v>
      </c>
    </row>
    <row r="63" spans="1:8" x14ac:dyDescent="0.15">
      <c r="A63" s="3" t="s">
        <v>1784</v>
      </c>
      <c r="B63" s="3">
        <v>32</v>
      </c>
    </row>
    <row r="65" spans="1:3" x14ac:dyDescent="0.15">
      <c r="A65" s="7" t="s">
        <v>652</v>
      </c>
      <c r="B65" s="7">
        <f>B58*B62</f>
        <v>600</v>
      </c>
    </row>
    <row r="66" spans="1:3" x14ac:dyDescent="0.15">
      <c r="A66" s="7" t="s">
        <v>602</v>
      </c>
      <c r="B66" s="7">
        <f>B61</f>
        <v>100</v>
      </c>
    </row>
    <row r="67" spans="1:3" x14ac:dyDescent="0.15">
      <c r="A67" s="7" t="s">
        <v>601</v>
      </c>
      <c r="B67" s="7">
        <f>B65-B66</f>
        <v>500</v>
      </c>
    </row>
    <row r="68" spans="1:3" x14ac:dyDescent="0.15">
      <c r="A68" s="7"/>
      <c r="B68" s="7"/>
    </row>
    <row r="69" spans="1:3" x14ac:dyDescent="0.15">
      <c r="A69" s="7" t="s">
        <v>280</v>
      </c>
      <c r="B69" s="7"/>
    </row>
    <row r="70" spans="1:3" x14ac:dyDescent="0.15">
      <c r="A70" s="7" t="s">
        <v>601</v>
      </c>
      <c r="B70" s="7">
        <f>B59*B63</f>
        <v>480</v>
      </c>
    </row>
    <row r="72" spans="1:3" ht="15" x14ac:dyDescent="0.15">
      <c r="A72" s="8" t="s">
        <v>1062</v>
      </c>
    </row>
    <row r="73" spans="1:3" x14ac:dyDescent="0.15">
      <c r="B73" s="82" t="s">
        <v>1066</v>
      </c>
    </row>
    <row r="74" spans="1:3" x14ac:dyDescent="0.15">
      <c r="A74" s="3" t="s">
        <v>1785</v>
      </c>
      <c r="B74" s="29">
        <v>14.9</v>
      </c>
    </row>
    <row r="75" spans="1:3" x14ac:dyDescent="0.15">
      <c r="A75" s="3" t="s">
        <v>1782</v>
      </c>
      <c r="B75" s="29">
        <v>55.8</v>
      </c>
    </row>
    <row r="77" spans="1:3" x14ac:dyDescent="0.15">
      <c r="A77" s="3" t="s">
        <v>1065</v>
      </c>
    </row>
    <row r="78" spans="1:3" x14ac:dyDescent="0.15">
      <c r="A78" s="3" t="s">
        <v>1063</v>
      </c>
      <c r="B78" s="104">
        <v>0.20100000000000001</v>
      </c>
      <c r="C78" s="3" t="s">
        <v>1064</v>
      </c>
    </row>
    <row r="79" spans="1:3" x14ac:dyDescent="0.15">
      <c r="A79" s="3" t="s">
        <v>807</v>
      </c>
      <c r="B79" s="3">
        <v>182</v>
      </c>
      <c r="C79" s="3" t="s">
        <v>1551</v>
      </c>
    </row>
    <row r="81" spans="1:13" x14ac:dyDescent="0.15">
      <c r="A81" s="3" t="s">
        <v>1786</v>
      </c>
      <c r="B81" s="3">
        <v>16</v>
      </c>
      <c r="C81" s="181" t="s">
        <v>350</v>
      </c>
      <c r="D81" s="181"/>
    </row>
    <row r="83" spans="1:13" x14ac:dyDescent="0.15">
      <c r="A83" s="3" t="s">
        <v>350</v>
      </c>
      <c r="B83" s="3" t="s">
        <v>350</v>
      </c>
    </row>
    <row r="85" spans="1:13" x14ac:dyDescent="0.15">
      <c r="A85" s="7" t="s">
        <v>1067</v>
      </c>
      <c r="B85" s="133">
        <f>B81*B74-B75+B79*B78</f>
        <v>219.18200000000002</v>
      </c>
      <c r="C85" s="181" t="s">
        <v>350</v>
      </c>
      <c r="D85" s="181"/>
    </row>
    <row r="87" spans="1:13" ht="15" x14ac:dyDescent="0.15">
      <c r="A87" s="8" t="s">
        <v>1681</v>
      </c>
    </row>
    <row r="89" spans="1:13" ht="24" x14ac:dyDescent="0.15">
      <c r="A89" s="419" t="s">
        <v>1787</v>
      </c>
      <c r="B89" s="419"/>
      <c r="C89" s="420" t="s">
        <v>807</v>
      </c>
      <c r="D89" s="420" t="s">
        <v>1199</v>
      </c>
      <c r="E89" s="420" t="s">
        <v>1788</v>
      </c>
      <c r="F89" s="420" t="s">
        <v>1789</v>
      </c>
      <c r="G89" s="420" t="s">
        <v>1790</v>
      </c>
      <c r="H89" s="420" t="s">
        <v>1791</v>
      </c>
      <c r="I89" s="420" t="s">
        <v>1792</v>
      </c>
      <c r="K89" s="420" t="s">
        <v>411</v>
      </c>
      <c r="L89" s="445" t="s">
        <v>1706</v>
      </c>
      <c r="M89" s="420" t="s">
        <v>1795</v>
      </c>
    </row>
    <row r="90" spans="1:13" x14ac:dyDescent="0.15">
      <c r="A90" s="421" t="s">
        <v>1682</v>
      </c>
      <c r="B90" s="422" t="s">
        <v>491</v>
      </c>
      <c r="C90" s="427"/>
      <c r="D90" s="427">
        <v>-10700</v>
      </c>
      <c r="E90" s="427">
        <v>32667</v>
      </c>
      <c r="F90" s="427">
        <v>12328</v>
      </c>
      <c r="G90" s="427">
        <v>11302</v>
      </c>
      <c r="H90" s="427">
        <v>24040</v>
      </c>
      <c r="I90" s="427">
        <v>20293</v>
      </c>
      <c r="K90" s="261">
        <f>(H90/G90)^0.3333-1</f>
        <v>0.286023172673735</v>
      </c>
      <c r="L90" s="448"/>
      <c r="M90" s="447"/>
    </row>
    <row r="91" spans="1:13" x14ac:dyDescent="0.15">
      <c r="A91" s="421" t="s">
        <v>1684</v>
      </c>
      <c r="B91" s="422" t="s">
        <v>491</v>
      </c>
      <c r="C91" s="427">
        <v>89210</v>
      </c>
      <c r="D91" s="427">
        <v>5823</v>
      </c>
      <c r="E91" s="427">
        <v>14662</v>
      </c>
      <c r="F91" s="427">
        <v>3381</v>
      </c>
      <c r="G91" s="427">
        <v>2121</v>
      </c>
      <c r="H91" s="427">
        <v>5221</v>
      </c>
      <c r="I91" s="427">
        <v>4174</v>
      </c>
      <c r="K91" s="261">
        <f>(H91/G91)^0.3333-1</f>
        <v>0.35017885146144079</v>
      </c>
      <c r="L91" s="448">
        <f>+C91+D91</f>
        <v>95033</v>
      </c>
      <c r="M91" s="447">
        <f>L91/G91</f>
        <v>44.805752003771808</v>
      </c>
    </row>
    <row r="92" spans="1:13" x14ac:dyDescent="0.15">
      <c r="A92" s="421" t="s">
        <v>1696</v>
      </c>
      <c r="B92" s="422" t="s">
        <v>1683</v>
      </c>
      <c r="C92" s="427">
        <v>5710000</v>
      </c>
      <c r="D92" s="427">
        <v>-101000</v>
      </c>
      <c r="E92" s="427">
        <v>215938</v>
      </c>
      <c r="F92" s="427">
        <v>133229</v>
      </c>
      <c r="G92" s="427">
        <v>130387</v>
      </c>
      <c r="H92" s="427">
        <v>393447</v>
      </c>
      <c r="I92" s="427">
        <v>328628</v>
      </c>
      <c r="K92" s="261">
        <f t="shared" ref="K92:K93" si="1">(H92/G92)^0.3333-1</f>
        <v>0.44500048657421121</v>
      </c>
      <c r="L92" s="448">
        <f t="shared" ref="L92:L93" si="2">+C92+D92</f>
        <v>5609000</v>
      </c>
      <c r="M92" s="447">
        <f t="shared" ref="M92:M93" si="3">L92/G92</f>
        <v>43.018092294477213</v>
      </c>
    </row>
    <row r="93" spans="1:13" x14ac:dyDescent="0.15">
      <c r="A93" s="421" t="s">
        <v>1697</v>
      </c>
      <c r="B93" s="422" t="s">
        <v>1683</v>
      </c>
      <c r="C93" s="427">
        <v>210888</v>
      </c>
      <c r="D93" s="427">
        <v>541</v>
      </c>
      <c r="E93" s="427">
        <v>44284</v>
      </c>
      <c r="F93" s="427">
        <v>13996</v>
      </c>
      <c r="G93" s="427">
        <v>12394</v>
      </c>
      <c r="H93" s="427">
        <v>10361</v>
      </c>
      <c r="I93" s="427">
        <v>8221</v>
      </c>
      <c r="K93" s="261">
        <f t="shared" si="1"/>
        <v>-5.796727990335071E-2</v>
      </c>
      <c r="L93" s="448">
        <f t="shared" si="2"/>
        <v>211429</v>
      </c>
      <c r="M93" s="447">
        <f t="shared" si="3"/>
        <v>17.058980151686299</v>
      </c>
    </row>
    <row r="94" spans="1:13" x14ac:dyDescent="0.15">
      <c r="A94" s="429" t="s">
        <v>1793</v>
      </c>
      <c r="B94" s="429" t="s">
        <v>1683</v>
      </c>
      <c r="C94" s="427">
        <v>243000</v>
      </c>
      <c r="D94" s="427">
        <v>-4900</v>
      </c>
      <c r="E94" s="427">
        <v>4920</v>
      </c>
      <c r="F94" s="427">
        <v>1128</v>
      </c>
      <c r="G94" s="427">
        <v>900</v>
      </c>
      <c r="H94" s="427">
        <v>3559</v>
      </c>
      <c r="I94" s="427">
        <v>3034</v>
      </c>
      <c r="K94" s="261">
        <f>(H94/G94)^0.3333-1</f>
        <v>0.58127931543054112</v>
      </c>
      <c r="L94" s="448">
        <f>+C94+D94</f>
        <v>238100</v>
      </c>
      <c r="M94" s="447">
        <f>L94/G94</f>
        <v>264.55555555555554</v>
      </c>
    </row>
    <row r="95" spans="1:13" x14ac:dyDescent="0.15">
      <c r="A95" s="430" t="s">
        <v>1794</v>
      </c>
      <c r="B95" s="430" t="s">
        <v>1683</v>
      </c>
      <c r="C95" s="428">
        <v>733280</v>
      </c>
      <c r="D95" s="428">
        <v>6730</v>
      </c>
      <c r="E95" s="428">
        <v>34639</v>
      </c>
      <c r="F95" s="428">
        <v>6719</v>
      </c>
      <c r="G95" s="428">
        <v>4938</v>
      </c>
      <c r="H95" s="428">
        <v>23345</v>
      </c>
      <c r="I95" s="428">
        <v>20188</v>
      </c>
      <c r="K95" s="261">
        <f>(H95/G95)^0.3333-1</f>
        <v>0.67825690531144267</v>
      </c>
      <c r="L95" s="448">
        <f>+C95+D95</f>
        <v>740010</v>
      </c>
      <c r="M95" s="447">
        <f>L95/G95</f>
        <v>149.8602673147023</v>
      </c>
    </row>
    <row r="122" spans="1:2" x14ac:dyDescent="0.15">
      <c r="A122" s="3" t="s">
        <v>1686</v>
      </c>
      <c r="B122" s="3">
        <v>121.04</v>
      </c>
    </row>
    <row r="123" spans="1:2" x14ac:dyDescent="0.15">
      <c r="A123" s="3" t="s">
        <v>1687</v>
      </c>
      <c r="B123" s="3">
        <v>3.0870000000000002</v>
      </c>
    </row>
    <row r="125" spans="1:2" x14ac:dyDescent="0.15">
      <c r="A125" s="3" t="s">
        <v>1685</v>
      </c>
      <c r="B125" s="423">
        <f>B122*K90+B123</f>
        <v>37.70724482042889</v>
      </c>
    </row>
    <row r="126" spans="1:2" x14ac:dyDescent="0.15">
      <c r="A126" s="3" t="s">
        <v>1232</v>
      </c>
      <c r="B126" s="424">
        <f>B125*G90</f>
        <v>426167.28096048732</v>
      </c>
    </row>
    <row r="127" spans="1:2" x14ac:dyDescent="0.15">
      <c r="A127" s="3" t="s">
        <v>1199</v>
      </c>
      <c r="B127" s="424">
        <v>-7886</v>
      </c>
    </row>
    <row r="128" spans="1:2" x14ac:dyDescent="0.15">
      <c r="A128" s="3" t="s">
        <v>262</v>
      </c>
      <c r="B128" s="105">
        <f>B126-B127</f>
        <v>434053.28096048732</v>
      </c>
    </row>
  </sheetData>
  <mergeCells count="1">
    <mergeCell ref="B6:C6"/>
  </mergeCells>
  <phoneticPr fontId="4" type="noConversion"/>
  <pageMargins left="0.78740157480314965" right="0.78740157480314965" top="0.98425196850393704" bottom="0.98425196850393704" header="0.51181102362204722" footer="0.51181102362204722"/>
  <pageSetup paperSize="9" scale="32" orientation="portrait"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euil29">
    <tabColor theme="0" tint="-0.14999847407452621"/>
    <pageSetUpPr fitToPage="1"/>
  </sheetPr>
  <dimension ref="A1:F133"/>
  <sheetViews>
    <sheetView showGridLines="0" zoomScale="91" zoomScaleNormal="140" workbookViewId="0"/>
  </sheetViews>
  <sheetFormatPr baseColWidth="10" defaultColWidth="11" defaultRowHeight="14" x14ac:dyDescent="0.15"/>
  <cols>
    <col min="1" max="1" width="21.83203125" style="3" customWidth="1"/>
    <col min="2" max="2" width="9.83203125" style="3" bestFit="1" customWidth="1"/>
    <col min="3" max="3" width="10" style="3" bestFit="1" customWidth="1"/>
    <col min="4" max="4" width="11" style="3"/>
    <col min="5" max="5" width="12.1640625" style="3" bestFit="1" customWidth="1"/>
    <col min="6" max="16384" width="11" style="3"/>
  </cols>
  <sheetData>
    <row r="1" spans="1:3" ht="15" x14ac:dyDescent="0.15">
      <c r="A1" s="1" t="s">
        <v>1225</v>
      </c>
    </row>
    <row r="2" spans="1:3" ht="15" x14ac:dyDescent="0.15">
      <c r="A2" s="8" t="s">
        <v>981</v>
      </c>
    </row>
    <row r="3" spans="1:3" x14ac:dyDescent="0.15">
      <c r="A3" s="3" t="s">
        <v>594</v>
      </c>
      <c r="B3" s="80">
        <v>0.6</v>
      </c>
    </row>
    <row r="4" spans="1:3" x14ac:dyDescent="0.15">
      <c r="A4" s="3" t="s">
        <v>595</v>
      </c>
      <c r="B4" s="104">
        <v>0.09</v>
      </c>
    </row>
    <row r="5" spans="1:3" x14ac:dyDescent="0.15">
      <c r="A5" s="3" t="s">
        <v>596</v>
      </c>
      <c r="B5" s="80">
        <f>1-B3</f>
        <v>0.4</v>
      </c>
    </row>
    <row r="6" spans="1:3" x14ac:dyDescent="0.15">
      <c r="A6" s="3" t="s">
        <v>597</v>
      </c>
      <c r="B6" s="104">
        <v>0.05</v>
      </c>
    </row>
    <row r="8" spans="1:3" x14ac:dyDescent="0.15">
      <c r="A8" s="7" t="s">
        <v>598</v>
      </c>
      <c r="B8" s="111">
        <f>B3*B4+B5*B6</f>
        <v>7.400000000000001E-2</v>
      </c>
    </row>
    <row r="10" spans="1:3" ht="15" x14ac:dyDescent="0.15">
      <c r="A10" s="8" t="s">
        <v>1227</v>
      </c>
    </row>
    <row r="11" spans="1:3" ht="15" x14ac:dyDescent="0.15">
      <c r="A11" s="8" t="s">
        <v>982</v>
      </c>
    </row>
    <row r="12" spans="1:3" x14ac:dyDescent="0.15">
      <c r="A12" s="317" t="s">
        <v>599</v>
      </c>
      <c r="B12" s="343" t="s">
        <v>983</v>
      </c>
      <c r="C12" s="343" t="s">
        <v>984</v>
      </c>
    </row>
    <row r="13" spans="1:3" x14ac:dyDescent="0.15">
      <c r="A13" s="3" t="s">
        <v>600</v>
      </c>
      <c r="B13" s="166">
        <v>10000</v>
      </c>
      <c r="C13" s="166">
        <v>10000</v>
      </c>
    </row>
    <row r="14" spans="1:3" x14ac:dyDescent="0.15">
      <c r="A14" s="100" t="s">
        <v>606</v>
      </c>
      <c r="B14" s="167"/>
      <c r="C14" s="167">
        <v>24000</v>
      </c>
    </row>
    <row r="15" spans="1:3" x14ac:dyDescent="0.15">
      <c r="A15" s="100" t="s">
        <v>597</v>
      </c>
      <c r="B15" s="521">
        <v>0.05</v>
      </c>
      <c r="C15" s="521"/>
    </row>
    <row r="16" spans="1:3" x14ac:dyDescent="0.15">
      <c r="A16" s="3" t="s">
        <v>1175</v>
      </c>
      <c r="B16" s="166">
        <f>B14*B15</f>
        <v>0</v>
      </c>
      <c r="C16" s="166">
        <f>C14*B15</f>
        <v>1200</v>
      </c>
    </row>
    <row r="17" spans="1:6" x14ac:dyDescent="0.15">
      <c r="A17" s="3" t="s">
        <v>1044</v>
      </c>
      <c r="B17" s="166">
        <f>B13-B16</f>
        <v>10000</v>
      </c>
      <c r="C17" s="166">
        <f>C13-C16</f>
        <v>8800</v>
      </c>
    </row>
    <row r="18" spans="1:6" ht="16" x14ac:dyDescent="0.15">
      <c r="A18" s="3" t="s">
        <v>1596</v>
      </c>
      <c r="B18" s="104">
        <v>0.08</v>
      </c>
      <c r="C18" s="104">
        <v>0.11</v>
      </c>
    </row>
    <row r="19" spans="1:6" ht="16" x14ac:dyDescent="0.15">
      <c r="A19" s="3" t="s">
        <v>1597</v>
      </c>
      <c r="B19" s="166">
        <v>125000</v>
      </c>
      <c r="C19" s="166">
        <v>80000</v>
      </c>
      <c r="E19" s="3">
        <v>1.5</v>
      </c>
      <c r="F19" s="104">
        <f>1-C23</f>
        <v>0.76923076923076916</v>
      </c>
    </row>
    <row r="20" spans="1:6" ht="16" x14ac:dyDescent="0.15">
      <c r="A20" s="3" t="s">
        <v>1598</v>
      </c>
      <c r="B20" s="166">
        <f>B14</f>
        <v>0</v>
      </c>
      <c r="C20" s="166">
        <f>C14</f>
        <v>24000</v>
      </c>
      <c r="D20" s="80">
        <f>C20/C19</f>
        <v>0.3</v>
      </c>
      <c r="E20" s="3">
        <v>0.3</v>
      </c>
      <c r="F20" s="104">
        <f>1-F19</f>
        <v>0.23076923076923084</v>
      </c>
    </row>
    <row r="21" spans="1:6" x14ac:dyDescent="0.15">
      <c r="A21" s="3" t="s">
        <v>530</v>
      </c>
      <c r="B21" s="166">
        <f>B19+B20</f>
        <v>125000</v>
      </c>
      <c r="C21" s="166">
        <f>C19+C20</f>
        <v>104000</v>
      </c>
      <c r="E21" s="29">
        <f>E19*F19+E20*F20</f>
        <v>1.223076923076923</v>
      </c>
    </row>
    <row r="22" spans="1:6" x14ac:dyDescent="0.15">
      <c r="A22" s="3" t="s">
        <v>598</v>
      </c>
      <c r="B22" s="67">
        <f>B18*B19/B21+B15*B20/B21</f>
        <v>0.08</v>
      </c>
      <c r="C22" s="50">
        <f>C18*C19/C21+B15*C20/C21</f>
        <v>9.6153846153846159E-2</v>
      </c>
    </row>
    <row r="23" spans="1:6" ht="16" x14ac:dyDescent="0.15">
      <c r="A23" s="3" t="s">
        <v>1599</v>
      </c>
      <c r="B23" s="67">
        <f>B20/B21</f>
        <v>0</v>
      </c>
      <c r="C23" s="67">
        <f>C20/C21</f>
        <v>0.23076923076923078</v>
      </c>
    </row>
    <row r="24" spans="1:6" x14ac:dyDescent="0.15">
      <c r="A24" s="3" t="s">
        <v>604</v>
      </c>
      <c r="B24" s="104">
        <v>1</v>
      </c>
      <c r="C24" s="104">
        <v>1</v>
      </c>
    </row>
    <row r="26" spans="1:6" x14ac:dyDescent="0.15">
      <c r="A26" s="149" t="s">
        <v>607</v>
      </c>
    </row>
    <row r="27" spans="1:6" x14ac:dyDescent="0.15">
      <c r="A27" s="3" t="s">
        <v>609</v>
      </c>
      <c r="B27" s="104">
        <v>0.01</v>
      </c>
      <c r="C27" s="104">
        <f>C28/C$19</f>
        <v>1.26953125E-2</v>
      </c>
      <c r="E27" s="168" t="s">
        <v>275</v>
      </c>
    </row>
    <row r="28" spans="1:6" x14ac:dyDescent="0.15">
      <c r="A28" s="3" t="s">
        <v>608</v>
      </c>
      <c r="B28" s="166">
        <f>B$19*B27</f>
        <v>1250</v>
      </c>
      <c r="C28" s="166">
        <f>B28/(1+C$23)</f>
        <v>1015.625</v>
      </c>
      <c r="D28" s="81">
        <f>C28/B$28</f>
        <v>0.8125</v>
      </c>
      <c r="E28" s="167">
        <f>C28*C23</f>
        <v>234.375</v>
      </c>
    </row>
    <row r="29" spans="1:6" x14ac:dyDescent="0.15">
      <c r="A29" s="88" t="s">
        <v>605</v>
      </c>
      <c r="B29" s="169">
        <f>B$17*B27</f>
        <v>100</v>
      </c>
      <c r="C29" s="169">
        <f>C$17*C27</f>
        <v>111.71875</v>
      </c>
    </row>
    <row r="30" spans="1:6" x14ac:dyDescent="0.15">
      <c r="A30" s="3" t="s">
        <v>611</v>
      </c>
    </row>
    <row r="31" spans="1:6" x14ac:dyDescent="0.15">
      <c r="A31" s="100" t="s">
        <v>610</v>
      </c>
      <c r="B31" s="167">
        <f>B28*B23</f>
        <v>0</v>
      </c>
      <c r="C31" s="167">
        <f>B28-C28</f>
        <v>234.375</v>
      </c>
      <c r="D31" s="81">
        <f>C31/B$28</f>
        <v>0.1875</v>
      </c>
    </row>
    <row r="32" spans="1:6" x14ac:dyDescent="0.15">
      <c r="A32" s="170" t="s">
        <v>1600</v>
      </c>
      <c r="B32" s="171">
        <f>B15</f>
        <v>0.05</v>
      </c>
      <c r="C32" s="171">
        <f>B$15</f>
        <v>0.05</v>
      </c>
    </row>
    <row r="33" spans="1:6" x14ac:dyDescent="0.15">
      <c r="A33" s="7" t="s">
        <v>612</v>
      </c>
      <c r="B33" s="147">
        <f>B29+B31*B32</f>
        <v>100</v>
      </c>
      <c r="C33" s="147">
        <f>C29+C31*C32</f>
        <v>123.4375</v>
      </c>
    </row>
    <row r="34" spans="1:6" x14ac:dyDescent="0.15">
      <c r="A34" s="3" t="s">
        <v>598</v>
      </c>
      <c r="B34" s="67">
        <f>B33/B$28</f>
        <v>0.08</v>
      </c>
      <c r="C34" s="67">
        <f>C33/C$28</f>
        <v>0.12153846153846154</v>
      </c>
    </row>
    <row r="36" spans="1:6" x14ac:dyDescent="0.15">
      <c r="A36" s="149" t="s">
        <v>613</v>
      </c>
    </row>
    <row r="37" spans="1:6" x14ac:dyDescent="0.15">
      <c r="A37" s="149"/>
    </row>
    <row r="38" spans="1:6" x14ac:dyDescent="0.15">
      <c r="A38" s="3" t="s">
        <v>281</v>
      </c>
      <c r="B38" s="166">
        <f>B28</f>
        <v>1250</v>
      </c>
    </row>
    <row r="39" spans="1:6" x14ac:dyDescent="0.15">
      <c r="A39" s="3" t="s">
        <v>289</v>
      </c>
      <c r="C39" s="166">
        <f>B38</f>
        <v>1250</v>
      </c>
    </row>
    <row r="40" spans="1:6" x14ac:dyDescent="0.15">
      <c r="C40" s="166"/>
    </row>
    <row r="41" spans="1:6" x14ac:dyDescent="0.15">
      <c r="A41" s="172" t="s">
        <v>282</v>
      </c>
      <c r="B41" s="104"/>
    </row>
    <row r="42" spans="1:6" x14ac:dyDescent="0.15">
      <c r="A42" s="172"/>
      <c r="B42" s="104"/>
    </row>
    <row r="43" spans="1:6" x14ac:dyDescent="0.15">
      <c r="A43" s="103" t="s">
        <v>288</v>
      </c>
      <c r="B43" s="104"/>
    </row>
    <row r="44" spans="1:6" x14ac:dyDescent="0.15">
      <c r="A44" s="3" t="s">
        <v>290</v>
      </c>
      <c r="C44" s="104">
        <f>C23</f>
        <v>0.23076923076923078</v>
      </c>
    </row>
    <row r="45" spans="1:6" x14ac:dyDescent="0.15">
      <c r="A45" s="149"/>
      <c r="C45" s="104"/>
    </row>
    <row r="46" spans="1:6" x14ac:dyDescent="0.15">
      <c r="A46" s="3" t="s">
        <v>283</v>
      </c>
      <c r="C46" s="166">
        <f>C39*(1-C44)</f>
        <v>961.53846153846143</v>
      </c>
      <c r="D46" s="80"/>
      <c r="F46" s="29"/>
    </row>
    <row r="47" spans="1:6" x14ac:dyDescent="0.15">
      <c r="A47" s="3" t="s">
        <v>284</v>
      </c>
      <c r="C47" s="169">
        <f>C39-C46</f>
        <v>288.46153846153857</v>
      </c>
      <c r="D47" s="80"/>
      <c r="F47" s="29"/>
    </row>
    <row r="48" spans="1:6" x14ac:dyDescent="0.15">
      <c r="C48" s="166">
        <f>C46+C47</f>
        <v>1250</v>
      </c>
      <c r="E48" s="29"/>
      <c r="F48" s="29"/>
    </row>
    <row r="49" spans="1:3" x14ac:dyDescent="0.15">
      <c r="C49" s="104"/>
    </row>
    <row r="50" spans="1:3" x14ac:dyDescent="0.15">
      <c r="A50" s="3" t="s">
        <v>285</v>
      </c>
      <c r="C50" s="166">
        <f>C46*C18</f>
        <v>105.76923076923076</v>
      </c>
    </row>
    <row r="51" spans="1:3" x14ac:dyDescent="0.15">
      <c r="A51" s="3" t="s">
        <v>286</v>
      </c>
      <c r="C51" s="169">
        <f>C47*B15</f>
        <v>14.423076923076929</v>
      </c>
    </row>
    <row r="52" spans="1:3" x14ac:dyDescent="0.15">
      <c r="C52" s="166">
        <f>C50+C51</f>
        <v>120.19230769230769</v>
      </c>
    </row>
    <row r="53" spans="1:3" x14ac:dyDescent="0.15">
      <c r="C53" s="104"/>
    </row>
    <row r="54" spans="1:3" x14ac:dyDescent="0.15">
      <c r="A54" s="3" t="s">
        <v>287</v>
      </c>
      <c r="C54" s="173">
        <f>C52/C39</f>
        <v>9.6153846153846159E-2</v>
      </c>
    </row>
    <row r="55" spans="1:3" x14ac:dyDescent="0.15">
      <c r="A55" s="149"/>
      <c r="C55" s="104"/>
    </row>
    <row r="56" spans="1:3" x14ac:dyDescent="0.15">
      <c r="A56" s="3" t="s">
        <v>291</v>
      </c>
      <c r="C56" s="104"/>
    </row>
    <row r="57" spans="1:3" x14ac:dyDescent="0.15">
      <c r="A57" s="149"/>
      <c r="C57" s="104"/>
    </row>
    <row r="58" spans="1:3" x14ac:dyDescent="0.15">
      <c r="A58" s="149" t="s">
        <v>292</v>
      </c>
      <c r="C58" s="104"/>
    </row>
    <row r="59" spans="1:3" x14ac:dyDescent="0.15">
      <c r="A59" s="3" t="s">
        <v>1370</v>
      </c>
      <c r="B59" s="105">
        <v>114000</v>
      </c>
      <c r="C59" s="104"/>
    </row>
    <row r="60" spans="1:3" x14ac:dyDescent="0.15">
      <c r="A60" s="149"/>
      <c r="C60" s="104"/>
    </row>
    <row r="61" spans="1:3" x14ac:dyDescent="0.15">
      <c r="A61" s="349"/>
      <c r="B61" s="343" t="s">
        <v>73</v>
      </c>
      <c r="C61" s="367" t="s">
        <v>74</v>
      </c>
    </row>
    <row r="62" spans="1:3" x14ac:dyDescent="0.15">
      <c r="A62" s="3" t="s">
        <v>293</v>
      </c>
      <c r="B62" s="92">
        <f>B59/B17</f>
        <v>11.4</v>
      </c>
      <c r="C62" s="92">
        <f>(B59-C20)/C17</f>
        <v>10.227272727272727</v>
      </c>
    </row>
    <row r="63" spans="1:3" x14ac:dyDescent="0.15">
      <c r="A63" s="149"/>
      <c r="C63" s="104"/>
    </row>
    <row r="64" spans="1:3" x14ac:dyDescent="0.15">
      <c r="A64" s="149"/>
      <c r="C64" s="104"/>
    </row>
    <row r="65" spans="1:5" x14ac:dyDescent="0.15">
      <c r="A65" s="174"/>
      <c r="B65" s="175"/>
      <c r="C65" s="176"/>
      <c r="D65" s="175"/>
      <c r="E65" s="175"/>
    </row>
    <row r="66" spans="1:5" x14ac:dyDescent="0.15">
      <c r="A66" s="7" t="s">
        <v>864</v>
      </c>
      <c r="B66" s="166">
        <v>111400</v>
      </c>
      <c r="C66" s="166">
        <f>B66</f>
        <v>111400</v>
      </c>
    </row>
    <row r="67" spans="1:5" x14ac:dyDescent="0.15">
      <c r="A67" s="3" t="s">
        <v>602</v>
      </c>
      <c r="B67" s="166">
        <f>B20</f>
        <v>0</v>
      </c>
      <c r="C67" s="166">
        <v>21000</v>
      </c>
    </row>
    <row r="68" spans="1:5" x14ac:dyDescent="0.15">
      <c r="A68" s="3" t="s">
        <v>601</v>
      </c>
      <c r="B68" s="166">
        <f>B66-B67</f>
        <v>111400</v>
      </c>
      <c r="C68" s="166">
        <f>C66-C67</f>
        <v>90400</v>
      </c>
    </row>
    <row r="69" spans="1:5" x14ac:dyDescent="0.15">
      <c r="A69" s="3" t="s">
        <v>603</v>
      </c>
      <c r="B69" s="67">
        <f>B67/B66</f>
        <v>0</v>
      </c>
      <c r="C69" s="67">
        <f>C67/C66</f>
        <v>0.18850987432675045</v>
      </c>
    </row>
    <row r="70" spans="1:5" x14ac:dyDescent="0.15">
      <c r="A70" s="100" t="s">
        <v>595</v>
      </c>
      <c r="B70" s="125">
        <f>B17/B68</f>
        <v>8.9766606822262118E-2</v>
      </c>
      <c r="C70" s="125">
        <f>C17/C68</f>
        <v>9.7345132743362831E-2</v>
      </c>
    </row>
    <row r="71" spans="1:5" x14ac:dyDescent="0.15">
      <c r="A71" s="100" t="s">
        <v>597</v>
      </c>
      <c r="B71" s="125"/>
      <c r="C71" s="125">
        <f>C16/C67</f>
        <v>5.7142857142857141E-2</v>
      </c>
    </row>
    <row r="72" spans="1:5" x14ac:dyDescent="0.15">
      <c r="A72" s="100" t="s">
        <v>598</v>
      </c>
      <c r="B72" s="125">
        <f>(B70*B68+B71*B67)/(B68+B67)</f>
        <v>8.9766606822262118E-2</v>
      </c>
      <c r="C72" s="125">
        <f>(C70*C68+C71*C67)/(C68+C67)</f>
        <v>8.9766606822262118E-2</v>
      </c>
    </row>
    <row r="73" spans="1:5" x14ac:dyDescent="0.15">
      <c r="B73" s="166"/>
      <c r="C73" s="166"/>
    </row>
    <row r="74" spans="1:5" x14ac:dyDescent="0.15">
      <c r="A74" s="3" t="s">
        <v>869</v>
      </c>
      <c r="B74" s="166">
        <v>1250</v>
      </c>
      <c r="C74" s="166">
        <f>B74</f>
        <v>1250</v>
      </c>
    </row>
    <row r="75" spans="1:5" x14ac:dyDescent="0.15">
      <c r="B75" s="166"/>
      <c r="C75" s="166"/>
    </row>
    <row r="76" spans="1:5" x14ac:dyDescent="0.15">
      <c r="A76" s="88" t="s">
        <v>867</v>
      </c>
      <c r="B76" s="177"/>
      <c r="C76" s="177"/>
      <c r="E76" s="168"/>
    </row>
    <row r="77" spans="1:5" x14ac:dyDescent="0.15">
      <c r="A77" s="3" t="s">
        <v>868</v>
      </c>
      <c r="B77" s="55">
        <f>B78/B68</f>
        <v>1.1220825852782765E-2</v>
      </c>
      <c r="C77" s="55">
        <f>C78/C68</f>
        <v>1.1634260620805819E-2</v>
      </c>
      <c r="E77" s="168" t="s">
        <v>614</v>
      </c>
    </row>
    <row r="78" spans="1:5" x14ac:dyDescent="0.15">
      <c r="A78" s="100" t="s">
        <v>608</v>
      </c>
      <c r="B78" s="167">
        <f>B74</f>
        <v>1250</v>
      </c>
      <c r="C78" s="167">
        <f>C74*D78</f>
        <v>1051.7371601208461</v>
      </c>
      <c r="D78" s="67">
        <f>1/(1+C69)</f>
        <v>0.84138972809667678</v>
      </c>
      <c r="E78" s="167">
        <f>C78*C69</f>
        <v>198.26283987915411</v>
      </c>
    </row>
    <row r="79" spans="1:5" x14ac:dyDescent="0.15">
      <c r="A79" s="100" t="s">
        <v>605</v>
      </c>
      <c r="B79" s="167">
        <f>B17*B77</f>
        <v>112.20825852782765</v>
      </c>
      <c r="C79" s="167">
        <f>C17*C77</f>
        <v>102.3814934630912</v>
      </c>
    </row>
    <row r="80" spans="1:5" x14ac:dyDescent="0.15">
      <c r="A80" s="100" t="s">
        <v>598</v>
      </c>
      <c r="B80" s="178">
        <f>B79/B78</f>
        <v>8.9766606822262118E-2</v>
      </c>
      <c r="C80" s="178">
        <f>C79/C78</f>
        <v>9.7345132743362831E-2</v>
      </c>
    </row>
    <row r="81" spans="1:4" x14ac:dyDescent="0.15">
      <c r="A81" s="88" t="s">
        <v>865</v>
      </c>
      <c r="B81" s="88"/>
      <c r="C81" s="88"/>
    </row>
    <row r="82" spans="1:4" x14ac:dyDescent="0.15">
      <c r="A82" s="100" t="s">
        <v>610</v>
      </c>
      <c r="B82" s="22"/>
      <c r="C82" s="167">
        <f>B78-C78</f>
        <v>198.26283987915394</v>
      </c>
      <c r="D82" s="67">
        <f>C82/B78</f>
        <v>0.15861027190332316</v>
      </c>
    </row>
    <row r="83" spans="1:4" x14ac:dyDescent="0.15">
      <c r="A83" s="100" t="s">
        <v>866</v>
      </c>
      <c r="B83" s="22"/>
      <c r="C83" s="167">
        <f>C82*C84</f>
        <v>9.9131419939576979</v>
      </c>
      <c r="D83" s="67"/>
    </row>
    <row r="84" spans="1:4" x14ac:dyDescent="0.15">
      <c r="A84" s="170" t="s">
        <v>598</v>
      </c>
      <c r="B84" s="171">
        <f>+B15</f>
        <v>0.05</v>
      </c>
      <c r="C84" s="171">
        <f>B$15</f>
        <v>0.05</v>
      </c>
    </row>
    <row r="85" spans="1:4" x14ac:dyDescent="0.15">
      <c r="A85" s="3" t="s">
        <v>612</v>
      </c>
      <c r="B85" s="166">
        <f>B79+B82*B84</f>
        <v>112.20825852782765</v>
      </c>
      <c r="C85" s="166">
        <f>C79+C82*C84</f>
        <v>112.2946354570489</v>
      </c>
      <c r="D85" s="166">
        <f>C85-B85</f>
        <v>8.6376929221245291E-2</v>
      </c>
    </row>
    <row r="86" spans="1:4" x14ac:dyDescent="0.15">
      <c r="A86" s="3" t="s">
        <v>598</v>
      </c>
      <c r="B86" s="50">
        <f>B85/B78</f>
        <v>8.9766606822262118E-2</v>
      </c>
      <c r="C86" s="50">
        <f>C85/(C78+C82)</f>
        <v>8.9835708365639116E-2</v>
      </c>
    </row>
    <row r="87" spans="1:4" x14ac:dyDescent="0.15">
      <c r="A87" s="7" t="s">
        <v>534</v>
      </c>
      <c r="B87" s="68">
        <f>B68/B17</f>
        <v>11.14</v>
      </c>
      <c r="C87" s="68">
        <f>C68/C17</f>
        <v>10.272727272727273</v>
      </c>
    </row>
    <row r="89" spans="1:4" ht="15" x14ac:dyDescent="0.15">
      <c r="A89" s="8" t="s">
        <v>193</v>
      </c>
    </row>
    <row r="90" spans="1:4" ht="15" x14ac:dyDescent="0.15">
      <c r="A90" s="8"/>
    </row>
    <row r="91" spans="1:4" ht="15" x14ac:dyDescent="0.15">
      <c r="A91" s="117" t="s">
        <v>65</v>
      </c>
    </row>
    <row r="92" spans="1:4" x14ac:dyDescent="0.15">
      <c r="A92" s="3" t="s">
        <v>617</v>
      </c>
      <c r="B92" s="67">
        <v>0.08</v>
      </c>
    </row>
    <row r="93" spans="1:4" x14ac:dyDescent="0.15">
      <c r="A93" s="7" t="s">
        <v>615</v>
      </c>
      <c r="B93" s="110">
        <f>B92</f>
        <v>0.08</v>
      </c>
    </row>
    <row r="94" spans="1:4" x14ac:dyDescent="0.15">
      <c r="A94" s="3" t="s">
        <v>618</v>
      </c>
      <c r="B94" s="102">
        <v>100</v>
      </c>
    </row>
    <row r="95" spans="1:4" x14ac:dyDescent="0.15">
      <c r="B95" s="102"/>
    </row>
    <row r="96" spans="1:4" x14ac:dyDescent="0.15">
      <c r="A96" s="3" t="s">
        <v>66</v>
      </c>
    </row>
    <row r="97" spans="1:2" x14ac:dyDescent="0.15">
      <c r="A97" s="3" t="s">
        <v>621</v>
      </c>
      <c r="B97" s="146">
        <f>B94</f>
        <v>100</v>
      </c>
    </row>
    <row r="98" spans="1:2" x14ac:dyDescent="0.15">
      <c r="A98" s="3" t="s">
        <v>619</v>
      </c>
      <c r="B98" s="146">
        <f>B94/3</f>
        <v>33.333333333333336</v>
      </c>
    </row>
    <row r="99" spans="1:2" x14ac:dyDescent="0.15">
      <c r="A99" s="3" t="s">
        <v>616</v>
      </c>
      <c r="B99" s="67">
        <v>0.05</v>
      </c>
    </row>
    <row r="100" spans="1:2" x14ac:dyDescent="0.15">
      <c r="A100" s="3" t="s">
        <v>620</v>
      </c>
      <c r="B100" s="146">
        <f>B97-B98</f>
        <v>66.666666666666657</v>
      </c>
    </row>
    <row r="101" spans="1:2" x14ac:dyDescent="0.15">
      <c r="A101" s="7" t="s">
        <v>622</v>
      </c>
      <c r="B101" s="110">
        <f>(B92-B99*B98/B97)*B97/B100</f>
        <v>9.5000000000000001E-2</v>
      </c>
    </row>
    <row r="102" spans="1:2" x14ac:dyDescent="0.15">
      <c r="A102" s="3" t="s">
        <v>624</v>
      </c>
      <c r="B102" s="67">
        <f>B99*B98/B97+B101*B100/B97</f>
        <v>7.9999999999999988E-2</v>
      </c>
    </row>
    <row r="103" spans="1:2" x14ac:dyDescent="0.15">
      <c r="B103" s="67"/>
    </row>
    <row r="104" spans="1:2" x14ac:dyDescent="0.15">
      <c r="A104" s="3" t="s">
        <v>225</v>
      </c>
    </row>
    <row r="105" spans="1:2" x14ac:dyDescent="0.15">
      <c r="A105" s="3" t="s">
        <v>626</v>
      </c>
      <c r="B105" s="99">
        <v>1.2</v>
      </c>
    </row>
    <row r="106" spans="1:2" x14ac:dyDescent="0.15">
      <c r="A106" s="3" t="s">
        <v>489</v>
      </c>
      <c r="B106" s="80">
        <v>0.04</v>
      </c>
    </row>
    <row r="107" spans="1:2" x14ac:dyDescent="0.15">
      <c r="A107" s="7" t="s">
        <v>627</v>
      </c>
      <c r="B107" s="98">
        <f>(B105*B106+B101-B93)/B106</f>
        <v>1.5750000000000004</v>
      </c>
    </row>
    <row r="109" spans="1:2" x14ac:dyDescent="0.15">
      <c r="A109" s="3" t="s">
        <v>623</v>
      </c>
      <c r="B109" s="99">
        <f>B105</f>
        <v>1.2</v>
      </c>
    </row>
    <row r="110" spans="1:2" x14ac:dyDescent="0.15">
      <c r="A110" s="3" t="s">
        <v>625</v>
      </c>
      <c r="B110" s="99">
        <f>B109</f>
        <v>1.2</v>
      </c>
    </row>
    <row r="111" spans="1:2" x14ac:dyDescent="0.15">
      <c r="A111" s="7" t="s">
        <v>628</v>
      </c>
      <c r="B111" s="98">
        <f>(B110-B107*B100/B97)*B97/B98</f>
        <v>0.44999999999999968</v>
      </c>
    </row>
    <row r="113" spans="1:3" ht="15" x14ac:dyDescent="0.15">
      <c r="A113" s="8" t="s">
        <v>157</v>
      </c>
    </row>
    <row r="114" spans="1:3" x14ac:dyDescent="0.15">
      <c r="A114" s="3" t="s">
        <v>1505</v>
      </c>
      <c r="B114" s="68">
        <v>0.67</v>
      </c>
    </row>
    <row r="115" spans="1:3" x14ac:dyDescent="0.15">
      <c r="A115" s="3" t="s">
        <v>1355</v>
      </c>
      <c r="B115" s="68">
        <v>0.8</v>
      </c>
    </row>
    <row r="116" spans="1:3" x14ac:dyDescent="0.15">
      <c r="B116" s="68"/>
    </row>
    <row r="117" spans="1:3" x14ac:dyDescent="0.15">
      <c r="A117" s="3" t="s">
        <v>486</v>
      </c>
      <c r="B117" s="104">
        <v>0.03</v>
      </c>
    </row>
    <row r="118" spans="1:3" x14ac:dyDescent="0.15">
      <c r="A118" s="3" t="s">
        <v>489</v>
      </c>
      <c r="B118" s="104">
        <v>0.09</v>
      </c>
    </row>
    <row r="119" spans="1:3" x14ac:dyDescent="0.15">
      <c r="B119" s="68"/>
    </row>
    <row r="120" spans="1:3" x14ac:dyDescent="0.15">
      <c r="A120" s="7" t="s">
        <v>1441</v>
      </c>
      <c r="B120" s="111">
        <f>B$117+B$118*B114</f>
        <v>9.0299999999999991E-2</v>
      </c>
    </row>
    <row r="121" spans="1:3" x14ac:dyDescent="0.15">
      <c r="A121" s="7" t="s">
        <v>1356</v>
      </c>
      <c r="B121" s="111">
        <f>B$117+B$118*B115</f>
        <v>0.10199999999999999</v>
      </c>
    </row>
    <row r="123" spans="1:3" x14ac:dyDescent="0.15">
      <c r="A123" s="3" t="s">
        <v>1442</v>
      </c>
      <c r="B123" s="104">
        <v>0.05</v>
      </c>
    </row>
    <row r="124" spans="1:3" x14ac:dyDescent="0.15">
      <c r="A124" s="3" t="s">
        <v>1443</v>
      </c>
      <c r="B124" s="80">
        <v>1</v>
      </c>
    </row>
    <row r="125" spans="1:3" x14ac:dyDescent="0.15">
      <c r="A125" s="3" t="s">
        <v>1444</v>
      </c>
      <c r="B125" s="80">
        <f>1/(1+B124)</f>
        <v>0.5</v>
      </c>
    </row>
    <row r="126" spans="1:3" x14ac:dyDescent="0.15">
      <c r="A126" s="3" t="s">
        <v>1445</v>
      </c>
      <c r="B126" s="80">
        <f>B124/(B124+1)</f>
        <v>0.5</v>
      </c>
      <c r="C126" s="80"/>
    </row>
    <row r="127" spans="1:3" x14ac:dyDescent="0.15">
      <c r="A127" s="3" t="s">
        <v>1446</v>
      </c>
      <c r="B127" s="104">
        <f>B120*B125+B123*B126</f>
        <v>7.014999999999999E-2</v>
      </c>
    </row>
    <row r="128" spans="1:3" x14ac:dyDescent="0.15">
      <c r="B128" s="80"/>
    </row>
    <row r="129" spans="1:3" x14ac:dyDescent="0.15">
      <c r="A129" s="3" t="s">
        <v>1357</v>
      </c>
      <c r="B129" s="104">
        <f>B127</f>
        <v>7.014999999999999E-2</v>
      </c>
      <c r="C129" s="56"/>
    </row>
    <row r="130" spans="1:3" x14ac:dyDescent="0.15">
      <c r="A130" s="3" t="s">
        <v>1358</v>
      </c>
      <c r="B130" s="104">
        <v>5.3999999999999999E-2</v>
      </c>
    </row>
    <row r="131" spans="1:3" x14ac:dyDescent="0.15">
      <c r="A131" s="3" t="s">
        <v>1359</v>
      </c>
      <c r="B131" s="80">
        <f>(B129-B130)/(B121-B130)</f>
        <v>0.33645833333333319</v>
      </c>
    </row>
    <row r="132" spans="1:3" x14ac:dyDescent="0.15">
      <c r="A132" s="3" t="s">
        <v>1360</v>
      </c>
      <c r="B132" s="80">
        <f>1-B131</f>
        <v>0.66354166666666681</v>
      </c>
    </row>
    <row r="133" spans="1:3" x14ac:dyDescent="0.15">
      <c r="A133" s="3" t="s">
        <v>1361</v>
      </c>
      <c r="B133" s="179">
        <f>B132/B131</f>
        <v>1.972136222910218</v>
      </c>
    </row>
  </sheetData>
  <mergeCells count="1">
    <mergeCell ref="B15:C15"/>
  </mergeCells>
  <phoneticPr fontId="4" type="noConversion"/>
  <pageMargins left="0.78740157480314965" right="0.78740157480314965" top="0.98425196850393704" bottom="0.98425196850393704" header="0.51181102362204722" footer="0.51181102362204722"/>
  <pageSetup paperSize="9" fitToHeight="4"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CA50"/>
  <sheetViews>
    <sheetView showGridLines="0" zoomScaleNormal="100" workbookViewId="0"/>
  </sheetViews>
  <sheetFormatPr baseColWidth="10" defaultColWidth="11" defaultRowHeight="14" x14ac:dyDescent="0.15"/>
  <cols>
    <col min="1" max="1" width="60.1640625" style="3" customWidth="1"/>
    <col min="2" max="2" width="15.1640625" style="108" customWidth="1"/>
    <col min="3" max="4" width="11" style="3"/>
    <col min="5" max="5" width="10.1640625" style="3" customWidth="1"/>
    <col min="6" max="6" width="31.1640625" style="3" bestFit="1" customWidth="1"/>
    <col min="7" max="7" width="11" style="3"/>
    <col min="8" max="8" width="2.83203125" style="3" customWidth="1"/>
    <col min="9" max="9" width="3.83203125" style="3" customWidth="1"/>
    <col min="10" max="10" width="41.5" style="3" bestFit="1" customWidth="1"/>
    <col min="11" max="16384" width="11" style="3"/>
  </cols>
  <sheetData>
    <row r="1" spans="1:79" ht="15" x14ac:dyDescent="0.15">
      <c r="A1" s="1" t="s">
        <v>1618</v>
      </c>
      <c r="B1" s="304"/>
    </row>
    <row r="2" spans="1:79" ht="15" x14ac:dyDescent="0.15">
      <c r="A2" s="359" t="s">
        <v>939</v>
      </c>
      <c r="B2" s="378"/>
      <c r="C2" s="343" t="s">
        <v>1153</v>
      </c>
      <c r="D2" s="343" t="s">
        <v>1154</v>
      </c>
      <c r="E2" s="343" t="s">
        <v>1155</v>
      </c>
      <c r="F2" s="343" t="s">
        <v>1165</v>
      </c>
    </row>
    <row r="3" spans="1:79" ht="15" x14ac:dyDescent="0.15">
      <c r="A3" s="305" t="s">
        <v>1045</v>
      </c>
      <c r="B3" s="389"/>
      <c r="C3" s="169">
        <v>0</v>
      </c>
      <c r="D3" s="169">
        <f>-'Chapitre 2'!F20-'Chapitre 3'!B74</f>
        <v>24</v>
      </c>
      <c r="E3" s="169">
        <f>D3-'Chapitre 3'!C74</f>
        <v>18</v>
      </c>
      <c r="F3" s="169">
        <f>E3-'Chapitre 3'!D74</f>
        <v>12</v>
      </c>
    </row>
    <row r="4" spans="1:79" ht="15" x14ac:dyDescent="0.15">
      <c r="A4" s="182" t="s">
        <v>933</v>
      </c>
      <c r="B4" s="306"/>
      <c r="C4" s="166">
        <f>C5+C6</f>
        <v>0</v>
      </c>
      <c r="D4" s="166">
        <f>D5+D6</f>
        <v>14</v>
      </c>
      <c r="E4" s="166">
        <f>E5+E6</f>
        <v>14</v>
      </c>
      <c r="F4" s="166">
        <f>F5+F6</f>
        <v>14</v>
      </c>
    </row>
    <row r="5" spans="1:79" s="22" customFormat="1" ht="12" x14ac:dyDescent="0.15">
      <c r="A5" s="17" t="s">
        <v>1156</v>
      </c>
      <c r="B5" s="307"/>
      <c r="C5" s="388">
        <v>0</v>
      </c>
      <c r="D5" s="167">
        <f>'Chapitre 3'!B68</f>
        <v>10</v>
      </c>
      <c r="E5" s="167">
        <f>D5</f>
        <v>10</v>
      </c>
      <c r="F5" s="167">
        <f>E5</f>
        <v>10</v>
      </c>
      <c r="G5" s="31"/>
      <c r="H5" s="31"/>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1"/>
      <c r="CA5" s="31"/>
    </row>
    <row r="6" spans="1:79" s="22" customFormat="1" ht="12" x14ac:dyDescent="0.15">
      <c r="A6" s="17" t="s">
        <v>1157</v>
      </c>
      <c r="B6" s="307"/>
      <c r="C6" s="388">
        <v>0</v>
      </c>
      <c r="D6" s="167">
        <v>4</v>
      </c>
      <c r="E6" s="167">
        <v>4</v>
      </c>
      <c r="F6" s="167">
        <v>4</v>
      </c>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c r="CA6" s="31"/>
    </row>
    <row r="7" spans="1:79" ht="15" x14ac:dyDescent="0.15">
      <c r="A7" s="182" t="s">
        <v>1119</v>
      </c>
      <c r="B7" s="306"/>
      <c r="C7" s="166">
        <v>0</v>
      </c>
      <c r="D7" s="166">
        <v>36</v>
      </c>
      <c r="E7" s="166">
        <f>D7</f>
        <v>36</v>
      </c>
      <c r="F7" s="166">
        <f>E7</f>
        <v>36</v>
      </c>
    </row>
    <row r="8" spans="1:79" ht="15" x14ac:dyDescent="0.15">
      <c r="A8" s="182" t="s">
        <v>1120</v>
      </c>
      <c r="B8" s="306"/>
      <c r="C8" s="166">
        <v>0</v>
      </c>
      <c r="D8" s="166">
        <f>52-'Chapitre 2'!C30+'Chapitre 2'!G17</f>
        <v>14</v>
      </c>
      <c r="E8" s="166">
        <f>D8</f>
        <v>14</v>
      </c>
      <c r="F8" s="166">
        <f>E8</f>
        <v>14</v>
      </c>
    </row>
    <row r="9" spans="1:79" ht="15" x14ac:dyDescent="0.15">
      <c r="A9" s="308" t="s">
        <v>1121</v>
      </c>
      <c r="B9" s="309"/>
      <c r="C9" s="166">
        <f>C4-C7+C8</f>
        <v>0</v>
      </c>
      <c r="D9" s="166">
        <f>D4+D7-D8</f>
        <v>36</v>
      </c>
      <c r="E9" s="166">
        <f>E4+E7-E8</f>
        <v>36</v>
      </c>
      <c r="F9" s="166">
        <f>F4+F7-F8</f>
        <v>36</v>
      </c>
    </row>
    <row r="10" spans="1:79" ht="15" x14ac:dyDescent="0.15">
      <c r="A10" s="182" t="s">
        <v>1122</v>
      </c>
      <c r="B10" s="306"/>
      <c r="C10" s="166">
        <v>0</v>
      </c>
      <c r="D10" s="166">
        <v>0</v>
      </c>
      <c r="E10" s="166">
        <v>0</v>
      </c>
      <c r="F10" s="166">
        <v>0</v>
      </c>
    </row>
    <row r="11" spans="1:79" ht="15" x14ac:dyDescent="0.15">
      <c r="A11" s="310" t="s">
        <v>1123</v>
      </c>
      <c r="B11" s="390"/>
      <c r="C11" s="169">
        <f>C9+C10</f>
        <v>0</v>
      </c>
      <c r="D11" s="169">
        <f>D9+D10</f>
        <v>36</v>
      </c>
      <c r="E11" s="169">
        <f>E9+E10</f>
        <v>36</v>
      </c>
      <c r="F11" s="169">
        <f>F9+F10</f>
        <v>36</v>
      </c>
    </row>
    <row r="12" spans="1:79" ht="15" x14ac:dyDescent="0.15">
      <c r="A12" s="311" t="s">
        <v>1046</v>
      </c>
      <c r="B12" s="312"/>
      <c r="C12" s="166">
        <f>C3+C11</f>
        <v>0</v>
      </c>
      <c r="D12" s="166">
        <f>D3+D11</f>
        <v>60</v>
      </c>
      <c r="E12" s="166">
        <f>E3+E11</f>
        <v>54</v>
      </c>
      <c r="F12" s="166">
        <f>F3+F11</f>
        <v>48</v>
      </c>
    </row>
    <row r="13" spans="1:79" x14ac:dyDescent="0.15">
      <c r="A13" s="6"/>
      <c r="B13" s="313"/>
      <c r="C13" s="166"/>
      <c r="D13" s="251"/>
      <c r="E13" s="251"/>
      <c r="F13" s="251"/>
    </row>
    <row r="14" spans="1:79" x14ac:dyDescent="0.15">
      <c r="A14" s="7" t="s">
        <v>1047</v>
      </c>
      <c r="B14" s="273"/>
      <c r="C14" s="166">
        <v>40</v>
      </c>
      <c r="D14" s="251">
        <f>C14+'Chapitre 3'!B79</f>
        <v>54.1</v>
      </c>
      <c r="E14" s="251">
        <f>D14+'Chapitre 3'!C79</f>
        <v>70.599999999999994</v>
      </c>
      <c r="F14" s="251">
        <f>E14+'Chapitre 3'!D79</f>
        <v>87.5</v>
      </c>
    </row>
    <row r="15" spans="1:79" x14ac:dyDescent="0.15">
      <c r="A15" s="88" t="s">
        <v>1048</v>
      </c>
      <c r="B15" s="391"/>
      <c r="C15" s="169">
        <v>0</v>
      </c>
      <c r="D15" s="284"/>
      <c r="E15" s="284"/>
      <c r="F15" s="284"/>
    </row>
    <row r="16" spans="1:79" x14ac:dyDescent="0.15">
      <c r="A16" s="3" t="s">
        <v>1115</v>
      </c>
      <c r="C16" s="166">
        <v>0</v>
      </c>
      <c r="D16" s="166">
        <f>-SUM('Chapitre 2'!$C37:C37)</f>
        <v>16</v>
      </c>
      <c r="E16" s="166">
        <f>-SUM('Chapitre 2'!$C37:D37)</f>
        <v>12</v>
      </c>
      <c r="F16" s="166">
        <f>-SUM('Chapitre 2'!$C37:E37)</f>
        <v>8</v>
      </c>
    </row>
    <row r="17" spans="1:11" x14ac:dyDescent="0.15">
      <c r="A17" s="86" t="s">
        <v>1117</v>
      </c>
      <c r="B17" s="314"/>
      <c r="C17" s="166">
        <v>0</v>
      </c>
      <c r="D17" s="166">
        <v>0</v>
      </c>
      <c r="E17" s="166">
        <v>0</v>
      </c>
      <c r="F17" s="166">
        <v>0</v>
      </c>
    </row>
    <row r="18" spans="1:11" x14ac:dyDescent="0.15">
      <c r="A18" s="86" t="s">
        <v>1116</v>
      </c>
      <c r="B18" s="314"/>
      <c r="C18" s="166">
        <v>40</v>
      </c>
      <c r="D18" s="251">
        <f>C18+'Chapitre 2'!C39</f>
        <v>10.100000000000001</v>
      </c>
      <c r="E18" s="251">
        <f>D18+'Chapitre 2'!D39</f>
        <v>28.6</v>
      </c>
      <c r="F18" s="251">
        <f>E18+'Chapitre 2'!E39</f>
        <v>47.5</v>
      </c>
    </row>
    <row r="19" spans="1:11" x14ac:dyDescent="0.15">
      <c r="A19" s="293" t="s">
        <v>1124</v>
      </c>
      <c r="B19" s="392"/>
      <c r="C19" s="169">
        <f>C16-C17-C18</f>
        <v>-40</v>
      </c>
      <c r="D19" s="284">
        <f>D16-D17-D18</f>
        <v>5.8999999999999986</v>
      </c>
      <c r="E19" s="284">
        <f>E16-E17-E18</f>
        <v>-16.600000000000001</v>
      </c>
      <c r="F19" s="284">
        <f>F16-F17-F18</f>
        <v>-39.5</v>
      </c>
    </row>
    <row r="20" spans="1:11" x14ac:dyDescent="0.15">
      <c r="A20" s="172" t="s">
        <v>1118</v>
      </c>
      <c r="B20" s="315"/>
      <c r="C20" s="166">
        <f>C14+C19</f>
        <v>0</v>
      </c>
      <c r="D20" s="166">
        <f>D14+D19</f>
        <v>60</v>
      </c>
      <c r="E20" s="166">
        <f>E14+E19</f>
        <v>53.999999999999993</v>
      </c>
      <c r="F20" s="166">
        <f>F14+F19</f>
        <v>48</v>
      </c>
    </row>
    <row r="25" spans="1:11" ht="15" x14ac:dyDescent="0.15">
      <c r="A25" s="8" t="s">
        <v>1619</v>
      </c>
      <c r="B25" s="304"/>
    </row>
    <row r="26" spans="1:11" x14ac:dyDescent="0.15">
      <c r="A26" s="103"/>
      <c r="B26" s="316"/>
    </row>
    <row r="27" spans="1:11" x14ac:dyDescent="0.2">
      <c r="A27" s="317" t="s">
        <v>1591</v>
      </c>
      <c r="B27" s="318"/>
      <c r="C27" s="317">
        <v>2025</v>
      </c>
      <c r="D27" s="393"/>
      <c r="E27" s="379" t="s">
        <v>1200</v>
      </c>
      <c r="F27" s="379"/>
      <c r="G27" s="379"/>
      <c r="H27" s="380"/>
      <c r="I27" s="379" t="s">
        <v>1207</v>
      </c>
      <c r="J27" s="379"/>
      <c r="K27" s="379"/>
    </row>
    <row r="28" spans="1:11" x14ac:dyDescent="0.2">
      <c r="A28" s="319" t="s">
        <v>1280</v>
      </c>
      <c r="B28" s="320" t="str">
        <f>TEXT(G34,"# ##0")&amp;" - "&amp;TEXT(G32,"# ##0")</f>
        <v>36 161 - 358</v>
      </c>
      <c r="C28" s="321">
        <f>G34-G32</f>
        <v>35803</v>
      </c>
      <c r="D28" s="394"/>
      <c r="E28" s="45"/>
      <c r="F28" s="45" t="s">
        <v>1568</v>
      </c>
      <c r="G28" s="45">
        <v>14401</v>
      </c>
      <c r="H28" s="45"/>
      <c r="I28" s="381"/>
      <c r="J28" s="381" t="s">
        <v>1572</v>
      </c>
      <c r="K28" s="381">
        <v>24722</v>
      </c>
    </row>
    <row r="29" spans="1:11" x14ac:dyDescent="0.2">
      <c r="A29" s="3" t="s">
        <v>1281</v>
      </c>
      <c r="C29" s="105">
        <f>G35</f>
        <v>6895</v>
      </c>
      <c r="D29" s="395"/>
      <c r="E29" s="45"/>
      <c r="F29" s="45" t="s">
        <v>1326</v>
      </c>
      <c r="G29" s="45">
        <v>5296</v>
      </c>
      <c r="H29" s="45"/>
      <c r="I29" s="45"/>
      <c r="J29" s="45" t="s">
        <v>1224</v>
      </c>
      <c r="K29" s="45">
        <v>568</v>
      </c>
    </row>
    <row r="30" spans="1:11" x14ac:dyDescent="0.2">
      <c r="A30" s="86" t="s">
        <v>1282</v>
      </c>
      <c r="B30" s="314"/>
      <c r="C30" s="105">
        <f>+G36</f>
        <v>4737</v>
      </c>
      <c r="D30" s="395"/>
      <c r="E30" s="45"/>
      <c r="F30" s="45" t="s">
        <v>1178</v>
      </c>
      <c r="G30" s="45">
        <v>14556</v>
      </c>
      <c r="H30" s="45"/>
      <c r="I30" s="381"/>
      <c r="J30" s="381" t="s">
        <v>1573</v>
      </c>
      <c r="K30" s="381">
        <v>25290</v>
      </c>
    </row>
    <row r="31" spans="1:11" x14ac:dyDescent="0.2">
      <c r="A31" s="86" t="s">
        <v>1278</v>
      </c>
      <c r="B31" s="314" t="str">
        <f>TEXT(G37,"# ##0")&amp;" + "&amp;TEXT(G38,"# ##0")</f>
        <v>149 + 1 712</v>
      </c>
      <c r="C31" s="105">
        <f>G37+G38</f>
        <v>1861</v>
      </c>
      <c r="D31" s="395"/>
      <c r="E31" s="45"/>
      <c r="F31" s="45" t="s">
        <v>1569</v>
      </c>
      <c r="G31" s="45">
        <v>898</v>
      </c>
      <c r="H31" s="45"/>
      <c r="I31" s="45"/>
      <c r="J31" s="45" t="s">
        <v>1575</v>
      </c>
      <c r="K31" s="45">
        <v>12243</v>
      </c>
    </row>
    <row r="32" spans="1:11" x14ac:dyDescent="0.2">
      <c r="A32" s="322" t="s">
        <v>1283</v>
      </c>
      <c r="B32" s="323"/>
      <c r="C32" s="324">
        <f>SUM(C29:C31)</f>
        <v>13493</v>
      </c>
      <c r="D32" s="395"/>
      <c r="E32" s="45"/>
      <c r="F32" s="45" t="s">
        <v>1570</v>
      </c>
      <c r="G32" s="45">
        <v>358</v>
      </c>
      <c r="H32" s="45"/>
      <c r="I32" s="45"/>
      <c r="J32" s="45" t="s">
        <v>1577</v>
      </c>
      <c r="K32" s="45">
        <v>1112</v>
      </c>
    </row>
    <row r="33" spans="1:11" x14ac:dyDescent="0.2">
      <c r="A33" s="3" t="s">
        <v>1284</v>
      </c>
      <c r="C33" s="105">
        <f>K38</f>
        <v>6809</v>
      </c>
      <c r="D33" s="395"/>
      <c r="E33" s="45"/>
      <c r="F33" s="45" t="s">
        <v>1320</v>
      </c>
      <c r="G33" s="45">
        <v>652</v>
      </c>
      <c r="H33" s="45"/>
      <c r="I33" s="45"/>
      <c r="J33" s="45" t="s">
        <v>1324</v>
      </c>
      <c r="K33" s="45">
        <v>1199</v>
      </c>
    </row>
    <row r="34" spans="1:11" x14ac:dyDescent="0.2">
      <c r="A34" s="86" t="s">
        <v>1279</v>
      </c>
      <c r="B34" s="314" t="str">
        <f>TEXT(K37,"# ##0")&amp;" + "&amp;TEXT(K39,"# ##0")&amp;" + "&amp;TEXT(K40,"# ##0")</f>
        <v>829 + 172 + 5 544</v>
      </c>
      <c r="C34" s="105">
        <f>K37+K39+K40</f>
        <v>6545</v>
      </c>
      <c r="D34" s="395"/>
      <c r="E34" s="381"/>
      <c r="F34" s="381" t="s">
        <v>1571</v>
      </c>
      <c r="G34" s="381">
        <v>36161</v>
      </c>
      <c r="H34" s="45"/>
      <c r="I34" s="45"/>
      <c r="J34" s="45" t="s">
        <v>1580</v>
      </c>
      <c r="K34" s="45">
        <v>1502</v>
      </c>
    </row>
    <row r="35" spans="1:11" x14ac:dyDescent="0.2">
      <c r="A35" s="322" t="s">
        <v>1285</v>
      </c>
      <c r="B35" s="323"/>
      <c r="C35" s="324">
        <f>SUM(C33:C34)</f>
        <v>13354</v>
      </c>
      <c r="D35" s="395"/>
      <c r="E35" s="45"/>
      <c r="F35" s="45" t="s">
        <v>1185</v>
      </c>
      <c r="G35" s="45">
        <v>6895</v>
      </c>
      <c r="H35" s="45"/>
      <c r="I35" s="381"/>
      <c r="J35" s="381" t="s">
        <v>1582</v>
      </c>
      <c r="K35" s="381">
        <v>16056</v>
      </c>
    </row>
    <row r="36" spans="1:11" ht="15" x14ac:dyDescent="0.2">
      <c r="A36" s="308" t="s">
        <v>1604</v>
      </c>
      <c r="B36" s="309"/>
      <c r="C36" s="226">
        <f>C32-C35</f>
        <v>139</v>
      </c>
      <c r="D36" s="395"/>
      <c r="E36" s="45"/>
      <c r="F36" s="45" t="s">
        <v>325</v>
      </c>
      <c r="G36" s="45">
        <v>4737</v>
      </c>
      <c r="H36" s="45"/>
      <c r="I36" s="45"/>
      <c r="J36" s="45" t="s">
        <v>1583</v>
      </c>
      <c r="K36" s="45">
        <v>2091</v>
      </c>
    </row>
    <row r="37" spans="1:11" x14ac:dyDescent="0.2">
      <c r="A37" s="291" t="s">
        <v>1286</v>
      </c>
      <c r="B37" s="323"/>
      <c r="C37" s="325">
        <f>G39-K41</f>
        <v>-5</v>
      </c>
      <c r="D37" s="396"/>
      <c r="E37" s="45"/>
      <c r="F37" s="45" t="s">
        <v>1574</v>
      </c>
      <c r="G37" s="45">
        <v>149</v>
      </c>
      <c r="H37" s="45"/>
      <c r="I37" s="45"/>
      <c r="J37" s="45" t="s">
        <v>1584</v>
      </c>
      <c r="K37" s="45">
        <v>829</v>
      </c>
    </row>
    <row r="38" spans="1:11" x14ac:dyDescent="0.2">
      <c r="A38" s="246" t="s">
        <v>1657</v>
      </c>
      <c r="B38" s="326"/>
      <c r="C38" s="321">
        <f>+C36+C37</f>
        <v>134</v>
      </c>
      <c r="D38" s="395"/>
      <c r="E38" s="45"/>
      <c r="F38" s="45" t="s">
        <v>1576</v>
      </c>
      <c r="G38" s="45">
        <v>1712</v>
      </c>
      <c r="H38" s="45"/>
      <c r="I38" s="45"/>
      <c r="J38" s="45" t="s">
        <v>1277</v>
      </c>
      <c r="K38" s="45">
        <v>6809</v>
      </c>
    </row>
    <row r="39" spans="1:11" x14ac:dyDescent="0.2">
      <c r="A39" s="246" t="s">
        <v>1287</v>
      </c>
      <c r="B39" s="326"/>
      <c r="C39" s="321">
        <f>C36+C28+C37</f>
        <v>35937</v>
      </c>
      <c r="D39" s="395"/>
      <c r="E39" s="45"/>
      <c r="F39" s="45" t="s">
        <v>1578</v>
      </c>
      <c r="G39" s="45">
        <v>135</v>
      </c>
      <c r="H39" s="45"/>
      <c r="I39" s="45"/>
      <c r="J39" s="45" t="s">
        <v>1585</v>
      </c>
      <c r="K39" s="45">
        <v>172</v>
      </c>
    </row>
    <row r="40" spans="1:11" x14ac:dyDescent="0.2">
      <c r="C40" s="105"/>
      <c r="D40" s="395"/>
      <c r="E40" s="45"/>
      <c r="F40" s="45" t="s">
        <v>1579</v>
      </c>
      <c r="G40" s="45">
        <v>7732</v>
      </c>
      <c r="H40" s="45"/>
      <c r="I40" s="45"/>
      <c r="J40" s="45" t="s">
        <v>1586</v>
      </c>
      <c r="K40" s="45">
        <v>5544</v>
      </c>
    </row>
    <row r="41" spans="1:11" x14ac:dyDescent="0.2">
      <c r="A41" s="319" t="s">
        <v>1288</v>
      </c>
      <c r="B41" s="320" t="str">
        <f>TEXT(K30,"# ##0")&amp;" + "&amp;TEXT(K33,"# ##0")&amp;" - "&amp;TEXT(G32,"# ##0")</f>
        <v>25 290 + 1 199 - 358</v>
      </c>
      <c r="C41" s="321">
        <f>K30+K33-G32</f>
        <v>26131</v>
      </c>
      <c r="D41" s="395"/>
      <c r="E41" s="381"/>
      <c r="F41" s="381" t="s">
        <v>1581</v>
      </c>
      <c r="G41" s="381">
        <v>21360</v>
      </c>
      <c r="H41" s="45"/>
      <c r="I41" s="45"/>
      <c r="J41" s="45" t="s">
        <v>1587</v>
      </c>
      <c r="K41" s="45">
        <v>140</v>
      </c>
    </row>
    <row r="42" spans="1:11" x14ac:dyDescent="0.2">
      <c r="A42" s="3" t="s">
        <v>1289</v>
      </c>
      <c r="C42" s="105">
        <f>K31</f>
        <v>12243</v>
      </c>
      <c r="D42" s="395"/>
      <c r="E42" s="45"/>
      <c r="F42" s="45"/>
      <c r="G42" s="45"/>
      <c r="H42" s="45"/>
      <c r="I42" s="45"/>
      <c r="J42" s="45" t="s">
        <v>1588</v>
      </c>
      <c r="K42" s="45">
        <v>590</v>
      </c>
    </row>
    <row r="43" spans="1:11" x14ac:dyDescent="0.2">
      <c r="A43" s="86" t="s">
        <v>1290</v>
      </c>
      <c r="B43" s="314" t="str">
        <f>TEXT(K36,"# ##0")&amp;" + "&amp;TEXT(K42,"# ##0")</f>
        <v>2 091 + 590</v>
      </c>
      <c r="C43" s="105">
        <f>K36+K42</f>
        <v>2681</v>
      </c>
      <c r="D43" s="395"/>
      <c r="E43" s="45"/>
      <c r="F43" s="45"/>
      <c r="G43" s="45"/>
      <c r="H43" s="45"/>
      <c r="I43" s="381"/>
      <c r="J43" s="381" t="s">
        <v>1589</v>
      </c>
      <c r="K43" s="381">
        <v>16175</v>
      </c>
    </row>
    <row r="44" spans="1:11" x14ac:dyDescent="0.2">
      <c r="A44" s="86" t="s">
        <v>1291</v>
      </c>
      <c r="B44" s="314"/>
      <c r="C44" s="105">
        <f>G40</f>
        <v>7732</v>
      </c>
      <c r="D44" s="395"/>
      <c r="E44" s="381"/>
      <c r="F44" s="381" t="s">
        <v>1088</v>
      </c>
      <c r="G44" s="381">
        <v>57521</v>
      </c>
      <c r="H44" s="45"/>
      <c r="I44" s="381"/>
      <c r="J44" s="381" t="s">
        <v>1590</v>
      </c>
      <c r="K44" s="381">
        <v>57521</v>
      </c>
    </row>
    <row r="45" spans="1:11" x14ac:dyDescent="0.2">
      <c r="A45" s="86" t="s">
        <v>1303</v>
      </c>
      <c r="B45" s="314" t="str">
        <f>TEXT(K34,"# ##0")&amp;" + "&amp;TEXT(K32,"# ##0")</f>
        <v>1 502 + 1 112</v>
      </c>
      <c r="C45" s="105">
        <f>K34+K32</f>
        <v>2614</v>
      </c>
      <c r="D45" s="395"/>
      <c r="E45" s="45"/>
      <c r="F45" s="45"/>
      <c r="G45" s="45"/>
      <c r="H45" s="45"/>
    </row>
    <row r="46" spans="1:11" x14ac:dyDescent="0.2">
      <c r="A46" s="294" t="s">
        <v>1292</v>
      </c>
      <c r="B46" s="327"/>
      <c r="C46" s="226">
        <f>C42+C43+C45-C44</f>
        <v>9806</v>
      </c>
      <c r="D46" s="395"/>
      <c r="E46" s="45"/>
      <c r="F46" s="45"/>
      <c r="G46" s="45"/>
      <c r="H46" s="45"/>
    </row>
    <row r="47" spans="1:11" x14ac:dyDescent="0.2">
      <c r="A47" s="328" t="s">
        <v>1432</v>
      </c>
      <c r="B47" s="320"/>
      <c r="C47" s="321">
        <f>C46+C41</f>
        <v>35937</v>
      </c>
      <c r="E47" s="45"/>
      <c r="F47" s="45"/>
      <c r="G47" s="45"/>
      <c r="H47" s="45"/>
    </row>
    <row r="48" spans="1:11" x14ac:dyDescent="0.2">
      <c r="E48" s="45"/>
      <c r="F48" s="45"/>
      <c r="G48" s="45"/>
      <c r="H48" s="45"/>
    </row>
    <row r="49" spans="5:8" x14ac:dyDescent="0.2">
      <c r="E49" s="45"/>
      <c r="F49" s="45"/>
      <c r="G49" s="45"/>
      <c r="H49" s="45"/>
    </row>
    <row r="50" spans="5:8" x14ac:dyDescent="0.2">
      <c r="H50" s="45"/>
    </row>
  </sheetData>
  <phoneticPr fontId="4" type="noConversion"/>
  <pageMargins left="0.78740157480314965" right="0.78740157480314965" top="0.98425196850393704" bottom="0.98425196850393704" header="0.51181102362204722" footer="0.51181102362204722"/>
  <pageSetup paperSize="9" scale="54" fitToHeight="2" orientation="landscape" r:id="rId1"/>
  <headerFooter alignWithMargins="0">
    <oddFooter>&amp;C&amp;P / &amp;N&amp;R&amp;"Verdana,Italique"&amp;9&amp;D - &amp;T&amp;L&amp;"Calibri"&amp;11&amp;K000000&amp;"Verdana,Italique"&amp;9&amp;F - &amp;A_x000D_&amp;1#&amp;"Calibri"&amp;1&amp;KFFFFFFC1 - Public Natixis</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euil30">
    <pageSetUpPr fitToPage="1"/>
  </sheetPr>
  <dimension ref="A1:G114"/>
  <sheetViews>
    <sheetView showGridLines="0" workbookViewId="0"/>
  </sheetViews>
  <sheetFormatPr baseColWidth="10" defaultColWidth="10.83203125" defaultRowHeight="14" x14ac:dyDescent="0.15"/>
  <cols>
    <col min="1" max="1" width="3.83203125" style="3" customWidth="1"/>
    <col min="2" max="2" width="29.1640625" style="3" customWidth="1"/>
    <col min="3" max="3" width="10.83203125" style="3"/>
    <col min="4" max="4" width="11.83203125" style="3" bestFit="1" customWidth="1"/>
    <col min="5" max="6" width="10.83203125" style="3"/>
    <col min="7" max="7" width="11.83203125" style="3" bestFit="1" customWidth="1"/>
    <col min="8" max="16384" width="10.83203125" style="3"/>
  </cols>
  <sheetData>
    <row r="1" spans="1:5" ht="15" x14ac:dyDescent="0.15">
      <c r="A1" s="2"/>
      <c r="B1" s="54" t="s">
        <v>1225</v>
      </c>
    </row>
    <row r="2" spans="1:5" x14ac:dyDescent="0.15">
      <c r="B2" s="54" t="s">
        <v>985</v>
      </c>
    </row>
    <row r="3" spans="1:5" x14ac:dyDescent="0.15">
      <c r="B3" s="3" t="s">
        <v>594</v>
      </c>
      <c r="C3" s="80">
        <v>0.7</v>
      </c>
    </row>
    <row r="4" spans="1:5" x14ac:dyDescent="0.15">
      <c r="B4" s="3" t="s">
        <v>595</v>
      </c>
      <c r="C4" s="80">
        <v>0.1</v>
      </c>
    </row>
    <row r="5" spans="1:5" x14ac:dyDescent="0.15">
      <c r="B5" s="3" t="s">
        <v>596</v>
      </c>
      <c r="C5" s="80">
        <f>1-C3</f>
        <v>0.30000000000000004</v>
      </c>
    </row>
    <row r="6" spans="1:5" x14ac:dyDescent="0.15">
      <c r="B6" s="3" t="s">
        <v>597</v>
      </c>
      <c r="C6" s="80">
        <v>0.06</v>
      </c>
    </row>
    <row r="8" spans="1:5" x14ac:dyDescent="0.15">
      <c r="B8" s="3" t="s">
        <v>629</v>
      </c>
      <c r="C8" s="80">
        <v>0.2</v>
      </c>
      <c r="D8" s="80">
        <v>0.5</v>
      </c>
      <c r="E8" s="80">
        <v>0.8</v>
      </c>
    </row>
    <row r="9" spans="1:5" x14ac:dyDescent="0.15">
      <c r="B9" s="7" t="s">
        <v>598</v>
      </c>
      <c r="C9" s="152">
        <f>$C4*$C3+$C6*$C5*(1-C8)</f>
        <v>8.4400000000000003E-2</v>
      </c>
      <c r="D9" s="152">
        <f>$C4*$C3+$C6*$C5*(1-D8)</f>
        <v>7.8999999999999987E-2</v>
      </c>
      <c r="E9" s="152">
        <f>$C4*$C3+$C6*$C5*(1-E8)</f>
        <v>7.3599999999999999E-2</v>
      </c>
    </row>
    <row r="11" spans="1:5" x14ac:dyDescent="0.15">
      <c r="B11" s="54" t="s">
        <v>1227</v>
      </c>
    </row>
    <row r="12" spans="1:5" x14ac:dyDescent="0.15">
      <c r="B12" s="54" t="s">
        <v>986</v>
      </c>
    </row>
    <row r="13" spans="1:5" x14ac:dyDescent="0.15">
      <c r="B13" s="3" t="s">
        <v>630</v>
      </c>
      <c r="C13" s="29">
        <v>200</v>
      </c>
    </row>
    <row r="14" spans="1:5" x14ac:dyDescent="0.15">
      <c r="B14" s="3" t="s">
        <v>629</v>
      </c>
      <c r="C14" s="80">
        <v>0.3</v>
      </c>
    </row>
    <row r="16" spans="1:5" x14ac:dyDescent="0.15">
      <c r="B16" s="3" t="s">
        <v>619</v>
      </c>
      <c r="C16" s="29">
        <v>50</v>
      </c>
    </row>
    <row r="17" spans="2:3" x14ac:dyDescent="0.15">
      <c r="B17" s="3" t="s">
        <v>616</v>
      </c>
      <c r="C17" s="80">
        <v>0.06</v>
      </c>
    </row>
    <row r="18" spans="2:3" x14ac:dyDescent="0.15">
      <c r="B18" s="3" t="s">
        <v>620</v>
      </c>
      <c r="C18" s="29">
        <f>C13-C16</f>
        <v>150</v>
      </c>
    </row>
    <row r="19" spans="2:3" x14ac:dyDescent="0.15">
      <c r="B19" s="3" t="s">
        <v>622</v>
      </c>
      <c r="C19" s="80">
        <v>0.11</v>
      </c>
    </row>
    <row r="21" spans="2:3" x14ac:dyDescent="0.15">
      <c r="B21" s="3" t="s">
        <v>631</v>
      </c>
      <c r="C21" s="29">
        <f>C16*C17*C14/C19</f>
        <v>8.1818181818181817</v>
      </c>
    </row>
    <row r="22" spans="2:3" x14ac:dyDescent="0.15">
      <c r="C22" s="29"/>
    </row>
    <row r="23" spans="2:3" x14ac:dyDescent="0.15">
      <c r="B23" s="7" t="s">
        <v>294</v>
      </c>
      <c r="C23" s="133">
        <f>C13+C21</f>
        <v>208.18181818181819</v>
      </c>
    </row>
    <row r="25" spans="2:3" x14ac:dyDescent="0.15">
      <c r="B25" s="54" t="s">
        <v>193</v>
      </c>
    </row>
    <row r="26" spans="2:3" x14ac:dyDescent="0.15">
      <c r="B26" s="54" t="s">
        <v>987</v>
      </c>
    </row>
    <row r="27" spans="2:3" x14ac:dyDescent="0.15">
      <c r="B27" s="3" t="s">
        <v>601</v>
      </c>
      <c r="C27" s="68">
        <v>40</v>
      </c>
    </row>
    <row r="28" spans="2:3" x14ac:dyDescent="0.15">
      <c r="B28" s="3" t="s">
        <v>602</v>
      </c>
      <c r="C28" s="68">
        <v>30</v>
      </c>
    </row>
    <row r="29" spans="2:3" x14ac:dyDescent="0.15">
      <c r="B29" s="3" t="s">
        <v>597</v>
      </c>
      <c r="C29" s="80">
        <v>0.06</v>
      </c>
    </row>
    <row r="30" spans="2:3" x14ac:dyDescent="0.15">
      <c r="B30" s="3" t="s">
        <v>629</v>
      </c>
      <c r="C30" s="80">
        <v>0.3</v>
      </c>
    </row>
    <row r="31" spans="2:3" x14ac:dyDescent="0.15">
      <c r="B31" s="3" t="s">
        <v>595</v>
      </c>
      <c r="C31" s="80">
        <v>0.11</v>
      </c>
    </row>
    <row r="33" spans="1:7" x14ac:dyDescent="0.15">
      <c r="B33" s="7" t="s">
        <v>632</v>
      </c>
      <c r="C33" s="133">
        <f>C28*C29*C30/C31</f>
        <v>4.9090909090909083</v>
      </c>
    </row>
    <row r="34" spans="1:7" x14ac:dyDescent="0.15">
      <c r="B34" s="7"/>
      <c r="C34" s="98"/>
    </row>
    <row r="35" spans="1:7" ht="15" x14ac:dyDescent="0.15">
      <c r="B35" s="6" t="s">
        <v>633</v>
      </c>
      <c r="C35" s="29">
        <v>5</v>
      </c>
    </row>
    <row r="36" spans="1:7" ht="15" x14ac:dyDescent="0.15">
      <c r="B36" s="4" t="s">
        <v>634</v>
      </c>
      <c r="C36" s="133">
        <f>(C28+C35)*(1+C29*C30/C31)-(C33+C28+C35)</f>
        <v>0.81818181818182012</v>
      </c>
    </row>
    <row r="38" spans="1:7" x14ac:dyDescent="0.15">
      <c r="B38" s="3" t="s">
        <v>631</v>
      </c>
      <c r="C38" s="29">
        <f>(C28+C35)*C29*C30/C31</f>
        <v>5.7272727272727275</v>
      </c>
    </row>
    <row r="39" spans="1:7" ht="15" x14ac:dyDescent="0.15">
      <c r="B39" s="6" t="s">
        <v>636</v>
      </c>
      <c r="C39" s="29">
        <f>C38/POWER(1+C31,4)</f>
        <v>3.7727319428304553</v>
      </c>
    </row>
    <row r="40" spans="1:7" ht="15" x14ac:dyDescent="0.15">
      <c r="B40" s="4" t="s">
        <v>635</v>
      </c>
      <c r="C40" s="133">
        <f>-C39</f>
        <v>-3.7727319428304553</v>
      </c>
    </row>
    <row r="41" spans="1:7" x14ac:dyDescent="0.15">
      <c r="B41" s="4"/>
      <c r="C41" s="133"/>
    </row>
    <row r="42" spans="1:7" x14ac:dyDescent="0.15">
      <c r="B42" s="54" t="s">
        <v>157</v>
      </c>
      <c r="C42" s="133"/>
    </row>
    <row r="43" spans="1:7" x14ac:dyDescent="0.15">
      <c r="B43" s="54"/>
      <c r="C43" s="133"/>
    </row>
    <row r="44" spans="1:7" x14ac:dyDescent="0.15">
      <c r="B44" s="153"/>
    </row>
    <row r="45" spans="1:7" x14ac:dyDescent="0.2">
      <c r="A45" s="368"/>
      <c r="B45" s="368"/>
      <c r="C45" s="369" t="s">
        <v>1552</v>
      </c>
      <c r="D45" s="369"/>
      <c r="E45" s="368"/>
      <c r="F45" s="369" t="s">
        <v>1553</v>
      </c>
      <c r="G45" s="369"/>
    </row>
    <row r="46" spans="1:7" x14ac:dyDescent="0.2">
      <c r="A46" s="368"/>
      <c r="B46" s="368"/>
      <c r="C46" s="370" t="s">
        <v>1554</v>
      </c>
      <c r="D46" s="370" t="s">
        <v>1555</v>
      </c>
      <c r="E46" s="370"/>
      <c r="F46" s="370" t="s">
        <v>1554</v>
      </c>
      <c r="G46" s="370" t="s">
        <v>1555</v>
      </c>
    </row>
    <row r="47" spans="1:7" x14ac:dyDescent="0.2">
      <c r="A47" s="154"/>
      <c r="B47" s="154" t="s">
        <v>1007</v>
      </c>
      <c r="C47" s="154">
        <f t="shared" ref="C47:C52" si="0">C100</f>
        <v>135</v>
      </c>
      <c r="D47" s="154">
        <f t="shared" ref="D47:D52" si="1">E100</f>
        <v>135</v>
      </c>
      <c r="E47" s="154"/>
      <c r="F47" s="154">
        <f t="shared" ref="F47:F52" si="2">C76</f>
        <v>135</v>
      </c>
      <c r="G47" s="154">
        <f t="shared" ref="G47:G52" si="3">E76</f>
        <v>135</v>
      </c>
    </row>
    <row r="48" spans="1:7" x14ac:dyDescent="0.2">
      <c r="A48" s="154" t="s">
        <v>217</v>
      </c>
      <c r="B48" s="154" t="s">
        <v>1175</v>
      </c>
      <c r="C48" s="154">
        <f t="shared" si="0"/>
        <v>0</v>
      </c>
      <c r="D48" s="155">
        <f>E101</f>
        <v>35</v>
      </c>
      <c r="E48" s="154"/>
      <c r="F48" s="154">
        <f t="shared" si="2"/>
        <v>0</v>
      </c>
      <c r="G48" s="154">
        <f t="shared" si="3"/>
        <v>35</v>
      </c>
    </row>
    <row r="49" spans="1:7" x14ac:dyDescent="0.2">
      <c r="A49" s="154" t="s">
        <v>243</v>
      </c>
      <c r="B49" s="154" t="s">
        <v>1556</v>
      </c>
      <c r="C49" s="155">
        <f t="shared" si="0"/>
        <v>135</v>
      </c>
      <c r="D49" s="155">
        <f t="shared" si="1"/>
        <v>100</v>
      </c>
      <c r="E49" s="155"/>
      <c r="F49" s="155">
        <f t="shared" si="2"/>
        <v>135</v>
      </c>
      <c r="G49" s="155">
        <f t="shared" si="3"/>
        <v>100</v>
      </c>
    </row>
    <row r="50" spans="1:7" x14ac:dyDescent="0.2">
      <c r="A50" s="154" t="s">
        <v>217</v>
      </c>
      <c r="B50" s="154" t="s">
        <v>1011</v>
      </c>
      <c r="C50" s="155">
        <f t="shared" si="0"/>
        <v>33.75</v>
      </c>
      <c r="D50" s="155">
        <f t="shared" si="1"/>
        <v>25</v>
      </c>
      <c r="E50" s="155"/>
      <c r="F50" s="155">
        <f t="shared" si="2"/>
        <v>36.450000000000003</v>
      </c>
      <c r="G50" s="155">
        <f t="shared" si="3"/>
        <v>27</v>
      </c>
    </row>
    <row r="51" spans="1:7" x14ac:dyDescent="0.2">
      <c r="A51" s="154" t="s">
        <v>243</v>
      </c>
      <c r="B51" s="154" t="s">
        <v>1044</v>
      </c>
      <c r="C51" s="155">
        <f t="shared" si="0"/>
        <v>101.25</v>
      </c>
      <c r="D51" s="155">
        <f t="shared" si="1"/>
        <v>75</v>
      </c>
      <c r="E51" s="155"/>
      <c r="F51" s="155">
        <f t="shared" si="2"/>
        <v>98.55</v>
      </c>
      <c r="G51" s="155">
        <f t="shared" si="3"/>
        <v>73</v>
      </c>
    </row>
    <row r="52" spans="1:7" x14ac:dyDescent="0.2">
      <c r="A52" s="154"/>
      <c r="B52" s="154" t="s">
        <v>1557</v>
      </c>
      <c r="C52" s="155">
        <f t="shared" si="0"/>
        <v>101.25</v>
      </c>
      <c r="D52" s="155">
        <f t="shared" si="1"/>
        <v>75</v>
      </c>
      <c r="E52" s="155"/>
      <c r="F52" s="155">
        <f t="shared" si="2"/>
        <v>98.55</v>
      </c>
      <c r="G52" s="155">
        <f t="shared" si="3"/>
        <v>73</v>
      </c>
    </row>
    <row r="53" spans="1:7" x14ac:dyDescent="0.2">
      <c r="A53" s="154"/>
      <c r="B53" s="154"/>
      <c r="C53" s="154"/>
      <c r="D53" s="154"/>
      <c r="E53" s="154"/>
      <c r="F53" s="154"/>
      <c r="G53" s="154"/>
    </row>
    <row r="54" spans="1:7" x14ac:dyDescent="0.2">
      <c r="A54" s="154"/>
      <c r="B54" s="154" t="s">
        <v>1558</v>
      </c>
      <c r="C54" s="155">
        <f t="shared" ref="C54:C61" si="4">C107</f>
        <v>15.1875</v>
      </c>
      <c r="D54" s="155">
        <f t="shared" ref="D54:D61" si="5">E107</f>
        <v>11.25</v>
      </c>
      <c r="E54" s="155"/>
      <c r="F54" s="155">
        <f t="shared" ref="F54:F61" si="6">C83</f>
        <v>19.71</v>
      </c>
      <c r="G54" s="155">
        <f t="shared" ref="G54:G61" si="7">E83</f>
        <v>14.600000000000001</v>
      </c>
    </row>
    <row r="55" spans="1:7" x14ac:dyDescent="0.2">
      <c r="A55" s="154"/>
      <c r="B55" s="154" t="s">
        <v>1559</v>
      </c>
      <c r="C55" s="155">
        <f t="shared" si="4"/>
        <v>0</v>
      </c>
      <c r="D55" s="155">
        <f t="shared" si="5"/>
        <v>6.3</v>
      </c>
      <c r="E55" s="155"/>
      <c r="F55" s="155">
        <f t="shared" si="6"/>
        <v>0</v>
      </c>
      <c r="G55" s="155">
        <f t="shared" si="7"/>
        <v>12.95</v>
      </c>
    </row>
    <row r="56" spans="1:7" x14ac:dyDescent="0.2">
      <c r="A56" s="154"/>
      <c r="B56" s="154" t="s">
        <v>1560</v>
      </c>
      <c r="C56" s="155">
        <f t="shared" si="4"/>
        <v>86.0625</v>
      </c>
      <c r="D56" s="155">
        <f t="shared" si="5"/>
        <v>63.75</v>
      </c>
      <c r="E56" s="155"/>
      <c r="F56" s="155">
        <f t="shared" si="6"/>
        <v>78.84</v>
      </c>
      <c r="G56" s="155">
        <f t="shared" si="7"/>
        <v>58.4</v>
      </c>
    </row>
    <row r="57" spans="1:7" x14ac:dyDescent="0.2">
      <c r="A57" s="154"/>
      <c r="B57" s="154" t="s">
        <v>1561</v>
      </c>
      <c r="C57" s="156">
        <f t="shared" si="4"/>
        <v>8.60625E-2</v>
      </c>
      <c r="D57" s="156">
        <f t="shared" si="5"/>
        <v>0.1275</v>
      </c>
      <c r="E57" s="156"/>
      <c r="F57" s="156">
        <f t="shared" si="6"/>
        <v>7.8840000000000007E-2</v>
      </c>
      <c r="G57" s="156">
        <f t="shared" si="7"/>
        <v>0.1168</v>
      </c>
    </row>
    <row r="58" spans="1:7" x14ac:dyDescent="0.2">
      <c r="A58" s="154"/>
      <c r="B58" s="154" t="s">
        <v>1562</v>
      </c>
      <c r="C58" s="155">
        <f t="shared" si="4"/>
        <v>0</v>
      </c>
      <c r="D58" s="155">
        <f t="shared" si="5"/>
        <v>28.7</v>
      </c>
      <c r="E58" s="155"/>
      <c r="F58" s="155">
        <f t="shared" si="6"/>
        <v>0</v>
      </c>
      <c r="G58" s="155">
        <f t="shared" si="7"/>
        <v>22.05</v>
      </c>
    </row>
    <row r="59" spans="1:7" x14ac:dyDescent="0.2">
      <c r="A59" s="154"/>
      <c r="B59" s="154" t="s">
        <v>1563</v>
      </c>
      <c r="C59" s="156">
        <f t="shared" si="4"/>
        <v>0</v>
      </c>
      <c r="D59" s="156">
        <f t="shared" si="5"/>
        <v>5.74E-2</v>
      </c>
      <c r="E59" s="156"/>
      <c r="F59" s="156">
        <f t="shared" si="6"/>
        <v>0</v>
      </c>
      <c r="G59" s="156">
        <f t="shared" si="7"/>
        <v>4.41E-2</v>
      </c>
    </row>
    <row r="60" spans="1:7" x14ac:dyDescent="0.2">
      <c r="A60" s="154"/>
      <c r="B60" s="154" t="s">
        <v>1564</v>
      </c>
      <c r="C60" s="155">
        <f t="shared" si="4"/>
        <v>86.0625</v>
      </c>
      <c r="D60" s="155">
        <f t="shared" si="5"/>
        <v>92.45</v>
      </c>
      <c r="E60" s="155"/>
      <c r="F60" s="155">
        <f t="shared" si="6"/>
        <v>78.84</v>
      </c>
      <c r="G60" s="155">
        <f t="shared" si="7"/>
        <v>80.45</v>
      </c>
    </row>
    <row r="61" spans="1:7" x14ac:dyDescent="0.2">
      <c r="A61" s="157"/>
      <c r="B61" s="157" t="s">
        <v>637</v>
      </c>
      <c r="C61" s="158">
        <f t="shared" si="4"/>
        <v>48.9375</v>
      </c>
      <c r="D61" s="158">
        <f t="shared" si="5"/>
        <v>42.55</v>
      </c>
      <c r="E61" s="158"/>
      <c r="F61" s="158">
        <f t="shared" si="6"/>
        <v>56.160000000000004</v>
      </c>
      <c r="G61" s="158">
        <f t="shared" si="7"/>
        <v>54.55</v>
      </c>
    </row>
    <row r="62" spans="1:7" x14ac:dyDescent="0.2">
      <c r="A62" s="154"/>
      <c r="B62" s="154"/>
      <c r="C62" s="154"/>
      <c r="D62" s="154"/>
      <c r="E62" s="154"/>
      <c r="F62" s="154"/>
      <c r="G62" s="154"/>
    </row>
    <row r="63" spans="1:7" x14ac:dyDescent="0.2">
      <c r="A63" s="154"/>
      <c r="B63" s="154"/>
      <c r="C63" s="154"/>
      <c r="D63" s="154"/>
      <c r="E63" s="154"/>
      <c r="F63" s="154"/>
      <c r="G63" s="154"/>
    </row>
    <row r="64" spans="1:7" x14ac:dyDescent="0.2">
      <c r="A64" s="154"/>
      <c r="B64" s="154"/>
      <c r="C64" s="154"/>
      <c r="D64" s="154"/>
      <c r="E64" s="154"/>
      <c r="F64" s="154"/>
      <c r="G64" s="154"/>
    </row>
    <row r="65" spans="1:7" x14ac:dyDescent="0.2">
      <c r="A65" s="154"/>
      <c r="B65" s="154"/>
      <c r="C65" s="154"/>
      <c r="D65" s="154"/>
      <c r="E65" s="154"/>
      <c r="F65" s="154"/>
      <c r="G65" s="154"/>
    </row>
    <row r="66" spans="1:7" x14ac:dyDescent="0.2">
      <c r="A66" s="154"/>
      <c r="B66" s="154"/>
      <c r="C66" s="154"/>
      <c r="D66" s="154"/>
      <c r="E66" s="154"/>
      <c r="F66" s="154"/>
      <c r="G66" s="154"/>
    </row>
    <row r="67" spans="1:7" x14ac:dyDescent="0.2">
      <c r="A67" s="154"/>
      <c r="B67" s="154"/>
      <c r="C67" s="154"/>
      <c r="D67" s="154"/>
      <c r="E67" s="154"/>
      <c r="F67" s="154"/>
      <c r="G67" s="154"/>
    </row>
    <row r="68" spans="1:7" x14ac:dyDescent="0.2">
      <c r="A68" s="154"/>
      <c r="B68" s="159" t="s">
        <v>1567</v>
      </c>
      <c r="C68" s="154"/>
      <c r="D68" s="154"/>
      <c r="E68" s="154"/>
      <c r="F68" s="154"/>
      <c r="G68" s="154"/>
    </row>
    <row r="69" spans="1:7" x14ac:dyDescent="0.2">
      <c r="A69" s="154"/>
      <c r="B69" s="154"/>
      <c r="C69" s="154"/>
      <c r="D69" s="154"/>
      <c r="E69" s="154"/>
      <c r="F69" s="154"/>
      <c r="G69" s="154"/>
    </row>
    <row r="70" spans="1:7" x14ac:dyDescent="0.2">
      <c r="A70" s="154"/>
      <c r="B70" s="154" t="s">
        <v>262</v>
      </c>
      <c r="C70" s="160">
        <v>1000</v>
      </c>
      <c r="D70" s="154">
        <v>750</v>
      </c>
      <c r="E70" s="160">
        <v>500</v>
      </c>
      <c r="F70" s="154">
        <v>250</v>
      </c>
      <c r="G70" s="154"/>
    </row>
    <row r="71" spans="1:7" x14ac:dyDescent="0.2">
      <c r="A71" s="154"/>
      <c r="B71" s="154" t="s">
        <v>189</v>
      </c>
      <c r="C71" s="160">
        <v>0</v>
      </c>
      <c r="D71" s="154">
        <v>250</v>
      </c>
      <c r="E71" s="160">
        <v>500</v>
      </c>
      <c r="F71" s="154">
        <v>750</v>
      </c>
      <c r="G71" s="154"/>
    </row>
    <row r="72" spans="1:7" x14ac:dyDescent="0.2">
      <c r="A72" s="154"/>
      <c r="B72" s="154" t="s">
        <v>1232</v>
      </c>
      <c r="C72" s="160">
        <f>+C70+C71</f>
        <v>1000</v>
      </c>
      <c r="D72" s="154">
        <f>+D70+D71</f>
        <v>1000</v>
      </c>
      <c r="E72" s="160">
        <f>+E70+E71</f>
        <v>1000</v>
      </c>
      <c r="F72" s="154">
        <f>+F70+F71</f>
        <v>1000</v>
      </c>
      <c r="G72" s="154"/>
    </row>
    <row r="73" spans="1:7" x14ac:dyDescent="0.2">
      <c r="A73" s="154"/>
      <c r="B73" s="154"/>
      <c r="C73" s="160"/>
      <c r="D73" s="154"/>
      <c r="E73" s="160"/>
      <c r="F73" s="154"/>
      <c r="G73" s="154"/>
    </row>
    <row r="74" spans="1:7" x14ac:dyDescent="0.2">
      <c r="A74" s="154"/>
      <c r="B74" s="154" t="s">
        <v>879</v>
      </c>
      <c r="C74" s="160"/>
      <c r="D74" s="161">
        <v>2.5000000000000001E-2</v>
      </c>
      <c r="E74" s="162">
        <v>7.0000000000000007E-2</v>
      </c>
      <c r="F74" s="161">
        <v>0.06</v>
      </c>
      <c r="G74" s="154"/>
    </row>
    <row r="75" spans="1:7" x14ac:dyDescent="0.2">
      <c r="A75" s="154"/>
      <c r="B75" s="154"/>
      <c r="C75" s="160"/>
      <c r="D75" s="154"/>
      <c r="E75" s="160"/>
      <c r="F75" s="154"/>
      <c r="G75" s="154"/>
    </row>
    <row r="76" spans="1:7" x14ac:dyDescent="0.2">
      <c r="A76" s="154"/>
      <c r="B76" s="154" t="s">
        <v>1007</v>
      </c>
      <c r="C76" s="160">
        <v>135</v>
      </c>
      <c r="D76" s="154">
        <f>C76</f>
        <v>135</v>
      </c>
      <c r="E76" s="160">
        <f>D76</f>
        <v>135</v>
      </c>
      <c r="F76" s="154">
        <f>E76</f>
        <v>135</v>
      </c>
      <c r="G76" s="154"/>
    </row>
    <row r="77" spans="1:7" x14ac:dyDescent="0.2">
      <c r="A77" s="154"/>
      <c r="B77" s="154" t="s">
        <v>1175</v>
      </c>
      <c r="C77" s="160">
        <f>C71*C74</f>
        <v>0</v>
      </c>
      <c r="D77" s="155">
        <f>D71*D74</f>
        <v>6.25</v>
      </c>
      <c r="E77" s="163">
        <f>E71*E74</f>
        <v>35</v>
      </c>
      <c r="F77" s="154">
        <f>F71*F74</f>
        <v>45</v>
      </c>
      <c r="G77" s="154"/>
    </row>
    <row r="78" spans="1:7" x14ac:dyDescent="0.2">
      <c r="A78" s="154"/>
      <c r="B78" s="154" t="s">
        <v>1556</v>
      </c>
      <c r="C78" s="160">
        <f>C76-C77</f>
        <v>135</v>
      </c>
      <c r="D78" s="155">
        <f>D76-D77</f>
        <v>128.75</v>
      </c>
      <c r="E78" s="163">
        <f>E76-E77</f>
        <v>100</v>
      </c>
      <c r="F78" s="155">
        <f>F76-F77</f>
        <v>90</v>
      </c>
      <c r="G78" s="154"/>
    </row>
    <row r="79" spans="1:7" x14ac:dyDescent="0.2">
      <c r="A79" s="154"/>
      <c r="B79" s="154" t="s">
        <v>1011</v>
      </c>
      <c r="C79" s="163">
        <f>C78*$G$79</f>
        <v>36.450000000000003</v>
      </c>
      <c r="D79" s="155">
        <f t="shared" ref="D79:F79" si="8">D78*$G$79</f>
        <v>34.762500000000003</v>
      </c>
      <c r="E79" s="163">
        <f t="shared" si="8"/>
        <v>27</v>
      </c>
      <c r="F79" s="155">
        <f t="shared" si="8"/>
        <v>24.3</v>
      </c>
      <c r="G79" s="161">
        <v>0.27</v>
      </c>
    </row>
    <row r="80" spans="1:7" x14ac:dyDescent="0.2">
      <c r="A80" s="154"/>
      <c r="B80" s="154" t="s">
        <v>1044</v>
      </c>
      <c r="C80" s="163">
        <f>C78-C79</f>
        <v>98.55</v>
      </c>
      <c r="D80" s="155">
        <f>D78-D79</f>
        <v>93.987499999999997</v>
      </c>
      <c r="E80" s="163">
        <f>E78-E79</f>
        <v>73</v>
      </c>
      <c r="F80" s="155">
        <f>F78-F79</f>
        <v>65.7</v>
      </c>
      <c r="G80" s="161"/>
    </row>
    <row r="81" spans="1:7" x14ac:dyDescent="0.2">
      <c r="A81" s="154"/>
      <c r="B81" s="154" t="s">
        <v>1557</v>
      </c>
      <c r="C81" s="163">
        <f>C80</f>
        <v>98.55</v>
      </c>
      <c r="D81" s="155">
        <f>D80</f>
        <v>93.987499999999997</v>
      </c>
      <c r="E81" s="163">
        <f>E80</f>
        <v>73</v>
      </c>
      <c r="F81" s="155">
        <f>F80</f>
        <v>65.7</v>
      </c>
      <c r="G81" s="161"/>
    </row>
    <row r="82" spans="1:7" x14ac:dyDescent="0.2">
      <c r="A82" s="154"/>
      <c r="B82" s="154"/>
      <c r="C82" s="160"/>
      <c r="D82" s="154"/>
      <c r="E82" s="160"/>
      <c r="F82" s="154"/>
      <c r="G82" s="161"/>
    </row>
    <row r="83" spans="1:7" x14ac:dyDescent="0.2">
      <c r="A83" s="154"/>
      <c r="B83" s="154" t="s">
        <v>1558</v>
      </c>
      <c r="C83" s="163">
        <f>C81*$G$83</f>
        <v>19.71</v>
      </c>
      <c r="D83" s="155">
        <f t="shared" ref="D83:F83" si="9">D81*$G$83</f>
        <v>18.797499999999999</v>
      </c>
      <c r="E83" s="163">
        <f t="shared" si="9"/>
        <v>14.600000000000001</v>
      </c>
      <c r="F83" s="155">
        <f t="shared" si="9"/>
        <v>13.14</v>
      </c>
      <c r="G83" s="161">
        <v>0.2</v>
      </c>
    </row>
    <row r="84" spans="1:7" x14ac:dyDescent="0.2">
      <c r="A84" s="154"/>
      <c r="B84" s="154" t="s">
        <v>1559</v>
      </c>
      <c r="C84" s="163">
        <f>C77*$G$84</f>
        <v>0</v>
      </c>
      <c r="D84" s="155">
        <f t="shared" ref="D84:F84" si="10">D77*$G$84</f>
        <v>2.3125</v>
      </c>
      <c r="E84" s="163">
        <f t="shared" si="10"/>
        <v>12.95</v>
      </c>
      <c r="F84" s="155">
        <f t="shared" si="10"/>
        <v>16.649999999999999</v>
      </c>
      <c r="G84" s="161">
        <v>0.37</v>
      </c>
    </row>
    <row r="85" spans="1:7" x14ac:dyDescent="0.2">
      <c r="A85" s="154"/>
      <c r="B85" s="154" t="s">
        <v>1560</v>
      </c>
      <c r="C85" s="163">
        <f>C81-C83</f>
        <v>78.84</v>
      </c>
      <c r="D85" s="155">
        <f>D81-D83</f>
        <v>75.19</v>
      </c>
      <c r="E85" s="163">
        <f>E81-E83</f>
        <v>58.4</v>
      </c>
      <c r="F85" s="155">
        <f>F81-F83</f>
        <v>52.56</v>
      </c>
      <c r="G85" s="154"/>
    </row>
    <row r="86" spans="1:7" x14ac:dyDescent="0.2">
      <c r="A86" s="154"/>
      <c r="B86" s="154" t="s">
        <v>1561</v>
      </c>
      <c r="C86" s="164">
        <f>C85/C70</f>
        <v>7.8840000000000007E-2</v>
      </c>
      <c r="D86" s="156">
        <f>D85/D70</f>
        <v>0.10025333333333333</v>
      </c>
      <c r="E86" s="164">
        <f>E85/E70</f>
        <v>0.1168</v>
      </c>
      <c r="F86" s="156">
        <f>F85/F70</f>
        <v>0.21024000000000001</v>
      </c>
      <c r="G86" s="154"/>
    </row>
    <row r="87" spans="1:7" x14ac:dyDescent="0.2">
      <c r="A87" s="154"/>
      <c r="B87" s="154" t="s">
        <v>1562</v>
      </c>
      <c r="C87" s="163">
        <f>C77-C84</f>
        <v>0</v>
      </c>
      <c r="D87" s="155">
        <f>D77-D84</f>
        <v>3.9375</v>
      </c>
      <c r="E87" s="163">
        <f>E77-E84</f>
        <v>22.05</v>
      </c>
      <c r="F87" s="155">
        <f>F77-F84</f>
        <v>28.35</v>
      </c>
      <c r="G87" s="154"/>
    </row>
    <row r="88" spans="1:7" x14ac:dyDescent="0.2">
      <c r="A88" s="154"/>
      <c r="B88" s="154" t="s">
        <v>1563</v>
      </c>
      <c r="C88" s="164"/>
      <c r="D88" s="156">
        <f>D87/D71</f>
        <v>1.575E-2</v>
      </c>
      <c r="E88" s="164">
        <f>E87/E71</f>
        <v>4.41E-2</v>
      </c>
      <c r="F88" s="156">
        <f>F87/F71</f>
        <v>3.78E-2</v>
      </c>
      <c r="G88" s="154"/>
    </row>
    <row r="89" spans="1:7" x14ac:dyDescent="0.2">
      <c r="A89" s="154"/>
      <c r="B89" s="154" t="s">
        <v>1564</v>
      </c>
      <c r="C89" s="163">
        <f>C87+C85</f>
        <v>78.84</v>
      </c>
      <c r="D89" s="155">
        <f>D87+D85</f>
        <v>79.127499999999998</v>
      </c>
      <c r="E89" s="163">
        <f>E87+E85</f>
        <v>80.45</v>
      </c>
      <c r="F89" s="155">
        <f>F87+F85</f>
        <v>80.91</v>
      </c>
      <c r="G89" s="154"/>
    </row>
    <row r="90" spans="1:7" x14ac:dyDescent="0.2">
      <c r="A90" s="154"/>
      <c r="B90" s="154" t="s">
        <v>637</v>
      </c>
      <c r="C90" s="163">
        <f>C84+C83+C79</f>
        <v>56.160000000000004</v>
      </c>
      <c r="D90" s="155">
        <f>D84+D83+D79</f>
        <v>55.872500000000002</v>
      </c>
      <c r="E90" s="163">
        <f>E84+E83+E79</f>
        <v>54.55</v>
      </c>
      <c r="F90" s="155">
        <f>F84+F83+F79</f>
        <v>54.09</v>
      </c>
      <c r="G90" s="154"/>
    </row>
    <row r="91" spans="1:7" x14ac:dyDescent="0.2">
      <c r="A91" s="154"/>
      <c r="B91" s="154"/>
      <c r="C91" s="154"/>
      <c r="D91" s="154"/>
      <c r="E91" s="154"/>
      <c r="F91" s="154"/>
      <c r="G91" s="154"/>
    </row>
    <row r="92" spans="1:7" x14ac:dyDescent="0.2">
      <c r="A92" s="154"/>
      <c r="B92" s="159" t="s">
        <v>1552</v>
      </c>
      <c r="C92" s="154"/>
      <c r="D92" s="154"/>
      <c r="E92" s="154"/>
      <c r="F92" s="154"/>
      <c r="G92" s="154"/>
    </row>
    <row r="93" spans="1:7" x14ac:dyDescent="0.2">
      <c r="A93" s="154"/>
      <c r="B93" s="154"/>
      <c r="C93" s="154"/>
      <c r="D93" s="154"/>
      <c r="E93" s="154"/>
      <c r="F93" s="154"/>
      <c r="G93" s="154"/>
    </row>
    <row r="94" spans="1:7" x14ac:dyDescent="0.2">
      <c r="A94" s="154"/>
      <c r="B94" s="154" t="s">
        <v>262</v>
      </c>
      <c r="C94" s="160">
        <v>1000</v>
      </c>
      <c r="D94" s="154">
        <v>750</v>
      </c>
      <c r="E94" s="160">
        <v>500</v>
      </c>
      <c r="F94" s="154">
        <v>250</v>
      </c>
      <c r="G94" s="154"/>
    </row>
    <row r="95" spans="1:7" x14ac:dyDescent="0.2">
      <c r="A95" s="154"/>
      <c r="B95" s="154" t="s">
        <v>189</v>
      </c>
      <c r="C95" s="160">
        <v>0</v>
      </c>
      <c r="D95" s="154">
        <v>250</v>
      </c>
      <c r="E95" s="160">
        <v>500</v>
      </c>
      <c r="F95" s="154">
        <v>750</v>
      </c>
      <c r="G95" s="154"/>
    </row>
    <row r="96" spans="1:7" x14ac:dyDescent="0.2">
      <c r="A96" s="154"/>
      <c r="B96" s="154" t="s">
        <v>1232</v>
      </c>
      <c r="C96" s="160">
        <f>+C94+C95</f>
        <v>1000</v>
      </c>
      <c r="D96" s="154">
        <f>+D94+D95</f>
        <v>1000</v>
      </c>
      <c r="E96" s="160">
        <f>+E94+E95</f>
        <v>1000</v>
      </c>
      <c r="F96" s="154">
        <f>+F94+F95</f>
        <v>1000</v>
      </c>
      <c r="G96" s="154"/>
    </row>
    <row r="97" spans="1:7" x14ac:dyDescent="0.2">
      <c r="A97" s="154"/>
      <c r="B97" s="154"/>
      <c r="C97" s="160"/>
      <c r="D97" s="154"/>
      <c r="E97" s="160"/>
      <c r="F97" s="154"/>
      <c r="G97" s="154"/>
    </row>
    <row r="98" spans="1:7" x14ac:dyDescent="0.2">
      <c r="A98" s="154"/>
      <c r="B98" s="154" t="s">
        <v>879</v>
      </c>
      <c r="C98" s="160"/>
      <c r="D98" s="161">
        <v>2.5000000000000001E-2</v>
      </c>
      <c r="E98" s="162">
        <v>7.0000000000000007E-2</v>
      </c>
      <c r="F98" s="161">
        <v>0.06</v>
      </c>
      <c r="G98" s="154"/>
    </row>
    <row r="99" spans="1:7" x14ac:dyDescent="0.2">
      <c r="A99" s="154"/>
      <c r="B99" s="154"/>
      <c r="C99" s="160"/>
      <c r="D99" s="154"/>
      <c r="E99" s="160"/>
      <c r="F99" s="154"/>
      <c r="G99" s="154"/>
    </row>
    <row r="100" spans="1:7" x14ac:dyDescent="0.2">
      <c r="A100" s="154"/>
      <c r="B100" s="154" t="s">
        <v>1007</v>
      </c>
      <c r="C100" s="160">
        <f>C76</f>
        <v>135</v>
      </c>
      <c r="D100" s="154">
        <f t="shared" ref="D100:F100" si="11">D76</f>
        <v>135</v>
      </c>
      <c r="E100" s="160">
        <f t="shared" si="11"/>
        <v>135</v>
      </c>
      <c r="F100" s="154">
        <f t="shared" si="11"/>
        <v>135</v>
      </c>
      <c r="G100" s="154"/>
    </row>
    <row r="101" spans="1:7" x14ac:dyDescent="0.2">
      <c r="A101" s="154"/>
      <c r="B101" s="154" t="s">
        <v>1175</v>
      </c>
      <c r="C101" s="160">
        <f>C95*C98</f>
        <v>0</v>
      </c>
      <c r="D101" s="155">
        <f>D95*D98</f>
        <v>6.25</v>
      </c>
      <c r="E101" s="163">
        <f>E95*E98</f>
        <v>35</v>
      </c>
      <c r="F101" s="154">
        <f>F95*F98</f>
        <v>45</v>
      </c>
      <c r="G101" s="154"/>
    </row>
    <row r="102" spans="1:7" x14ac:dyDescent="0.2">
      <c r="A102" s="154"/>
      <c r="B102" s="154" t="s">
        <v>1556</v>
      </c>
      <c r="C102" s="160">
        <f>C100-C101</f>
        <v>135</v>
      </c>
      <c r="D102" s="155">
        <f>D100-D101</f>
        <v>128.75</v>
      </c>
      <c r="E102" s="163">
        <f>E100-E101</f>
        <v>100</v>
      </c>
      <c r="F102" s="155">
        <f>F100-F101</f>
        <v>90</v>
      </c>
      <c r="G102" s="154"/>
    </row>
    <row r="103" spans="1:7" x14ac:dyDescent="0.2">
      <c r="A103" s="154"/>
      <c r="B103" s="154" t="s">
        <v>1011</v>
      </c>
      <c r="C103" s="163">
        <f>C102*$G$103</f>
        <v>33.75</v>
      </c>
      <c r="D103" s="155">
        <f t="shared" ref="D103:F103" si="12">D102*$G$103</f>
        <v>32.1875</v>
      </c>
      <c r="E103" s="163">
        <f t="shared" si="12"/>
        <v>25</v>
      </c>
      <c r="F103" s="155">
        <f t="shared" si="12"/>
        <v>22.5</v>
      </c>
      <c r="G103" s="161">
        <v>0.25</v>
      </c>
    </row>
    <row r="104" spans="1:7" x14ac:dyDescent="0.2">
      <c r="A104" s="154"/>
      <c r="B104" s="154" t="s">
        <v>1044</v>
      </c>
      <c r="C104" s="163">
        <f>C102-C103</f>
        <v>101.25</v>
      </c>
      <c r="D104" s="155">
        <f>D102-D103</f>
        <v>96.5625</v>
      </c>
      <c r="E104" s="163">
        <f>E102-E103</f>
        <v>75</v>
      </c>
      <c r="F104" s="155">
        <f>F102-F103</f>
        <v>67.5</v>
      </c>
      <c r="G104" s="161"/>
    </row>
    <row r="105" spans="1:7" x14ac:dyDescent="0.2">
      <c r="A105" s="154"/>
      <c r="B105" s="154" t="s">
        <v>1557</v>
      </c>
      <c r="C105" s="163">
        <f>C104</f>
        <v>101.25</v>
      </c>
      <c r="D105" s="155">
        <f>D104</f>
        <v>96.5625</v>
      </c>
      <c r="E105" s="163">
        <f>E104</f>
        <v>75</v>
      </c>
      <c r="F105" s="155">
        <f>F104</f>
        <v>67.5</v>
      </c>
      <c r="G105" s="161"/>
    </row>
    <row r="106" spans="1:7" x14ac:dyDescent="0.2">
      <c r="A106" s="154"/>
      <c r="B106" s="154"/>
      <c r="C106" s="160"/>
      <c r="D106" s="154"/>
      <c r="E106" s="160"/>
      <c r="F106" s="154"/>
      <c r="G106" s="161"/>
    </row>
    <row r="107" spans="1:7" x14ac:dyDescent="0.2">
      <c r="A107" s="154"/>
      <c r="B107" s="154" t="s">
        <v>1565</v>
      </c>
      <c r="C107" s="163">
        <f>C105*$G$107</f>
        <v>15.1875</v>
      </c>
      <c r="D107" s="155">
        <f t="shared" ref="D107:F107" si="13">D105*$G$107</f>
        <v>14.484375</v>
      </c>
      <c r="E107" s="163">
        <f t="shared" si="13"/>
        <v>11.25</v>
      </c>
      <c r="F107" s="155">
        <f t="shared" si="13"/>
        <v>10.125</v>
      </c>
      <c r="G107" s="161">
        <v>0.15</v>
      </c>
    </row>
    <row r="108" spans="1:7" x14ac:dyDescent="0.2">
      <c r="A108" s="154"/>
      <c r="B108" s="154" t="s">
        <v>1566</v>
      </c>
      <c r="C108" s="163">
        <f>C101*$G$108</f>
        <v>0</v>
      </c>
      <c r="D108" s="155">
        <f t="shared" ref="D108:F108" si="14">D101*$G$108</f>
        <v>1.125</v>
      </c>
      <c r="E108" s="163">
        <f t="shared" si="14"/>
        <v>6.3</v>
      </c>
      <c r="F108" s="155">
        <f t="shared" si="14"/>
        <v>8.1</v>
      </c>
      <c r="G108" s="161">
        <v>0.18</v>
      </c>
    </row>
    <row r="109" spans="1:7" x14ac:dyDescent="0.2">
      <c r="A109" s="154"/>
      <c r="B109" s="154" t="s">
        <v>1560</v>
      </c>
      <c r="C109" s="163">
        <f>C105-C107</f>
        <v>86.0625</v>
      </c>
      <c r="D109" s="155">
        <f>D105-D107</f>
        <v>82.078125</v>
      </c>
      <c r="E109" s="163">
        <f>E105-E107</f>
        <v>63.75</v>
      </c>
      <c r="F109" s="155">
        <f>F105-F107</f>
        <v>57.375</v>
      </c>
      <c r="G109" s="154"/>
    </row>
    <row r="110" spans="1:7" x14ac:dyDescent="0.2">
      <c r="A110" s="154"/>
      <c r="B110" s="154" t="s">
        <v>1561</v>
      </c>
      <c r="C110" s="164">
        <f>C109/C94</f>
        <v>8.60625E-2</v>
      </c>
      <c r="D110" s="156">
        <f>D109/D94</f>
        <v>0.10943749999999999</v>
      </c>
      <c r="E110" s="164">
        <f>E109/E94</f>
        <v>0.1275</v>
      </c>
      <c r="F110" s="156">
        <f>F109/F94</f>
        <v>0.22950000000000001</v>
      </c>
      <c r="G110" s="154"/>
    </row>
    <row r="111" spans="1:7" x14ac:dyDescent="0.2">
      <c r="A111" s="154"/>
      <c r="B111" s="154" t="s">
        <v>1562</v>
      </c>
      <c r="C111" s="163">
        <f>C101-C108</f>
        <v>0</v>
      </c>
      <c r="D111" s="155">
        <f>D101-D108</f>
        <v>5.125</v>
      </c>
      <c r="E111" s="163">
        <f>E101-E108</f>
        <v>28.7</v>
      </c>
      <c r="F111" s="155">
        <f>F101-F108</f>
        <v>36.9</v>
      </c>
      <c r="G111" s="154"/>
    </row>
    <row r="112" spans="1:7" x14ac:dyDescent="0.2">
      <c r="A112" s="154"/>
      <c r="B112" s="154" t="s">
        <v>1563</v>
      </c>
      <c r="C112" s="164"/>
      <c r="D112" s="156">
        <f>D111/D95</f>
        <v>2.0500000000000001E-2</v>
      </c>
      <c r="E112" s="164">
        <f>E111/E95</f>
        <v>5.74E-2</v>
      </c>
      <c r="F112" s="156">
        <f>F111/F95</f>
        <v>4.9200000000000001E-2</v>
      </c>
      <c r="G112" s="154"/>
    </row>
    <row r="113" spans="1:7" x14ac:dyDescent="0.2">
      <c r="A113" s="154"/>
      <c r="B113" s="154" t="s">
        <v>1564</v>
      </c>
      <c r="C113" s="163">
        <f>C111+C109</f>
        <v>86.0625</v>
      </c>
      <c r="D113" s="155">
        <f>D111+D109</f>
        <v>87.203125</v>
      </c>
      <c r="E113" s="163">
        <f>E111+E109</f>
        <v>92.45</v>
      </c>
      <c r="F113" s="155">
        <f>F111+F109</f>
        <v>94.275000000000006</v>
      </c>
      <c r="G113" s="165">
        <f>F113/C113-1</f>
        <v>9.5424836601307295E-2</v>
      </c>
    </row>
    <row r="114" spans="1:7" x14ac:dyDescent="0.2">
      <c r="A114" s="154"/>
      <c r="B114" s="154" t="s">
        <v>637</v>
      </c>
      <c r="C114" s="163">
        <f>C108+C107+C103</f>
        <v>48.9375</v>
      </c>
      <c r="D114" s="155">
        <f>D108+D107+D103</f>
        <v>47.796875</v>
      </c>
      <c r="E114" s="163">
        <f>E108+E107+E103</f>
        <v>42.55</v>
      </c>
      <c r="F114" s="155">
        <f>F108+F107+F103</f>
        <v>40.725000000000001</v>
      </c>
      <c r="G114" s="154"/>
    </row>
  </sheetData>
  <phoneticPr fontId="4" type="noConversion"/>
  <pageMargins left="0.78740157480314965" right="0.78740157480314965" top="0.98425196850393704" bottom="0.98425196850393704" header="0.51181102362204722" footer="0.51181102362204722"/>
  <pageSetup paperSize="9" scale="94" fitToHeight="3"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euil31">
    <pageSetUpPr fitToPage="1"/>
  </sheetPr>
  <dimension ref="A1:F107"/>
  <sheetViews>
    <sheetView showGridLines="0" workbookViewId="0"/>
  </sheetViews>
  <sheetFormatPr baseColWidth="10" defaultColWidth="11" defaultRowHeight="14" x14ac:dyDescent="0.15"/>
  <cols>
    <col min="1" max="1" width="23.1640625" style="3" customWidth="1"/>
    <col min="2" max="2" width="13.1640625" style="3" bestFit="1" customWidth="1"/>
    <col min="3" max="16384" width="11" style="3"/>
  </cols>
  <sheetData>
    <row r="1" spans="1:4" ht="15" x14ac:dyDescent="0.15">
      <c r="A1" s="1" t="s">
        <v>1225</v>
      </c>
    </row>
    <row r="2" spans="1:4" x14ac:dyDescent="0.15">
      <c r="A2" s="60" t="s">
        <v>638</v>
      </c>
    </row>
    <row r="3" spans="1:4" x14ac:dyDescent="0.15">
      <c r="A3" s="3" t="s">
        <v>640</v>
      </c>
      <c r="B3" s="135">
        <v>10000000</v>
      </c>
    </row>
    <row r="4" spans="1:4" x14ac:dyDescent="0.15">
      <c r="A4" s="3" t="s">
        <v>641</v>
      </c>
      <c r="B4" s="135">
        <v>5000</v>
      </c>
    </row>
    <row r="5" spans="1:4" x14ac:dyDescent="0.15">
      <c r="A5" s="3" t="s">
        <v>189</v>
      </c>
      <c r="B5" s="135">
        <v>6000000</v>
      </c>
      <c r="C5" s="135">
        <v>5</v>
      </c>
      <c r="D5" s="3" t="s">
        <v>506</v>
      </c>
    </row>
    <row r="7" spans="1:4" x14ac:dyDescent="0.15">
      <c r="A7" s="60" t="s">
        <v>642</v>
      </c>
    </row>
    <row r="8" spans="1:4" x14ac:dyDescent="0.15">
      <c r="A8" s="83" t="s">
        <v>643</v>
      </c>
      <c r="B8" s="83" t="s">
        <v>644</v>
      </c>
      <c r="C8" s="83" t="s">
        <v>645</v>
      </c>
    </row>
    <row r="9" spans="1:4" x14ac:dyDescent="0.15">
      <c r="A9" s="135">
        <v>1200</v>
      </c>
      <c r="B9" s="135">
        <v>1010</v>
      </c>
      <c r="C9" s="135">
        <v>1085</v>
      </c>
    </row>
    <row r="10" spans="1:4" x14ac:dyDescent="0.15">
      <c r="A10" s="135">
        <v>1600</v>
      </c>
      <c r="B10" s="135">
        <v>731</v>
      </c>
      <c r="C10" s="135">
        <v>832</v>
      </c>
    </row>
    <row r="11" spans="1:4" x14ac:dyDescent="0.15">
      <c r="A11" s="135">
        <v>2000</v>
      </c>
      <c r="B11" s="135">
        <v>510</v>
      </c>
      <c r="C11" s="135">
        <v>627</v>
      </c>
    </row>
    <row r="12" spans="1:4" x14ac:dyDescent="0.15">
      <c r="A12" s="135">
        <v>2400</v>
      </c>
      <c r="B12" s="135">
        <v>348</v>
      </c>
      <c r="C12" s="135">
        <v>468</v>
      </c>
    </row>
    <row r="13" spans="1:4" x14ac:dyDescent="0.15">
      <c r="A13" s="135"/>
      <c r="B13" s="135"/>
      <c r="C13" s="135"/>
    </row>
    <row r="14" spans="1:4" x14ac:dyDescent="0.15">
      <c r="A14" s="60" t="s">
        <v>295</v>
      </c>
    </row>
    <row r="15" spans="1:4" ht="15" x14ac:dyDescent="0.15">
      <c r="A15" s="6" t="s">
        <v>648</v>
      </c>
      <c r="B15" s="87">
        <f>B5/B4</f>
        <v>1200</v>
      </c>
    </row>
    <row r="16" spans="1:4" ht="12" customHeight="1" x14ac:dyDescent="0.15">
      <c r="A16" s="136" t="s">
        <v>646</v>
      </c>
      <c r="B16" s="137">
        <f>B4*B9</f>
        <v>5050000</v>
      </c>
    </row>
    <row r="17" spans="1:2" x14ac:dyDescent="0.15">
      <c r="A17" s="136" t="s">
        <v>647</v>
      </c>
      <c r="B17" s="137">
        <f>B3-B16</f>
        <v>4950000</v>
      </c>
    </row>
    <row r="19" spans="1:2" x14ac:dyDescent="0.15">
      <c r="A19" s="60" t="s">
        <v>296</v>
      </c>
    </row>
    <row r="20" spans="1:2" x14ac:dyDescent="0.15">
      <c r="A20" s="3" t="s">
        <v>649</v>
      </c>
    </row>
    <row r="21" spans="1:2" x14ac:dyDescent="0.15">
      <c r="A21" s="136" t="s">
        <v>646</v>
      </c>
      <c r="B21" s="137">
        <f>C9*B4</f>
        <v>5425000</v>
      </c>
    </row>
    <row r="22" spans="1:2" x14ac:dyDescent="0.15">
      <c r="A22" s="136" t="s">
        <v>647</v>
      </c>
      <c r="B22" s="137">
        <f>B3-B21</f>
        <v>4575000</v>
      </c>
    </row>
    <row r="23" spans="1:2" x14ac:dyDescent="0.15">
      <c r="A23" s="86" t="s">
        <v>297</v>
      </c>
    </row>
    <row r="25" spans="1:2" x14ac:dyDescent="0.15">
      <c r="A25" s="3" t="s">
        <v>651</v>
      </c>
    </row>
    <row r="26" spans="1:2" x14ac:dyDescent="0.15">
      <c r="A26" s="3" t="s">
        <v>650</v>
      </c>
      <c r="B26" s="87">
        <v>1250</v>
      </c>
    </row>
    <row r="27" spans="1:2" ht="15" x14ac:dyDescent="0.15">
      <c r="A27" s="6" t="s">
        <v>648</v>
      </c>
      <c r="B27" s="87">
        <f>B5/(B4-B26)</f>
        <v>1600</v>
      </c>
    </row>
    <row r="28" spans="1:2" x14ac:dyDescent="0.15">
      <c r="A28" s="136" t="s">
        <v>646</v>
      </c>
      <c r="B28" s="137">
        <f>B10*(B4-B26)+B26*B3/B4</f>
        <v>5241250</v>
      </c>
    </row>
    <row r="29" spans="1:2" x14ac:dyDescent="0.15">
      <c r="A29" s="136" t="s">
        <v>647</v>
      </c>
      <c r="B29" s="137">
        <f>B3*(B4-B26)/B4-B28</f>
        <v>2258750</v>
      </c>
    </row>
    <row r="30" spans="1:2" x14ac:dyDescent="0.15">
      <c r="A30" s="86" t="s">
        <v>297</v>
      </c>
    </row>
    <row r="31" spans="1:2" x14ac:dyDescent="0.15">
      <c r="A31" s="86"/>
    </row>
    <row r="32" spans="1:2" x14ac:dyDescent="0.15">
      <c r="A32" s="3" t="s">
        <v>298</v>
      </c>
    </row>
    <row r="33" spans="1:5" x14ac:dyDescent="0.15">
      <c r="A33" s="86" t="s">
        <v>299</v>
      </c>
    </row>
    <row r="34" spans="1:5" x14ac:dyDescent="0.15">
      <c r="A34" s="86"/>
    </row>
    <row r="36" spans="1:5" ht="15" x14ac:dyDescent="0.15">
      <c r="A36" s="8" t="s">
        <v>1227</v>
      </c>
    </row>
    <row r="37" spans="1:5" ht="15" x14ac:dyDescent="0.15">
      <c r="A37" s="6" t="s">
        <v>655</v>
      </c>
      <c r="B37" s="3">
        <v>50</v>
      </c>
    </row>
    <row r="38" spans="1:5" x14ac:dyDescent="0.15">
      <c r="A38" s="317" t="s">
        <v>599</v>
      </c>
      <c r="B38" s="522" t="s">
        <v>72</v>
      </c>
      <c r="C38" s="522"/>
      <c r="D38" s="522" t="s">
        <v>73</v>
      </c>
      <c r="E38" s="522"/>
    </row>
    <row r="39" spans="1:5" x14ac:dyDescent="0.15">
      <c r="A39" s="317"/>
      <c r="B39" s="343" t="s">
        <v>653</v>
      </c>
      <c r="C39" s="343" t="s">
        <v>654</v>
      </c>
      <c r="D39" s="343" t="s">
        <v>653</v>
      </c>
      <c r="E39" s="343" t="s">
        <v>654</v>
      </c>
    </row>
    <row r="40" spans="1:5" x14ac:dyDescent="0.15">
      <c r="A40" s="3" t="s">
        <v>300</v>
      </c>
      <c r="B40" s="3">
        <v>100</v>
      </c>
      <c r="C40" s="3">
        <v>150</v>
      </c>
      <c r="D40" s="3">
        <v>100</v>
      </c>
      <c r="E40" s="3">
        <v>150</v>
      </c>
    </row>
    <row r="41" spans="1:5" x14ac:dyDescent="0.15">
      <c r="A41" s="3" t="s">
        <v>301</v>
      </c>
      <c r="B41" s="80">
        <v>0.1</v>
      </c>
      <c r="C41" s="80">
        <v>0.1</v>
      </c>
      <c r="D41" s="80">
        <v>0.4</v>
      </c>
      <c r="E41" s="80">
        <v>0.4</v>
      </c>
    </row>
    <row r="42" spans="1:5" x14ac:dyDescent="0.15">
      <c r="A42" s="3" t="s">
        <v>601</v>
      </c>
      <c r="B42" s="3">
        <v>7</v>
      </c>
      <c r="C42" s="136">
        <f>C40-C43</f>
        <v>54.900000000000006</v>
      </c>
      <c r="D42" s="3">
        <v>18</v>
      </c>
      <c r="E42" s="136">
        <f>E40-E43</f>
        <v>57.900000000000006</v>
      </c>
    </row>
    <row r="43" spans="1:5" x14ac:dyDescent="0.15">
      <c r="A43" s="3" t="s">
        <v>602</v>
      </c>
      <c r="B43" s="3">
        <v>93</v>
      </c>
      <c r="C43" s="3">
        <v>95.1</v>
      </c>
      <c r="D43" s="3">
        <v>82</v>
      </c>
      <c r="E43" s="3">
        <v>92.1</v>
      </c>
    </row>
    <row r="44" spans="1:5" x14ac:dyDescent="0.15">
      <c r="A44" s="3" t="s">
        <v>597</v>
      </c>
      <c r="B44" s="55">
        <v>7.4999999999999997E-2</v>
      </c>
      <c r="C44" s="55">
        <v>5.1999999999999998E-2</v>
      </c>
      <c r="D44" s="80">
        <v>0.22</v>
      </c>
      <c r="E44" s="55">
        <v>8.5999999999999993E-2</v>
      </c>
    </row>
    <row r="46" spans="1:5" x14ac:dyDescent="0.15">
      <c r="A46" s="136" t="s">
        <v>656</v>
      </c>
      <c r="B46" s="136"/>
      <c r="C46" s="136">
        <f>C42-B42</f>
        <v>47.900000000000006</v>
      </c>
      <c r="D46" s="136"/>
      <c r="E46" s="136">
        <f>E42-D42</f>
        <v>39.900000000000006</v>
      </c>
    </row>
    <row r="47" spans="1:5" x14ac:dyDescent="0.15">
      <c r="A47" s="136" t="s">
        <v>657</v>
      </c>
      <c r="B47" s="136"/>
      <c r="C47" s="136">
        <f>C43-B43</f>
        <v>2.0999999999999943</v>
      </c>
      <c r="D47" s="136"/>
      <c r="E47" s="136">
        <f>E43-D43</f>
        <v>10.099999999999994</v>
      </c>
    </row>
    <row r="49" spans="1:6" ht="15" x14ac:dyDescent="0.15">
      <c r="A49" s="8" t="s">
        <v>193</v>
      </c>
    </row>
    <row r="50" spans="1:6" ht="15" x14ac:dyDescent="0.15">
      <c r="A50" s="8"/>
    </row>
    <row r="51" spans="1:6" x14ac:dyDescent="0.15">
      <c r="A51" s="60" t="s">
        <v>658</v>
      </c>
    </row>
    <row r="52" spans="1:6" x14ac:dyDescent="0.15">
      <c r="A52" s="88" t="s">
        <v>1207</v>
      </c>
      <c r="B52" s="141" t="s">
        <v>936</v>
      </c>
      <c r="C52" s="141" t="s">
        <v>662</v>
      </c>
      <c r="D52" s="141" t="s">
        <v>663</v>
      </c>
    </row>
    <row r="53" spans="1:6" x14ac:dyDescent="0.15">
      <c r="A53" s="3" t="s">
        <v>664</v>
      </c>
      <c r="B53" s="87">
        <f>C53*D53</f>
        <v>0</v>
      </c>
      <c r="C53" s="135"/>
      <c r="D53" s="142">
        <v>100</v>
      </c>
    </row>
    <row r="54" spans="1:6" x14ac:dyDescent="0.15">
      <c r="A54" s="3" t="s">
        <v>665</v>
      </c>
      <c r="B54" s="87">
        <f>C54*D54</f>
        <v>300000</v>
      </c>
      <c r="C54" s="135">
        <v>300</v>
      </c>
      <c r="D54" s="135">
        <v>1000</v>
      </c>
      <c r="E54" s="135">
        <v>3</v>
      </c>
      <c r="F54" s="3" t="s">
        <v>506</v>
      </c>
    </row>
    <row r="55" spans="1:6" x14ac:dyDescent="0.15">
      <c r="A55" s="88" t="s">
        <v>1200</v>
      </c>
      <c r="B55" s="143"/>
      <c r="C55" s="144"/>
      <c r="D55" s="144"/>
      <c r="E55" s="135"/>
    </row>
    <row r="56" spans="1:6" x14ac:dyDescent="0.15">
      <c r="A56" s="3" t="s">
        <v>660</v>
      </c>
      <c r="B56" s="87">
        <f>C56*D56</f>
        <v>223000</v>
      </c>
      <c r="C56" s="135">
        <v>2230</v>
      </c>
      <c r="D56" s="135">
        <v>100</v>
      </c>
    </row>
    <row r="58" spans="1:6" x14ac:dyDescent="0.15">
      <c r="A58" s="60" t="s">
        <v>659</v>
      </c>
    </row>
    <row r="59" spans="1:6" x14ac:dyDescent="0.15">
      <c r="A59" s="83" t="s">
        <v>643</v>
      </c>
      <c r="B59" s="83" t="s">
        <v>661</v>
      </c>
    </row>
    <row r="60" spans="1:6" x14ac:dyDescent="0.15">
      <c r="A60" s="135">
        <v>2600</v>
      </c>
      <c r="B60" s="135">
        <v>130</v>
      </c>
    </row>
    <row r="61" spans="1:6" x14ac:dyDescent="0.15">
      <c r="A61" s="135">
        <v>2800</v>
      </c>
      <c r="B61" s="135">
        <v>80</v>
      </c>
    </row>
    <row r="62" spans="1:6" x14ac:dyDescent="0.15">
      <c r="A62" s="135">
        <v>3000</v>
      </c>
      <c r="B62" s="135">
        <v>45</v>
      </c>
    </row>
    <row r="63" spans="1:6" x14ac:dyDescent="0.15">
      <c r="A63" s="135">
        <v>3200</v>
      </c>
      <c r="B63" s="135">
        <v>31</v>
      </c>
    </row>
    <row r="64" spans="1:6" x14ac:dyDescent="0.15">
      <c r="A64" s="3" t="s">
        <v>65</v>
      </c>
    </row>
    <row r="65" spans="1:4" ht="15" x14ac:dyDescent="0.15">
      <c r="A65" s="6" t="s">
        <v>671</v>
      </c>
      <c r="B65" s="87">
        <f>B54/D53</f>
        <v>3000</v>
      </c>
    </row>
    <row r="66" spans="1:4" x14ac:dyDescent="0.15">
      <c r="A66" s="3" t="s">
        <v>667</v>
      </c>
      <c r="B66" s="87">
        <f>B62*D53</f>
        <v>4500</v>
      </c>
    </row>
    <row r="67" spans="1:4" x14ac:dyDescent="0.15">
      <c r="A67" s="3" t="s">
        <v>668</v>
      </c>
      <c r="B67" s="145">
        <f>B56-B66</f>
        <v>218500</v>
      </c>
    </row>
    <row r="69" spans="1:4" ht="15" x14ac:dyDescent="0.15">
      <c r="A69" s="6" t="s">
        <v>666</v>
      </c>
      <c r="B69" s="135">
        <f>C69*D69</f>
        <v>13380</v>
      </c>
      <c r="C69" s="142">
        <v>2230</v>
      </c>
      <c r="D69" s="142">
        <v>6</v>
      </c>
    </row>
    <row r="70" spans="1:4" x14ac:dyDescent="0.15">
      <c r="A70" s="3" t="s">
        <v>660</v>
      </c>
      <c r="B70" s="87">
        <f>C70*D70</f>
        <v>209620</v>
      </c>
      <c r="C70" s="87">
        <v>2230</v>
      </c>
      <c r="D70" s="87">
        <f>D56-D69</f>
        <v>94</v>
      </c>
    </row>
    <row r="72" spans="1:4" x14ac:dyDescent="0.15">
      <c r="A72" s="3" t="s">
        <v>672</v>
      </c>
    </row>
    <row r="73" spans="1:4" x14ac:dyDescent="0.15">
      <c r="A73" s="3" t="s">
        <v>673</v>
      </c>
      <c r="B73" s="145">
        <f>B54/D70</f>
        <v>3191.4893617021276</v>
      </c>
    </row>
    <row r="74" spans="1:4" x14ac:dyDescent="0.15">
      <c r="A74" s="3" t="s">
        <v>674</v>
      </c>
      <c r="B74" s="146">
        <f>INDEX(LINEST(B62:B63,A62:A63),1)*B73+INDEX(LINEST(B62:B63,A62:A63),2)</f>
        <v>31.595744680851055</v>
      </c>
    </row>
    <row r="75" spans="1:4" x14ac:dyDescent="0.15">
      <c r="A75" s="6"/>
      <c r="B75" s="87"/>
    </row>
    <row r="76" spans="1:4" ht="15" x14ac:dyDescent="0.15">
      <c r="A76" s="6" t="s">
        <v>66</v>
      </c>
      <c r="B76" s="87"/>
    </row>
    <row r="77" spans="1:4" x14ac:dyDescent="0.15">
      <c r="A77" s="136" t="s">
        <v>669</v>
      </c>
      <c r="B77" s="137">
        <f>B74*D70</f>
        <v>2969.9999999999991</v>
      </c>
    </row>
    <row r="78" spans="1:4" x14ac:dyDescent="0.15">
      <c r="A78" s="136" t="s">
        <v>670</v>
      </c>
      <c r="B78" s="137">
        <f>B70-B77</f>
        <v>206650</v>
      </c>
    </row>
    <row r="80" spans="1:4" x14ac:dyDescent="0.15">
      <c r="A80" s="136" t="s">
        <v>656</v>
      </c>
      <c r="B80" s="147">
        <f>B77-B66+B69</f>
        <v>11850</v>
      </c>
    </row>
    <row r="81" spans="1:2" x14ac:dyDescent="0.15">
      <c r="A81" s="136" t="s">
        <v>657</v>
      </c>
      <c r="B81" s="147">
        <f>B78-B67</f>
        <v>-11850</v>
      </c>
    </row>
    <row r="83" spans="1:2" x14ac:dyDescent="0.15">
      <c r="A83" s="136" t="s">
        <v>302</v>
      </c>
      <c r="B83" s="104">
        <f>POWER(B54/B78,1/3)-1</f>
        <v>0.13230114992101738</v>
      </c>
    </row>
    <row r="85" spans="1:2" x14ac:dyDescent="0.15">
      <c r="A85" s="148" t="s">
        <v>1595</v>
      </c>
    </row>
    <row r="87" spans="1:2" x14ac:dyDescent="0.15">
      <c r="A87" s="149" t="s">
        <v>303</v>
      </c>
    </row>
    <row r="89" spans="1:2" x14ac:dyDescent="0.15">
      <c r="A89" s="103" t="s">
        <v>304</v>
      </c>
    </row>
    <row r="90" spans="1:2" x14ac:dyDescent="0.15">
      <c r="A90" s="3" t="s">
        <v>601</v>
      </c>
      <c r="B90" s="145">
        <f>B66</f>
        <v>4500</v>
      </c>
    </row>
    <row r="91" spans="1:2" x14ac:dyDescent="0.15">
      <c r="B91" s="145"/>
    </row>
    <row r="92" spans="1:2" x14ac:dyDescent="0.15">
      <c r="A92" s="103" t="s">
        <v>305</v>
      </c>
    </row>
    <row r="93" spans="1:2" x14ac:dyDescent="0.15">
      <c r="A93" s="3" t="s">
        <v>601</v>
      </c>
      <c r="B93" s="145">
        <f>B77</f>
        <v>2969.9999999999991</v>
      </c>
    </row>
    <row r="94" spans="1:2" x14ac:dyDescent="0.15">
      <c r="A94" s="88" t="s">
        <v>246</v>
      </c>
      <c r="B94" s="150">
        <f>B69</f>
        <v>13380</v>
      </c>
    </row>
    <row r="95" spans="1:2" x14ac:dyDescent="0.15">
      <c r="A95" s="3" t="s">
        <v>936</v>
      </c>
      <c r="B95" s="145">
        <f>B93+B94</f>
        <v>16350</v>
      </c>
    </row>
    <row r="97" spans="1:2" x14ac:dyDescent="0.15">
      <c r="A97" s="7" t="s">
        <v>886</v>
      </c>
      <c r="B97" s="151">
        <f>B95-B90</f>
        <v>11850</v>
      </c>
    </row>
    <row r="99" spans="1:2" x14ac:dyDescent="0.15">
      <c r="A99" s="149" t="s">
        <v>306</v>
      </c>
    </row>
    <row r="101" spans="1:2" x14ac:dyDescent="0.15">
      <c r="A101" s="3" t="s">
        <v>304</v>
      </c>
    </row>
    <row r="102" spans="1:2" x14ac:dyDescent="0.15">
      <c r="A102" s="3" t="s">
        <v>602</v>
      </c>
      <c r="B102" s="145">
        <f>B67</f>
        <v>218500</v>
      </c>
    </row>
    <row r="104" spans="1:2" x14ac:dyDescent="0.15">
      <c r="A104" s="3" t="s">
        <v>305</v>
      </c>
    </row>
    <row r="105" spans="1:2" x14ac:dyDescent="0.15">
      <c r="A105" s="3" t="s">
        <v>602</v>
      </c>
      <c r="B105" s="145">
        <f>B78</f>
        <v>206650</v>
      </c>
    </row>
    <row r="107" spans="1:2" x14ac:dyDescent="0.15">
      <c r="A107" s="7" t="s">
        <v>886</v>
      </c>
      <c r="B107" s="151">
        <f>B105-B102</f>
        <v>-11850</v>
      </c>
    </row>
  </sheetData>
  <mergeCells count="2">
    <mergeCell ref="B38:C38"/>
    <mergeCell ref="D38:E38"/>
  </mergeCells>
  <phoneticPr fontId="4" type="noConversion"/>
  <pageMargins left="0.78740157480314965" right="0.78740157480314965" top="0.98425196850393704" bottom="0.98425196850393704" header="0.51181102362204722" footer="0.51181102362204722"/>
  <pageSetup paperSize="9" fitToHeight="4"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euil39"/>
  <dimension ref="A1:G20"/>
  <sheetViews>
    <sheetView showGridLines="0" workbookViewId="0"/>
  </sheetViews>
  <sheetFormatPr baseColWidth="10" defaultColWidth="11" defaultRowHeight="14" x14ac:dyDescent="0.15"/>
  <cols>
    <col min="1" max="1" width="22.83203125" style="3" customWidth="1"/>
    <col min="2" max="16384" width="11" style="3"/>
  </cols>
  <sheetData>
    <row r="1" spans="1:7" ht="15" x14ac:dyDescent="0.15">
      <c r="A1" s="1" t="s">
        <v>1275</v>
      </c>
    </row>
    <row r="2" spans="1:7" s="97" customFormat="1" ht="12" x14ac:dyDescent="0.15"/>
    <row r="3" spans="1:7" x14ac:dyDescent="0.15">
      <c r="A3" s="317" t="s">
        <v>939</v>
      </c>
      <c r="B3" s="317">
        <v>0</v>
      </c>
      <c r="C3" s="317">
        <v>1</v>
      </c>
      <c r="D3" s="317">
        <v>2</v>
      </c>
      <c r="E3" s="317">
        <v>3</v>
      </c>
      <c r="F3" s="317">
        <v>4</v>
      </c>
      <c r="G3" s="317">
        <v>5</v>
      </c>
    </row>
    <row r="4" spans="1:7" x14ac:dyDescent="0.15">
      <c r="A4" s="3" t="s">
        <v>395</v>
      </c>
      <c r="B4" s="3">
        <v>-100</v>
      </c>
      <c r="C4" s="3">
        <v>-10</v>
      </c>
      <c r="D4" s="3">
        <v>0</v>
      </c>
      <c r="E4" s="3">
        <v>0</v>
      </c>
      <c r="F4" s="3">
        <v>10</v>
      </c>
      <c r="G4" s="3">
        <v>150</v>
      </c>
    </row>
    <row r="6" spans="1:7" x14ac:dyDescent="0.15">
      <c r="A6" s="60" t="s">
        <v>904</v>
      </c>
    </row>
    <row r="7" spans="1:7" x14ac:dyDescent="0.15">
      <c r="A7" s="3" t="s">
        <v>538</v>
      </c>
      <c r="B7" s="80">
        <v>0.3</v>
      </c>
      <c r="C7" s="80">
        <v>0.22</v>
      </c>
      <c r="D7" s="80">
        <v>0.22</v>
      </c>
      <c r="E7" s="80">
        <v>0.22</v>
      </c>
      <c r="F7" s="80">
        <v>0.22</v>
      </c>
      <c r="G7" s="80">
        <v>0.22</v>
      </c>
    </row>
    <row r="8" spans="1:7" x14ac:dyDescent="0.15">
      <c r="A8" s="3" t="s">
        <v>532</v>
      </c>
      <c r="B8" s="3">
        <v>10</v>
      </c>
      <c r="C8" s="3">
        <v>8.25</v>
      </c>
      <c r="D8" s="3">
        <v>9.1</v>
      </c>
      <c r="E8" s="3">
        <v>10.3</v>
      </c>
      <c r="F8" s="3">
        <v>11.8</v>
      </c>
      <c r="G8" s="3">
        <v>13.6</v>
      </c>
    </row>
    <row r="9" spans="1:7" x14ac:dyDescent="0.15">
      <c r="A9" s="3" t="s">
        <v>905</v>
      </c>
      <c r="B9" s="104"/>
      <c r="C9" s="67">
        <f>(C8-B8)/B8</f>
        <v>-0.17499999999999999</v>
      </c>
      <c r="D9" s="67">
        <f>(D8-C8)/C8</f>
        <v>0.10303030303030299</v>
      </c>
      <c r="E9" s="67">
        <f>(E8-D8)/D8</f>
        <v>0.13186813186813198</v>
      </c>
      <c r="F9" s="67">
        <f>(F8-E8)/E8</f>
        <v>0.14563106796116504</v>
      </c>
      <c r="G9" s="67">
        <f>(G8-F8)/F8</f>
        <v>0.15254237288135583</v>
      </c>
    </row>
    <row r="10" spans="1:7" x14ac:dyDescent="0.15">
      <c r="A10" s="3" t="s">
        <v>207</v>
      </c>
      <c r="B10" s="104">
        <v>0.15</v>
      </c>
      <c r="C10" s="104">
        <v>0.11</v>
      </c>
      <c r="D10" s="104">
        <v>0.11</v>
      </c>
      <c r="E10" s="104">
        <v>0.114</v>
      </c>
      <c r="F10" s="104">
        <v>0.11600000000000001</v>
      </c>
      <c r="G10" s="104">
        <v>0.12</v>
      </c>
    </row>
    <row r="12" spans="1:7" x14ac:dyDescent="0.15">
      <c r="A12" s="60" t="s">
        <v>906</v>
      </c>
    </row>
    <row r="13" spans="1:7" x14ac:dyDescent="0.15">
      <c r="A13" s="3" t="s">
        <v>538</v>
      </c>
      <c r="B13" s="80">
        <v>0.3</v>
      </c>
      <c r="C13" s="80">
        <v>0.67</v>
      </c>
      <c r="D13" s="80">
        <v>0.67</v>
      </c>
      <c r="E13" s="80">
        <v>0.67</v>
      </c>
      <c r="F13" s="80">
        <v>0.67</v>
      </c>
      <c r="G13" s="80">
        <v>0.67</v>
      </c>
    </row>
    <row r="14" spans="1:7" x14ac:dyDescent="0.15">
      <c r="A14" s="3" t="s">
        <v>532</v>
      </c>
      <c r="B14" s="3">
        <v>10</v>
      </c>
      <c r="C14" s="3">
        <v>9.23</v>
      </c>
      <c r="D14" s="3">
        <v>10.4</v>
      </c>
      <c r="E14" s="3">
        <v>12</v>
      </c>
      <c r="F14" s="3">
        <v>14.1</v>
      </c>
      <c r="G14" s="3">
        <v>16.5</v>
      </c>
    </row>
    <row r="15" spans="1:7" x14ac:dyDescent="0.15">
      <c r="A15" s="3" t="s">
        <v>905</v>
      </c>
      <c r="C15" s="67">
        <f>(C14-B14)/B14</f>
        <v>-7.6999999999999957E-2</v>
      </c>
      <c r="D15" s="67">
        <f>(D14-C14)/C14</f>
        <v>0.12676056338028169</v>
      </c>
      <c r="E15" s="67">
        <f>(E14-D14)/D14</f>
        <v>0.1538461538461538</v>
      </c>
      <c r="F15" s="67">
        <f>(F14-E14)/E14</f>
        <v>0.17499999999999996</v>
      </c>
      <c r="G15" s="67">
        <f>(G14-F14)/F14</f>
        <v>0.17021276595744683</v>
      </c>
    </row>
    <row r="16" spans="1:7" x14ac:dyDescent="0.15">
      <c r="A16" s="3" t="s">
        <v>207</v>
      </c>
      <c r="B16" s="80">
        <v>0.15</v>
      </c>
      <c r="C16" s="80">
        <v>0.14000000000000001</v>
      </c>
      <c r="D16" s="80">
        <v>0.17</v>
      </c>
      <c r="E16" s="80">
        <v>0.18</v>
      </c>
      <c r="F16" s="80">
        <v>0.21</v>
      </c>
      <c r="G16" s="80">
        <v>0.22</v>
      </c>
    </row>
    <row r="18" spans="1:7" x14ac:dyDescent="0.15">
      <c r="A18" s="3" t="s">
        <v>513</v>
      </c>
      <c r="B18" s="68">
        <f t="shared" ref="B18:G18" si="0">B4*POWER(1+$B20,-B3)</f>
        <v>-100</v>
      </c>
      <c r="C18" s="68">
        <f t="shared" si="0"/>
        <v>-9.2561417810507294</v>
      </c>
      <c r="D18" s="68">
        <f t="shared" si="0"/>
        <v>0</v>
      </c>
      <c r="E18" s="68">
        <f t="shared" si="0"/>
        <v>0</v>
      </c>
      <c r="F18" s="68">
        <f t="shared" si="0"/>
        <v>7.3404045073080928</v>
      </c>
      <c r="G18" s="68">
        <f t="shared" si="0"/>
        <v>101.9157372748613</v>
      </c>
    </row>
    <row r="19" spans="1:7" x14ac:dyDescent="0.15">
      <c r="A19" s="3" t="s">
        <v>396</v>
      </c>
      <c r="B19" s="68">
        <f>SUM(B18:G18)</f>
        <v>1.1186642723259865E-9</v>
      </c>
    </row>
    <row r="20" spans="1:7" x14ac:dyDescent="0.15">
      <c r="A20" s="7" t="s">
        <v>687</v>
      </c>
      <c r="B20" s="111">
        <f>IRR(B4:G4)</f>
        <v>8.036374512673361E-2</v>
      </c>
    </row>
  </sheetData>
  <phoneticPr fontId="4" type="noConversion"/>
  <pageMargins left="0.78740157480314965" right="0.78740157480314965" top="0.98425196850393704" bottom="0.98425196850393704" header="0.51181102362204722" footer="0.51181102362204722"/>
  <pageSetup paperSize="9" orientation="portrait"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euil35">
    <pageSetUpPr fitToPage="1"/>
  </sheetPr>
  <dimension ref="A1:J33"/>
  <sheetViews>
    <sheetView showGridLines="0" topLeftCell="A12" workbookViewId="0">
      <selection activeCell="J33" sqref="J33"/>
    </sheetView>
  </sheetViews>
  <sheetFormatPr baseColWidth="10" defaultColWidth="11" defaultRowHeight="14" x14ac:dyDescent="0.15"/>
  <cols>
    <col min="1" max="1" width="15.83203125" style="70" customWidth="1"/>
    <col min="2" max="16384" width="11" style="3"/>
  </cols>
  <sheetData>
    <row r="1" spans="1:2" ht="15" x14ac:dyDescent="0.15">
      <c r="A1" s="1" t="s">
        <v>1225</v>
      </c>
    </row>
    <row r="2" spans="1:2" ht="15" x14ac:dyDescent="0.15">
      <c r="A2" s="70" t="s">
        <v>818</v>
      </c>
      <c r="B2" s="104">
        <v>7.4999999999999997E-2</v>
      </c>
    </row>
    <row r="3" spans="1:2" ht="15" x14ac:dyDescent="0.15">
      <c r="A3" s="70" t="s">
        <v>819</v>
      </c>
      <c r="B3" s="104">
        <v>0.2</v>
      </c>
    </row>
    <row r="4" spans="1:2" ht="15" x14ac:dyDescent="0.15">
      <c r="A4" s="70" t="s">
        <v>820</v>
      </c>
      <c r="B4" s="104">
        <v>0.03</v>
      </c>
    </row>
    <row r="5" spans="1:2" ht="15" x14ac:dyDescent="0.15">
      <c r="A5" s="70" t="s">
        <v>629</v>
      </c>
      <c r="B5" s="104">
        <v>0.25</v>
      </c>
    </row>
    <row r="6" spans="1:2" ht="15" x14ac:dyDescent="0.15">
      <c r="A6" s="70" t="s">
        <v>197</v>
      </c>
      <c r="B6" s="67">
        <f>B4*(1-B5)</f>
        <v>2.2499999999999999E-2</v>
      </c>
    </row>
    <row r="8" spans="1:2" x14ac:dyDescent="0.15">
      <c r="A8" s="60" t="s">
        <v>821</v>
      </c>
    </row>
    <row r="9" spans="1:2" ht="15" x14ac:dyDescent="0.15">
      <c r="A9" s="70" t="s">
        <v>556</v>
      </c>
      <c r="B9" s="104">
        <v>0</v>
      </c>
    </row>
    <row r="10" spans="1:2" ht="15" x14ac:dyDescent="0.15">
      <c r="A10" s="76" t="s">
        <v>822</v>
      </c>
      <c r="B10" s="133">
        <f>(B3/(1-B9)-B2)/(B2-B6)</f>
        <v>2.3809523809523809</v>
      </c>
    </row>
    <row r="12" spans="1:2" x14ac:dyDescent="0.15">
      <c r="A12" s="60" t="s">
        <v>821</v>
      </c>
    </row>
    <row r="13" spans="1:2" ht="15" x14ac:dyDescent="0.15">
      <c r="A13" s="70" t="s">
        <v>556</v>
      </c>
      <c r="B13" s="104">
        <f>1/3</f>
        <v>0.33333333333333331</v>
      </c>
    </row>
    <row r="14" spans="1:2" ht="15" x14ac:dyDescent="0.15">
      <c r="A14" s="76" t="s">
        <v>822</v>
      </c>
      <c r="B14" s="133">
        <f>(B3/(1-B13)-B2)/(B2-B6)</f>
        <v>4.2857142857142856</v>
      </c>
    </row>
    <row r="16" spans="1:2" x14ac:dyDescent="0.15">
      <c r="A16" s="60" t="s">
        <v>823</v>
      </c>
    </row>
    <row r="17" spans="1:10" ht="15" x14ac:dyDescent="0.15">
      <c r="A17" s="70" t="s">
        <v>822</v>
      </c>
      <c r="B17" s="29">
        <v>1</v>
      </c>
    </row>
    <row r="18" spans="1:10" ht="15" x14ac:dyDescent="0.15">
      <c r="A18" s="70" t="s">
        <v>556</v>
      </c>
      <c r="B18" s="104">
        <v>0</v>
      </c>
    </row>
    <row r="19" spans="1:10" ht="15" x14ac:dyDescent="0.15">
      <c r="A19" s="76" t="s">
        <v>529</v>
      </c>
      <c r="B19" s="111">
        <f>(B2+(B2-B6)*B17)*(1-B18)</f>
        <v>0.1275</v>
      </c>
    </row>
    <row r="20" spans="1:10" x14ac:dyDescent="0.15">
      <c r="A20" s="76"/>
      <c r="B20" s="111"/>
    </row>
    <row r="21" spans="1:10" x14ac:dyDescent="0.15">
      <c r="A21" s="60" t="s">
        <v>823</v>
      </c>
    </row>
    <row r="22" spans="1:10" ht="15" x14ac:dyDescent="0.15">
      <c r="A22" s="70" t="s">
        <v>822</v>
      </c>
      <c r="B22" s="29">
        <v>1</v>
      </c>
    </row>
    <row r="23" spans="1:10" ht="15" x14ac:dyDescent="0.15">
      <c r="A23" s="70" t="s">
        <v>556</v>
      </c>
      <c r="B23" s="104">
        <v>0.33333333333333298</v>
      </c>
    </row>
    <row r="24" spans="1:10" ht="15" x14ac:dyDescent="0.15">
      <c r="A24" s="76" t="s">
        <v>529</v>
      </c>
      <c r="B24" s="111">
        <f>(B2+(B2-B6)*B22)*(1-B23)</f>
        <v>8.5000000000000034E-2</v>
      </c>
    </row>
    <row r="26" spans="1:10" ht="15" x14ac:dyDescent="0.15">
      <c r="A26" s="8" t="s">
        <v>1227</v>
      </c>
    </row>
    <row r="27" spans="1:10" x14ac:dyDescent="0.15">
      <c r="A27" s="371" t="s">
        <v>939</v>
      </c>
      <c r="B27" s="346" t="s">
        <v>791</v>
      </c>
      <c r="C27" s="346" t="s">
        <v>75</v>
      </c>
      <c r="D27" s="346" t="s">
        <v>824</v>
      </c>
      <c r="E27" s="346" t="s">
        <v>825</v>
      </c>
      <c r="F27" s="346" t="s">
        <v>826</v>
      </c>
      <c r="G27" s="346" t="s">
        <v>1044</v>
      </c>
      <c r="H27" s="346" t="s">
        <v>1013</v>
      </c>
      <c r="I27" s="346" t="s">
        <v>827</v>
      </c>
      <c r="J27" s="346" t="s">
        <v>828</v>
      </c>
    </row>
    <row r="28" spans="1:10" x14ac:dyDescent="0.15">
      <c r="A28" s="134">
        <v>1</v>
      </c>
      <c r="B28" s="3">
        <v>100</v>
      </c>
      <c r="C28" s="3">
        <v>100</v>
      </c>
      <c r="D28" s="3">
        <f t="shared" ref="D28:D33" si="0">SUM(B28:C28)</f>
        <v>200</v>
      </c>
      <c r="E28" s="3">
        <v>20</v>
      </c>
      <c r="F28" s="3">
        <v>8</v>
      </c>
      <c r="G28" s="3">
        <f t="shared" ref="G28:G33" si="1">E28-F28</f>
        <v>12</v>
      </c>
      <c r="H28" s="3">
        <v>2</v>
      </c>
      <c r="I28" s="3">
        <f t="shared" ref="I28:I33" si="2">G28-H28</f>
        <v>10</v>
      </c>
      <c r="J28" s="3">
        <f t="shared" ref="J28:J33" si="3">B28+I28</f>
        <v>110</v>
      </c>
    </row>
    <row r="29" spans="1:10" x14ac:dyDescent="0.15">
      <c r="A29" s="134">
        <f>A28+1</f>
        <v>2</v>
      </c>
      <c r="B29" s="3">
        <f>J28</f>
        <v>110</v>
      </c>
      <c r="C29" s="3">
        <v>140</v>
      </c>
      <c r="D29" s="3">
        <f t="shared" si="0"/>
        <v>250</v>
      </c>
      <c r="E29" s="3">
        <v>25</v>
      </c>
      <c r="F29" s="3">
        <v>12</v>
      </c>
      <c r="G29" s="3">
        <f t="shared" si="1"/>
        <v>13</v>
      </c>
      <c r="H29" s="3">
        <v>1</v>
      </c>
      <c r="I29" s="3">
        <f t="shared" si="2"/>
        <v>12</v>
      </c>
      <c r="J29" s="3">
        <f t="shared" si="3"/>
        <v>122</v>
      </c>
    </row>
    <row r="30" spans="1:10" x14ac:dyDescent="0.15">
      <c r="A30" s="134">
        <f>A29+1</f>
        <v>3</v>
      </c>
      <c r="B30" s="3">
        <f>J29</f>
        <v>122</v>
      </c>
      <c r="C30" s="3">
        <v>190</v>
      </c>
      <c r="D30" s="3">
        <f t="shared" si="0"/>
        <v>312</v>
      </c>
      <c r="E30" s="3">
        <v>28</v>
      </c>
      <c r="F30" s="3">
        <v>17</v>
      </c>
      <c r="G30" s="3">
        <f t="shared" si="1"/>
        <v>11</v>
      </c>
      <c r="H30" s="3">
        <v>0</v>
      </c>
      <c r="I30" s="3">
        <f t="shared" si="2"/>
        <v>11</v>
      </c>
      <c r="J30" s="3">
        <f t="shared" si="3"/>
        <v>133</v>
      </c>
    </row>
    <row r="31" spans="1:10" x14ac:dyDescent="0.15">
      <c r="A31" s="134">
        <f>A30+1</f>
        <v>4</v>
      </c>
      <c r="B31" s="3">
        <f>J30</f>
        <v>133</v>
      </c>
      <c r="C31" s="3">
        <v>258</v>
      </c>
      <c r="D31" s="3">
        <f t="shared" si="0"/>
        <v>391</v>
      </c>
      <c r="E31" s="3">
        <v>31</v>
      </c>
      <c r="F31" s="3">
        <v>26</v>
      </c>
      <c r="G31" s="3">
        <f t="shared" si="1"/>
        <v>5</v>
      </c>
      <c r="H31" s="3">
        <v>0</v>
      </c>
      <c r="I31" s="3">
        <f t="shared" si="2"/>
        <v>5</v>
      </c>
      <c r="J31" s="3">
        <f t="shared" si="3"/>
        <v>138</v>
      </c>
    </row>
    <row r="32" spans="1:10" x14ac:dyDescent="0.15">
      <c r="A32" s="134">
        <f>A31+1</f>
        <v>5</v>
      </c>
      <c r="B32" s="3">
        <f>J31</f>
        <v>138</v>
      </c>
      <c r="C32" s="3">
        <v>350</v>
      </c>
      <c r="D32" s="3">
        <f t="shared" si="0"/>
        <v>488</v>
      </c>
      <c r="E32" s="3">
        <v>34</v>
      </c>
      <c r="F32" s="3">
        <v>35</v>
      </c>
      <c r="G32" s="3">
        <f t="shared" si="1"/>
        <v>-1</v>
      </c>
      <c r="H32" s="3">
        <v>0</v>
      </c>
      <c r="I32" s="3">
        <f t="shared" si="2"/>
        <v>-1</v>
      </c>
      <c r="J32" s="3">
        <f t="shared" si="3"/>
        <v>137</v>
      </c>
    </row>
    <row r="33" spans="1:10" x14ac:dyDescent="0.15">
      <c r="A33" s="134">
        <f>A32+1</f>
        <v>6</v>
      </c>
      <c r="B33" s="3">
        <f>J32</f>
        <v>137</v>
      </c>
      <c r="C33" s="3">
        <v>474</v>
      </c>
      <c r="D33" s="3">
        <f t="shared" si="0"/>
        <v>611</v>
      </c>
      <c r="E33" s="3">
        <v>43</v>
      </c>
      <c r="F33" s="3">
        <v>47</v>
      </c>
      <c r="G33" s="3">
        <f t="shared" si="1"/>
        <v>-4</v>
      </c>
      <c r="H33" s="3">
        <v>0</v>
      </c>
      <c r="I33" s="3">
        <f t="shared" si="2"/>
        <v>-4</v>
      </c>
      <c r="J33" s="3">
        <f t="shared" si="3"/>
        <v>133</v>
      </c>
    </row>
  </sheetData>
  <phoneticPr fontId="4" type="noConversion"/>
  <pageMargins left="0.78740157480314965" right="0.78740157480314965" top="0.98425196850393704" bottom="0.98425196850393704" header="0.51181102362204722" footer="0.51181102362204722"/>
  <pageSetup paperSize="9" scale="99"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euil36">
    <pageSetUpPr fitToPage="1"/>
  </sheetPr>
  <dimension ref="A1:V93"/>
  <sheetViews>
    <sheetView showGridLines="0" workbookViewId="0"/>
  </sheetViews>
  <sheetFormatPr baseColWidth="10" defaultColWidth="11" defaultRowHeight="14" x14ac:dyDescent="0.15"/>
  <cols>
    <col min="1" max="1" width="14.1640625" style="70" customWidth="1"/>
    <col min="2" max="4" width="13.1640625" style="3" bestFit="1" customWidth="1"/>
    <col min="5" max="6" width="11.1640625" style="3" bestFit="1" customWidth="1"/>
    <col min="7" max="7" width="11.83203125" style="3" customWidth="1"/>
    <col min="8" max="9" width="11.1640625" style="3" bestFit="1" customWidth="1"/>
    <col min="10" max="16384" width="11" style="3"/>
  </cols>
  <sheetData>
    <row r="1" spans="1:9" ht="15" x14ac:dyDescent="0.15">
      <c r="A1" s="1" t="s">
        <v>1225</v>
      </c>
    </row>
    <row r="2" spans="1:9" x14ac:dyDescent="0.15">
      <c r="A2" s="60" t="s">
        <v>990</v>
      </c>
    </row>
    <row r="3" spans="1:9" ht="15" x14ac:dyDescent="0.15">
      <c r="A3" s="70" t="s">
        <v>531</v>
      </c>
      <c r="B3" s="74">
        <v>106.5</v>
      </c>
      <c r="C3" s="3" t="s">
        <v>491</v>
      </c>
    </row>
    <row r="4" spans="1:9" ht="15" x14ac:dyDescent="0.15">
      <c r="A4" s="70" t="s">
        <v>1369</v>
      </c>
      <c r="B4" s="74">
        <v>3.4</v>
      </c>
      <c r="C4" s="3" t="s">
        <v>491</v>
      </c>
    </row>
    <row r="5" spans="1:9" ht="15" x14ac:dyDescent="0.15">
      <c r="A5" s="70" t="s">
        <v>532</v>
      </c>
      <c r="B5" s="74">
        <v>6.96</v>
      </c>
      <c r="C5" s="3" t="s">
        <v>491</v>
      </c>
    </row>
    <row r="6" spans="1:9" x14ac:dyDescent="0.15">
      <c r="B6" s="80"/>
    </row>
    <row r="7" spans="1:9" x14ac:dyDescent="0.15">
      <c r="B7" s="80"/>
    </row>
    <row r="8" spans="1:9" ht="15" x14ac:dyDescent="0.15">
      <c r="A8" s="76" t="s">
        <v>556</v>
      </c>
      <c r="B8" s="122">
        <f>B4/B5</f>
        <v>0.4885057471264368</v>
      </c>
      <c r="D8" s="80"/>
    </row>
    <row r="9" spans="1:9" ht="14.25" customHeight="1" x14ac:dyDescent="0.15">
      <c r="A9" s="76" t="s">
        <v>829</v>
      </c>
      <c r="B9" s="123">
        <f>B4/B3</f>
        <v>3.1924882629107983E-2</v>
      </c>
    </row>
    <row r="11" spans="1:9" x14ac:dyDescent="0.15">
      <c r="B11" s="124"/>
      <c r="C11" s="125"/>
      <c r="D11" s="125"/>
      <c r="E11" s="125"/>
      <c r="F11" s="125"/>
      <c r="G11" s="125"/>
      <c r="H11" s="125"/>
      <c r="I11" s="125"/>
    </row>
    <row r="12" spans="1:9" ht="15" x14ac:dyDescent="0.15">
      <c r="A12" s="8" t="s">
        <v>82</v>
      </c>
      <c r="B12" s="124"/>
      <c r="C12" s="125"/>
      <c r="D12" s="125"/>
      <c r="E12" s="125"/>
      <c r="F12" s="125"/>
      <c r="G12" s="125"/>
      <c r="H12" s="125"/>
      <c r="I12" s="125"/>
    </row>
    <row r="13" spans="1:9" x14ac:dyDescent="0.15">
      <c r="B13" s="124"/>
      <c r="C13" s="22"/>
      <c r="D13" s="125"/>
      <c r="E13" s="125"/>
      <c r="F13" s="125"/>
      <c r="G13" s="125"/>
      <c r="H13" s="125"/>
      <c r="I13" s="125"/>
    </row>
    <row r="15" spans="1:9" ht="15" x14ac:dyDescent="0.15">
      <c r="A15" s="8"/>
    </row>
    <row r="16" spans="1:9" ht="15" x14ac:dyDescent="0.15">
      <c r="A16" s="348"/>
      <c r="B16" s="343" t="s">
        <v>894</v>
      </c>
      <c r="C16" s="343" t="s">
        <v>896</v>
      </c>
      <c r="D16" s="343" t="s">
        <v>897</v>
      </c>
    </row>
    <row r="17" spans="1:22" ht="15" x14ac:dyDescent="0.15">
      <c r="A17" s="6" t="s">
        <v>582</v>
      </c>
      <c r="B17" s="126">
        <v>100000000</v>
      </c>
      <c r="C17" s="126">
        <f t="shared" ref="C17:D20" si="0">B17</f>
        <v>100000000</v>
      </c>
      <c r="D17" s="126">
        <f t="shared" si="0"/>
        <v>100000000</v>
      </c>
      <c r="E17" s="97"/>
      <c r="F17" s="97"/>
      <c r="G17" s="97"/>
      <c r="H17" s="97"/>
      <c r="I17" s="97"/>
      <c r="J17" s="97"/>
      <c r="K17" s="97"/>
      <c r="L17" s="97"/>
      <c r="M17" s="97"/>
      <c r="N17" s="97"/>
      <c r="O17" s="97"/>
      <c r="P17" s="97"/>
      <c r="Q17" s="97"/>
      <c r="R17" s="97"/>
      <c r="S17" s="97"/>
      <c r="T17" s="97"/>
      <c r="U17" s="97"/>
      <c r="V17" s="97"/>
    </row>
    <row r="18" spans="1:22" x14ac:dyDescent="0.15">
      <c r="A18" s="3" t="s">
        <v>888</v>
      </c>
      <c r="B18" s="126">
        <v>1000000</v>
      </c>
      <c r="C18" s="126">
        <f t="shared" si="0"/>
        <v>1000000</v>
      </c>
      <c r="D18" s="126">
        <f t="shared" si="0"/>
        <v>1000000</v>
      </c>
    </row>
    <row r="19" spans="1:22" x14ac:dyDescent="0.15">
      <c r="A19" s="3" t="s">
        <v>889</v>
      </c>
      <c r="B19" s="126">
        <v>1000</v>
      </c>
      <c r="C19" s="126">
        <f t="shared" si="0"/>
        <v>1000</v>
      </c>
      <c r="D19" s="126">
        <f t="shared" si="0"/>
        <v>1000</v>
      </c>
    </row>
    <row r="20" spans="1:22" x14ac:dyDescent="0.15">
      <c r="A20" s="3" t="s">
        <v>890</v>
      </c>
      <c r="B20" s="126">
        <v>1200000000</v>
      </c>
      <c r="C20" s="126">
        <f t="shared" si="0"/>
        <v>1200000000</v>
      </c>
      <c r="D20" s="126">
        <f t="shared" si="0"/>
        <v>1200000000</v>
      </c>
    </row>
    <row r="21" spans="1:22" x14ac:dyDescent="0.15">
      <c r="A21" s="3"/>
    </row>
    <row r="22" spans="1:22" x14ac:dyDescent="0.15">
      <c r="A22" s="3" t="s">
        <v>891</v>
      </c>
    </row>
    <row r="23" spans="1:22" x14ac:dyDescent="0.15">
      <c r="A23" s="3" t="s">
        <v>888</v>
      </c>
      <c r="B23" s="126"/>
      <c r="C23" s="126">
        <f>C18/4</f>
        <v>250000</v>
      </c>
      <c r="D23" s="126">
        <f>C23</f>
        <v>250000</v>
      </c>
    </row>
    <row r="24" spans="1:22" x14ac:dyDescent="0.15">
      <c r="A24" s="3" t="s">
        <v>892</v>
      </c>
      <c r="B24" s="126"/>
      <c r="C24" s="126">
        <v>500</v>
      </c>
      <c r="D24" s="126">
        <v>1500</v>
      </c>
    </row>
    <row r="25" spans="1:22" x14ac:dyDescent="0.15">
      <c r="A25" s="3" t="s">
        <v>895</v>
      </c>
      <c r="B25" s="104"/>
      <c r="C25" s="104">
        <v>0.05</v>
      </c>
      <c r="D25" s="104">
        <f>C25</f>
        <v>0.05</v>
      </c>
    </row>
    <row r="26" spans="1:22" x14ac:dyDescent="0.15">
      <c r="A26" s="3"/>
    </row>
    <row r="27" spans="1:22" x14ac:dyDescent="0.15">
      <c r="A27" s="7" t="s">
        <v>532</v>
      </c>
      <c r="B27" s="127">
        <f>(B17-B24*B23*B25)/(B18-B23)</f>
        <v>100</v>
      </c>
      <c r="C27" s="127">
        <f>(C17-C24*C23*C25)/(C18-C23)</f>
        <v>125</v>
      </c>
      <c r="D27" s="127">
        <f>(D17-D24*D23*D25)/(D18-D23)</f>
        <v>108.33333333333333</v>
      </c>
    </row>
    <row r="28" spans="1:22" x14ac:dyDescent="0.15">
      <c r="A28" s="3"/>
      <c r="B28" s="127"/>
      <c r="C28" s="128">
        <f>(C27-$B27)/$B27</f>
        <v>0.25</v>
      </c>
      <c r="D28" s="128">
        <f>(D27-$B27)/$B27</f>
        <v>8.3333333333333287E-2</v>
      </c>
    </row>
    <row r="29" spans="1:22" x14ac:dyDescent="0.15">
      <c r="A29" s="7" t="s">
        <v>893</v>
      </c>
      <c r="B29" s="127">
        <f>(B20-B23*B24)/(B18-B23)</f>
        <v>1200</v>
      </c>
      <c r="C29" s="127">
        <f>(C20-C23*C24)/(C18-C23)</f>
        <v>1433.3333333333333</v>
      </c>
      <c r="D29" s="127">
        <f>(D20-D23*D24)/(D18-D23)</f>
        <v>1100</v>
      </c>
    </row>
    <row r="30" spans="1:22" x14ac:dyDescent="0.15">
      <c r="A30" s="7"/>
      <c r="B30" s="127"/>
      <c r="C30" s="127"/>
      <c r="D30" s="127"/>
    </row>
    <row r="31" spans="1:22" x14ac:dyDescent="0.15">
      <c r="A31" s="3"/>
      <c r="C31" s="128">
        <f>(C29-$B29)/$B29</f>
        <v>0.19444444444444439</v>
      </c>
      <c r="D31" s="128">
        <f>(D29-$B29)/$B29</f>
        <v>-8.3333333333333329E-2</v>
      </c>
    </row>
    <row r="32" spans="1:22" x14ac:dyDescent="0.15">
      <c r="A32" s="3"/>
      <c r="C32" s="128"/>
      <c r="D32" s="128"/>
    </row>
    <row r="33" spans="1:7" ht="15" x14ac:dyDescent="0.15">
      <c r="A33" s="8" t="s">
        <v>193</v>
      </c>
      <c r="C33" s="128"/>
      <c r="D33" s="128"/>
    </row>
    <row r="34" spans="1:7" x14ac:dyDescent="0.15">
      <c r="C34" s="128"/>
      <c r="D34" s="128"/>
    </row>
    <row r="35" spans="1:7" ht="15" x14ac:dyDescent="0.15">
      <c r="A35" s="129" t="s">
        <v>81</v>
      </c>
      <c r="B35" s="130"/>
      <c r="C35" s="131"/>
      <c r="D35" s="131"/>
      <c r="E35" s="130"/>
    </row>
    <row r="36" spans="1:7" x14ac:dyDescent="0.15">
      <c r="A36" s="3"/>
      <c r="C36" s="128"/>
      <c r="D36" s="128"/>
    </row>
    <row r="37" spans="1:7" x14ac:dyDescent="0.15">
      <c r="A37" s="3"/>
      <c r="C37" s="128"/>
      <c r="D37" s="128"/>
    </row>
    <row r="38" spans="1:7" x14ac:dyDescent="0.15">
      <c r="A38" s="3"/>
    </row>
    <row r="39" spans="1:7" ht="15" x14ac:dyDescent="0.15">
      <c r="A39" s="8" t="s">
        <v>313</v>
      </c>
    </row>
    <row r="40" spans="1:7" ht="30" x14ac:dyDescent="0.15">
      <c r="A40" s="317"/>
      <c r="B40" s="366" t="s">
        <v>763</v>
      </c>
      <c r="C40" s="366" t="s">
        <v>582</v>
      </c>
      <c r="D40" s="366" t="s">
        <v>902</v>
      </c>
      <c r="E40" s="366" t="s">
        <v>1189</v>
      </c>
      <c r="F40" s="366" t="s">
        <v>1199</v>
      </c>
      <c r="G40" s="366" t="s">
        <v>807</v>
      </c>
    </row>
    <row r="41" spans="1:7" x14ac:dyDescent="0.15">
      <c r="A41" s="3">
        <v>2020</v>
      </c>
      <c r="B41" s="3">
        <v>170</v>
      </c>
      <c r="C41" s="3">
        <v>8</v>
      </c>
      <c r="D41" s="3">
        <v>9</v>
      </c>
      <c r="E41" s="3">
        <v>50</v>
      </c>
      <c r="F41" s="3">
        <v>60</v>
      </c>
      <c r="G41" s="3">
        <v>55</v>
      </c>
    </row>
    <row r="42" spans="1:7" x14ac:dyDescent="0.15">
      <c r="A42" s="3">
        <f>A41+1</f>
        <v>2021</v>
      </c>
      <c r="B42" s="3">
        <v>130</v>
      </c>
      <c r="C42" s="3">
        <v>10</v>
      </c>
      <c r="D42" s="3">
        <v>10</v>
      </c>
      <c r="E42" s="3">
        <v>60</v>
      </c>
      <c r="F42" s="3">
        <v>70</v>
      </c>
      <c r="G42" s="3">
        <v>90</v>
      </c>
    </row>
    <row r="43" spans="1:7" x14ac:dyDescent="0.15">
      <c r="A43" s="3">
        <f>A42+1</f>
        <v>2022</v>
      </c>
      <c r="B43" s="3">
        <v>170</v>
      </c>
      <c r="C43" s="3">
        <v>11</v>
      </c>
      <c r="D43" s="3">
        <v>10</v>
      </c>
      <c r="E43" s="3">
        <v>71</v>
      </c>
      <c r="F43" s="3">
        <v>75</v>
      </c>
      <c r="G43" s="3">
        <v>152</v>
      </c>
    </row>
    <row r="44" spans="1:7" x14ac:dyDescent="0.15">
      <c r="A44" s="3">
        <f>A43+1</f>
        <v>2023</v>
      </c>
      <c r="B44" s="3">
        <v>220</v>
      </c>
      <c r="C44" s="3">
        <v>13</v>
      </c>
      <c r="D44" s="3">
        <v>9</v>
      </c>
      <c r="E44" s="3">
        <v>84</v>
      </c>
      <c r="F44" s="3">
        <v>76</v>
      </c>
      <c r="G44" s="3">
        <v>195</v>
      </c>
    </row>
    <row r="45" spans="1:7" x14ac:dyDescent="0.15">
      <c r="A45" s="3">
        <f>A44+1</f>
        <v>2024</v>
      </c>
      <c r="B45" s="3">
        <v>230</v>
      </c>
      <c r="C45" s="3">
        <v>13</v>
      </c>
      <c r="D45" s="3">
        <v>7</v>
      </c>
      <c r="E45" s="3">
        <v>97</v>
      </c>
      <c r="F45" s="3">
        <v>70</v>
      </c>
      <c r="G45" s="3">
        <v>210</v>
      </c>
    </row>
    <row r="46" spans="1:7" x14ac:dyDescent="0.15">
      <c r="A46" s="3">
        <f>A45+1</f>
        <v>2025</v>
      </c>
      <c r="B46" s="3">
        <v>240</v>
      </c>
      <c r="C46" s="3">
        <v>13</v>
      </c>
      <c r="D46" s="3">
        <v>6</v>
      </c>
      <c r="E46" s="3">
        <v>110</v>
      </c>
      <c r="F46" s="3">
        <v>65</v>
      </c>
      <c r="G46" s="3">
        <v>200</v>
      </c>
    </row>
    <row r="47" spans="1:7" x14ac:dyDescent="0.15">
      <c r="A47" s="3"/>
    </row>
    <row r="48" spans="1:7" x14ac:dyDescent="0.15">
      <c r="A48" s="3" t="s">
        <v>888</v>
      </c>
      <c r="B48" s="126">
        <v>1000000</v>
      </c>
    </row>
    <row r="49" spans="1:3" x14ac:dyDescent="0.15">
      <c r="A49" s="3" t="s">
        <v>903</v>
      </c>
      <c r="B49" s="80">
        <v>0.33</v>
      </c>
    </row>
    <row r="50" spans="1:3" x14ac:dyDescent="0.15">
      <c r="A50" s="3"/>
      <c r="B50" s="80"/>
    </row>
    <row r="51" spans="1:3" x14ac:dyDescent="0.15">
      <c r="A51" s="3" t="s">
        <v>65</v>
      </c>
    </row>
    <row r="52" spans="1:3" x14ac:dyDescent="0.15">
      <c r="A52" s="342"/>
      <c r="B52" s="343" t="s">
        <v>196</v>
      </c>
      <c r="C52" s="343" t="s">
        <v>207</v>
      </c>
    </row>
    <row r="53" spans="1:3" x14ac:dyDescent="0.15">
      <c r="A53" s="3">
        <f t="shared" ref="A53:A58" si="1">A41</f>
        <v>2020</v>
      </c>
      <c r="B53" s="67">
        <f t="shared" ref="B53:B58" si="2">(C41+D41*(1-B$49))/(E41+F41)</f>
        <v>0.12754545454545455</v>
      </c>
      <c r="C53" s="67">
        <f t="shared" ref="C53:C58" si="3">C41/E41</f>
        <v>0.16</v>
      </c>
    </row>
    <row r="54" spans="1:3" x14ac:dyDescent="0.15">
      <c r="A54" s="3">
        <f t="shared" si="1"/>
        <v>2021</v>
      </c>
      <c r="B54" s="67">
        <f t="shared" si="2"/>
        <v>0.12846153846153846</v>
      </c>
      <c r="C54" s="67">
        <f t="shared" si="3"/>
        <v>0.16666666666666666</v>
      </c>
    </row>
    <row r="55" spans="1:3" x14ac:dyDescent="0.15">
      <c r="A55" s="3">
        <f t="shared" si="1"/>
        <v>2022</v>
      </c>
      <c r="B55" s="67">
        <f t="shared" si="2"/>
        <v>0.12123287671232877</v>
      </c>
      <c r="C55" s="67">
        <f t="shared" si="3"/>
        <v>0.15492957746478872</v>
      </c>
    </row>
    <row r="56" spans="1:3" x14ac:dyDescent="0.15">
      <c r="A56" s="3">
        <f t="shared" si="1"/>
        <v>2023</v>
      </c>
      <c r="B56" s="67">
        <f t="shared" si="2"/>
        <v>0.1189375</v>
      </c>
      <c r="C56" s="67">
        <f t="shared" si="3"/>
        <v>0.15476190476190477</v>
      </c>
    </row>
    <row r="57" spans="1:3" x14ac:dyDescent="0.15">
      <c r="A57" s="3">
        <f t="shared" si="1"/>
        <v>2024</v>
      </c>
      <c r="B57" s="67">
        <f t="shared" si="2"/>
        <v>0.10592814371257483</v>
      </c>
      <c r="C57" s="67">
        <f t="shared" si="3"/>
        <v>0.13402061855670103</v>
      </c>
    </row>
    <row r="58" spans="1:3" x14ac:dyDescent="0.15">
      <c r="A58" s="3">
        <f t="shared" si="1"/>
        <v>2025</v>
      </c>
      <c r="B58" s="67">
        <f t="shared" si="2"/>
        <v>9.7257142857142861E-2</v>
      </c>
      <c r="C58" s="67">
        <f t="shared" si="3"/>
        <v>0.11818181818181818</v>
      </c>
    </row>
    <row r="59" spans="1:3" x14ac:dyDescent="0.15">
      <c r="A59" s="3"/>
    </row>
    <row r="60" spans="1:3" x14ac:dyDescent="0.15">
      <c r="A60" s="3" t="s">
        <v>66</v>
      </c>
    </row>
    <row r="61" spans="1:3" x14ac:dyDescent="0.15">
      <c r="A61" s="317"/>
      <c r="B61" s="317" t="s">
        <v>314</v>
      </c>
    </row>
    <row r="62" spans="1:3" x14ac:dyDescent="0.15">
      <c r="A62" s="6">
        <f>A54</f>
        <v>2021</v>
      </c>
      <c r="B62" s="80">
        <f>(C42-C41)/(E42-E41)</f>
        <v>0.2</v>
      </c>
    </row>
    <row r="63" spans="1:3" x14ac:dyDescent="0.15">
      <c r="A63" s="6">
        <f>A55</f>
        <v>2022</v>
      </c>
      <c r="B63" s="80">
        <f>(C43-C42)/(E43-E42)</f>
        <v>9.0909090909090912E-2</v>
      </c>
    </row>
    <row r="64" spans="1:3" x14ac:dyDescent="0.15">
      <c r="A64" s="6">
        <f>A56</f>
        <v>2023</v>
      </c>
      <c r="B64" s="80">
        <f>(C44-C43)/(E44-E43)</f>
        <v>0.15384615384615385</v>
      </c>
    </row>
    <row r="65" spans="1:2" x14ac:dyDescent="0.15">
      <c r="A65" s="6">
        <f>A57</f>
        <v>2024</v>
      </c>
      <c r="B65" s="80">
        <f>(C45-C44)/(E45-E44)</f>
        <v>0</v>
      </c>
    </row>
    <row r="66" spans="1:2" x14ac:dyDescent="0.15">
      <c r="A66" s="6">
        <f>A58</f>
        <v>2025</v>
      </c>
      <c r="B66" s="80">
        <f>(C46-C45)/(E46-E45)</f>
        <v>0</v>
      </c>
    </row>
    <row r="67" spans="1:2" x14ac:dyDescent="0.15">
      <c r="A67" s="6"/>
    </row>
    <row r="68" spans="1:2" x14ac:dyDescent="0.15">
      <c r="A68" s="86" t="s">
        <v>315</v>
      </c>
    </row>
    <row r="69" spans="1:2" x14ac:dyDescent="0.15">
      <c r="A69" s="3"/>
    </row>
    <row r="70" spans="1:2" x14ac:dyDescent="0.15">
      <c r="A70" s="3"/>
    </row>
    <row r="71" spans="1:2" x14ac:dyDescent="0.15">
      <c r="A71" s="3"/>
    </row>
    <row r="72" spans="1:2" x14ac:dyDescent="0.15">
      <c r="A72" s="3"/>
    </row>
    <row r="73" spans="1:2" x14ac:dyDescent="0.15">
      <c r="A73" s="3"/>
    </row>
    <row r="74" spans="1:2" x14ac:dyDescent="0.15">
      <c r="A74" s="3"/>
    </row>
    <row r="75" spans="1:2" x14ac:dyDescent="0.15">
      <c r="A75" s="3"/>
    </row>
    <row r="76" spans="1:2" x14ac:dyDescent="0.15">
      <c r="A76" s="3"/>
    </row>
    <row r="77" spans="1:2" x14ac:dyDescent="0.15">
      <c r="A77" s="3"/>
    </row>
    <row r="78" spans="1:2" x14ac:dyDescent="0.15">
      <c r="A78" s="3"/>
    </row>
    <row r="79" spans="1:2" x14ac:dyDescent="0.15">
      <c r="A79" s="3"/>
    </row>
    <row r="80" spans="1:2" x14ac:dyDescent="0.15">
      <c r="A80" s="3"/>
    </row>
    <row r="81" spans="1:1" x14ac:dyDescent="0.15">
      <c r="A81" s="3"/>
    </row>
    <row r="82" spans="1:1" x14ac:dyDescent="0.15">
      <c r="A82" s="3"/>
    </row>
    <row r="83" spans="1:1" x14ac:dyDescent="0.15">
      <c r="A83" s="3"/>
    </row>
    <row r="84" spans="1:1" x14ac:dyDescent="0.15">
      <c r="A84" s="3"/>
    </row>
    <row r="85" spans="1:1" x14ac:dyDescent="0.15">
      <c r="A85" s="3"/>
    </row>
    <row r="86" spans="1:1" x14ac:dyDescent="0.15">
      <c r="A86" s="3"/>
    </row>
    <row r="87" spans="1:1" x14ac:dyDescent="0.15">
      <c r="A87" s="3"/>
    </row>
    <row r="88" spans="1:1" x14ac:dyDescent="0.15">
      <c r="A88" s="3"/>
    </row>
    <row r="89" spans="1:1" x14ac:dyDescent="0.15">
      <c r="A89" s="3"/>
    </row>
    <row r="90" spans="1:1" x14ac:dyDescent="0.15">
      <c r="A90" s="3"/>
    </row>
    <row r="91" spans="1:1" x14ac:dyDescent="0.15">
      <c r="A91" s="3"/>
    </row>
    <row r="92" spans="1:1" x14ac:dyDescent="0.15">
      <c r="A92" s="3"/>
    </row>
    <row r="93" spans="1:1" x14ac:dyDescent="0.15">
      <c r="A93" s="3"/>
    </row>
  </sheetData>
  <phoneticPr fontId="4" type="noConversion"/>
  <pageMargins left="0.78740157480314965" right="0.78740157480314965" top="0.98425196850393704" bottom="0.98425196850393704" header="0.51181102362204722" footer="0.51181102362204722"/>
  <pageSetup paperSize="9" fitToHeight="2"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euil37">
    <pageSetUpPr fitToPage="1"/>
  </sheetPr>
  <dimension ref="A1:F134"/>
  <sheetViews>
    <sheetView showGridLines="0" workbookViewId="0"/>
  </sheetViews>
  <sheetFormatPr baseColWidth="10" defaultColWidth="11" defaultRowHeight="14" x14ac:dyDescent="0.15"/>
  <cols>
    <col min="1" max="1" width="25.83203125" style="70" customWidth="1"/>
    <col min="2" max="3" width="14.83203125" style="3" customWidth="1"/>
    <col min="4" max="4" width="15.1640625" style="3" bestFit="1" customWidth="1"/>
    <col min="5" max="5" width="12" style="3" bestFit="1" customWidth="1"/>
    <col min="6" max="16384" width="11" style="3"/>
  </cols>
  <sheetData>
    <row r="1" spans="1:4" ht="15" x14ac:dyDescent="0.15">
      <c r="A1" s="1" t="s">
        <v>1225</v>
      </c>
    </row>
    <row r="2" spans="1:4" ht="15" x14ac:dyDescent="0.15">
      <c r="A2" s="348"/>
      <c r="B2" s="346" t="s">
        <v>859</v>
      </c>
      <c r="C2" s="346" t="s">
        <v>860</v>
      </c>
    </row>
    <row r="3" spans="1:4" ht="15" x14ac:dyDescent="0.15">
      <c r="A3" s="70" t="s">
        <v>601</v>
      </c>
      <c r="B3" s="74">
        <v>100</v>
      </c>
      <c r="C3" s="74">
        <f>C8/B8*B3</f>
        <v>200</v>
      </c>
      <c r="D3" s="3" t="s">
        <v>676</v>
      </c>
    </row>
    <row r="4" spans="1:4" ht="15" x14ac:dyDescent="0.15">
      <c r="A4" s="70" t="s">
        <v>830</v>
      </c>
      <c r="B4" s="3">
        <v>1</v>
      </c>
      <c r="C4" s="3">
        <f>B4</f>
        <v>1</v>
      </c>
      <c r="D4" s="3" t="s">
        <v>1206</v>
      </c>
    </row>
    <row r="6" spans="1:4" ht="15" x14ac:dyDescent="0.15">
      <c r="A6" s="70" t="s">
        <v>831</v>
      </c>
      <c r="B6" s="74">
        <v>25</v>
      </c>
      <c r="C6" s="74">
        <f>B6</f>
        <v>25</v>
      </c>
      <c r="D6" s="3" t="s">
        <v>676</v>
      </c>
    </row>
    <row r="7" spans="1:4" ht="15" x14ac:dyDescent="0.15">
      <c r="A7" s="70" t="s">
        <v>863</v>
      </c>
      <c r="B7" s="80">
        <v>0.25</v>
      </c>
      <c r="C7" s="104">
        <f>B8/C8*B7</f>
        <v>0.125</v>
      </c>
      <c r="D7" s="3" t="s">
        <v>601</v>
      </c>
    </row>
    <row r="8" spans="1:4" ht="15" x14ac:dyDescent="0.15">
      <c r="A8" s="70" t="s">
        <v>832</v>
      </c>
      <c r="B8" s="74">
        <v>75</v>
      </c>
      <c r="C8" s="74">
        <v>150</v>
      </c>
      <c r="D8" s="3" t="s">
        <v>491</v>
      </c>
    </row>
    <row r="9" spans="1:4" ht="15" x14ac:dyDescent="0.15">
      <c r="A9" s="70" t="s">
        <v>862</v>
      </c>
      <c r="B9" s="74">
        <f>B4*B8/B6</f>
        <v>3</v>
      </c>
      <c r="C9" s="74">
        <f>C4*C8/C6</f>
        <v>6</v>
      </c>
    </row>
    <row r="11" spans="1:4" ht="15" x14ac:dyDescent="0.15">
      <c r="A11" s="76" t="s">
        <v>833</v>
      </c>
      <c r="B11" s="109">
        <f>(B3/B4-B8)/(1+B9)</f>
        <v>6.25</v>
      </c>
      <c r="C11" s="109">
        <f>(C3/C4-C8)/(1+C9)</f>
        <v>7.1428571428571432</v>
      </c>
      <c r="D11" s="7" t="s">
        <v>491</v>
      </c>
    </row>
    <row r="13" spans="1:4" x14ac:dyDescent="0.15">
      <c r="A13" s="60" t="s">
        <v>779</v>
      </c>
    </row>
    <row r="14" spans="1:4" ht="15" x14ac:dyDescent="0.15">
      <c r="A14" s="76" t="s">
        <v>834</v>
      </c>
      <c r="B14" s="110">
        <f>(B7/B8)/(B4/B3+B7/B8)</f>
        <v>0.25</v>
      </c>
      <c r="C14" s="110">
        <f>(C7/C8)/(C4/C3+C7/C8)</f>
        <v>0.14285714285714285</v>
      </c>
    </row>
    <row r="15" spans="1:4" ht="15" x14ac:dyDescent="0.15">
      <c r="A15" s="76" t="s">
        <v>835</v>
      </c>
      <c r="B15" s="110">
        <f>B7/(1+B7)</f>
        <v>0.2</v>
      </c>
      <c r="C15" s="110">
        <f>C7/(1+C7)</f>
        <v>0.1111111111111111</v>
      </c>
    </row>
    <row r="16" spans="1:4" ht="15" x14ac:dyDescent="0.15">
      <c r="A16" s="76" t="s">
        <v>836</v>
      </c>
      <c r="B16" s="111">
        <f>B14-B15</f>
        <v>4.9999999999999989E-2</v>
      </c>
      <c r="C16" s="111">
        <f>C14-C15</f>
        <v>3.1746031746031744E-2</v>
      </c>
    </row>
    <row r="18" spans="1:4" ht="15" x14ac:dyDescent="0.15">
      <c r="A18" s="76" t="s">
        <v>837</v>
      </c>
      <c r="B18" s="53">
        <f>(B3+B6)/((B4+B6/B8)*B3/B4)</f>
        <v>0.93750000000000011</v>
      </c>
      <c r="C18" s="53">
        <f>(C3+C6)/((C4+C6/C8)*C3/C4)</f>
        <v>0.9642857142857143</v>
      </c>
    </row>
    <row r="20" spans="1:4" ht="15" x14ac:dyDescent="0.15">
      <c r="A20" s="70" t="s">
        <v>838</v>
      </c>
      <c r="B20" s="74">
        <f>B9</f>
        <v>3</v>
      </c>
      <c r="C20" s="74">
        <f>C9</f>
        <v>6</v>
      </c>
    </row>
    <row r="22" spans="1:4" x14ac:dyDescent="0.15">
      <c r="A22" s="60" t="s">
        <v>839</v>
      </c>
    </row>
    <row r="23" spans="1:4" ht="15" x14ac:dyDescent="0.15">
      <c r="A23" s="70" t="s">
        <v>830</v>
      </c>
      <c r="B23" s="3">
        <v>90</v>
      </c>
      <c r="C23" s="3">
        <v>90</v>
      </c>
    </row>
    <row r="25" spans="1:4" ht="15" x14ac:dyDescent="0.15">
      <c r="A25" s="70" t="s">
        <v>841</v>
      </c>
      <c r="B25" s="3">
        <v>72</v>
      </c>
      <c r="C25" s="3">
        <v>72</v>
      </c>
    </row>
    <row r="26" spans="1:4" ht="15" x14ac:dyDescent="0.15">
      <c r="A26" s="70" t="s">
        <v>840</v>
      </c>
      <c r="B26" s="74">
        <f>B25*B11</f>
        <v>450</v>
      </c>
      <c r="C26" s="74">
        <f>C25*C11</f>
        <v>514.28571428571433</v>
      </c>
      <c r="D26" s="3" t="s">
        <v>491</v>
      </c>
    </row>
    <row r="27" spans="1:4" ht="15" x14ac:dyDescent="0.15">
      <c r="A27" s="70" t="s">
        <v>842</v>
      </c>
      <c r="B27" s="74">
        <f>B8*(B23-B25)/B9</f>
        <v>450</v>
      </c>
      <c r="C27" s="74">
        <f>C8*(C23-C25)/C9</f>
        <v>450</v>
      </c>
      <c r="D27" s="3" t="s">
        <v>491</v>
      </c>
    </row>
    <row r="28" spans="1:4" ht="15" x14ac:dyDescent="0.15">
      <c r="A28" s="70" t="s">
        <v>843</v>
      </c>
      <c r="B28" s="74">
        <f>B26-B27</f>
        <v>0</v>
      </c>
      <c r="C28" s="74">
        <f>C26-C27</f>
        <v>64.285714285714334</v>
      </c>
      <c r="D28" s="3" t="s">
        <v>491</v>
      </c>
    </row>
    <row r="29" spans="1:4" ht="15" x14ac:dyDescent="0.15">
      <c r="A29" s="76" t="s">
        <v>845</v>
      </c>
      <c r="B29" s="7">
        <f>B27/B8</f>
        <v>6</v>
      </c>
      <c r="C29" s="7">
        <f>C27/C8</f>
        <v>3</v>
      </c>
      <c r="D29" s="7" t="s">
        <v>846</v>
      </c>
    </row>
    <row r="31" spans="1:4" x14ac:dyDescent="0.15">
      <c r="A31" s="60" t="s">
        <v>847</v>
      </c>
    </row>
    <row r="32" spans="1:4" ht="15" x14ac:dyDescent="0.15">
      <c r="A32" s="70" t="s">
        <v>317</v>
      </c>
      <c r="B32" s="112">
        <f>B23/B4/1000000</f>
        <v>9.0000000000000006E-5</v>
      </c>
      <c r="C32" s="112">
        <f>C23/C4/1000000</f>
        <v>9.0000000000000006E-5</v>
      </c>
    </row>
    <row r="34" spans="1:4" ht="15" x14ac:dyDescent="0.15">
      <c r="A34" s="76" t="s">
        <v>316</v>
      </c>
      <c r="B34" s="113">
        <f>B32*(1-B15)</f>
        <v>7.2000000000000002E-5</v>
      </c>
      <c r="C34" s="113">
        <f>C32*(1-C15)</f>
        <v>8.0000000000000007E-5</v>
      </c>
      <c r="D34" s="114"/>
    </row>
    <row r="35" spans="1:4" x14ac:dyDescent="0.15">
      <c r="A35" s="76"/>
      <c r="B35" s="113">
        <f>(B23+B29)/(B4*1000000*(1+1/B20))</f>
        <v>7.2000000000000002E-5</v>
      </c>
      <c r="C35" s="113">
        <f>(C23+C29)/(C4*1000000*(1+1/C20))</f>
        <v>7.9714285714285702E-5</v>
      </c>
      <c r="D35" s="114"/>
    </row>
    <row r="37" spans="1:4" x14ac:dyDescent="0.15">
      <c r="A37" s="60" t="s">
        <v>848</v>
      </c>
    </row>
    <row r="39" spans="1:4" ht="30" x14ac:dyDescent="0.15">
      <c r="A39" s="70" t="s">
        <v>319</v>
      </c>
      <c r="B39" s="80">
        <v>0.12</v>
      </c>
      <c r="C39" s="80">
        <v>0.12</v>
      </c>
    </row>
    <row r="40" spans="1:4" ht="15" x14ac:dyDescent="0.15">
      <c r="A40" s="70" t="s">
        <v>849</v>
      </c>
      <c r="B40" s="74">
        <f>B7*B3</f>
        <v>25</v>
      </c>
      <c r="C40" s="74">
        <f>C7*C3</f>
        <v>25</v>
      </c>
      <c r="D40" s="3" t="s">
        <v>676</v>
      </c>
    </row>
    <row r="41" spans="1:4" ht="15" x14ac:dyDescent="0.15">
      <c r="A41" s="70" t="s">
        <v>850</v>
      </c>
      <c r="B41" s="80">
        <f>B39</f>
        <v>0.12</v>
      </c>
      <c r="C41" s="80">
        <f>C39</f>
        <v>0.12</v>
      </c>
    </row>
    <row r="42" spans="1:4" ht="15" x14ac:dyDescent="0.15">
      <c r="A42" s="70" t="s">
        <v>844</v>
      </c>
      <c r="B42" s="3">
        <f>B40*B41/B8*1000000</f>
        <v>40000</v>
      </c>
      <c r="C42" s="3">
        <f>C40*C41/C8*1000000</f>
        <v>20000</v>
      </c>
    </row>
    <row r="44" spans="1:4" ht="30" x14ac:dyDescent="0.15">
      <c r="A44" s="76" t="s">
        <v>318</v>
      </c>
      <c r="B44" s="115">
        <f>(B39*B4*1000000+B42)/(B4*1000000+B40*1000000/B8)</f>
        <v>0.12000000000000001</v>
      </c>
      <c r="C44" s="115">
        <f>(C39*C4*1000000+C42)/(C4*1000000+C40*1000000/C8)</f>
        <v>0.12</v>
      </c>
    </row>
    <row r="46" spans="1:4" x14ac:dyDescent="0.15">
      <c r="A46" s="60" t="s">
        <v>851</v>
      </c>
    </row>
    <row r="47" spans="1:4" ht="15" x14ac:dyDescent="0.15">
      <c r="A47" s="70" t="s">
        <v>852</v>
      </c>
      <c r="B47" s="74">
        <v>10</v>
      </c>
      <c r="C47" s="74">
        <v>10</v>
      </c>
      <c r="D47" s="3" t="s">
        <v>491</v>
      </c>
    </row>
    <row r="48" spans="1:4" ht="15" x14ac:dyDescent="0.15">
      <c r="A48" s="76" t="s">
        <v>851</v>
      </c>
      <c r="B48" s="109">
        <f>B47*(1-B14)</f>
        <v>7.5</v>
      </c>
      <c r="C48" s="109">
        <f>C47*(1-C14)</f>
        <v>8.571428571428573</v>
      </c>
      <c r="D48" s="7" t="s">
        <v>491</v>
      </c>
    </row>
    <row r="50" spans="1:4" x14ac:dyDescent="0.15">
      <c r="A50" s="60" t="s">
        <v>853</v>
      </c>
    </row>
    <row r="51" spans="1:4" ht="15" x14ac:dyDescent="0.15">
      <c r="A51" s="70" t="s">
        <v>854</v>
      </c>
      <c r="B51" s="74">
        <v>80</v>
      </c>
      <c r="C51" s="74">
        <v>80</v>
      </c>
      <c r="D51" s="3" t="s">
        <v>676</v>
      </c>
    </row>
    <row r="52" spans="1:4" ht="15" x14ac:dyDescent="0.15">
      <c r="A52" s="70" t="s">
        <v>855</v>
      </c>
      <c r="B52" s="74">
        <f>B51+B40</f>
        <v>105</v>
      </c>
      <c r="C52" s="74">
        <f>C51+C40</f>
        <v>105</v>
      </c>
      <c r="D52" s="3" t="s">
        <v>676</v>
      </c>
    </row>
    <row r="53" spans="1:4" ht="15" x14ac:dyDescent="0.15">
      <c r="A53" s="76" t="s">
        <v>856</v>
      </c>
      <c r="B53" s="116">
        <f>(B52-B51)/B51</f>
        <v>0.3125</v>
      </c>
      <c r="C53" s="116">
        <f>(C52-C51)/C51</f>
        <v>0.3125</v>
      </c>
    </row>
    <row r="55" spans="1:4" ht="15" x14ac:dyDescent="0.15">
      <c r="A55" s="76" t="s">
        <v>857</v>
      </c>
      <c r="B55" s="109">
        <f>B51/B4</f>
        <v>80</v>
      </c>
      <c r="C55" s="109">
        <f>C51/C4</f>
        <v>80</v>
      </c>
      <c r="D55" s="3" t="s">
        <v>491</v>
      </c>
    </row>
    <row r="56" spans="1:4" ht="15" x14ac:dyDescent="0.15">
      <c r="A56" s="76" t="s">
        <v>858</v>
      </c>
      <c r="B56" s="109">
        <f>B52/(B4+B3*B7/B8)</f>
        <v>78.75</v>
      </c>
      <c r="C56" s="109">
        <f>C52/(C4+C3*C7/C8)</f>
        <v>90</v>
      </c>
      <c r="D56" s="3" t="s">
        <v>491</v>
      </c>
    </row>
    <row r="59" spans="1:4" ht="15" x14ac:dyDescent="0.15">
      <c r="A59" s="8" t="s">
        <v>1688</v>
      </c>
    </row>
    <row r="60" spans="1:4" ht="15" x14ac:dyDescent="0.15">
      <c r="A60" s="8"/>
    </row>
    <row r="61" spans="1:4" ht="15" x14ac:dyDescent="0.15">
      <c r="A61" s="117" t="s">
        <v>1069</v>
      </c>
    </row>
    <row r="62" spans="1:4" ht="15" x14ac:dyDescent="0.15">
      <c r="A62" s="117" t="s">
        <v>888</v>
      </c>
      <c r="B62" s="3">
        <v>114.7</v>
      </c>
      <c r="C62" s="3" t="s">
        <v>1206</v>
      </c>
    </row>
    <row r="63" spans="1:4" ht="15" x14ac:dyDescent="0.15">
      <c r="A63" s="117" t="s">
        <v>1070</v>
      </c>
      <c r="B63" s="3">
        <v>34</v>
      </c>
      <c r="C63" s="3" t="s">
        <v>444</v>
      </c>
    </row>
    <row r="64" spans="1:4" ht="15" x14ac:dyDescent="0.15">
      <c r="A64" s="117" t="s">
        <v>1072</v>
      </c>
      <c r="B64" s="13">
        <v>1892</v>
      </c>
      <c r="C64" s="3" t="s">
        <v>136</v>
      </c>
    </row>
    <row r="65" spans="1:6" ht="15" x14ac:dyDescent="0.15">
      <c r="A65" s="117" t="s">
        <v>807</v>
      </c>
      <c r="B65" s="13">
        <f>+B63*B62</f>
        <v>3899.8</v>
      </c>
      <c r="C65" s="3" t="s">
        <v>136</v>
      </c>
    </row>
    <row r="66" spans="1:6" ht="15" x14ac:dyDescent="0.15">
      <c r="A66" s="117"/>
    </row>
    <row r="67" spans="1:6" ht="15" x14ac:dyDescent="0.15">
      <c r="A67" s="117" t="s">
        <v>1071</v>
      </c>
    </row>
    <row r="68" spans="1:6" ht="15" x14ac:dyDescent="0.15">
      <c r="A68" s="117" t="s">
        <v>789</v>
      </c>
      <c r="B68" s="3">
        <v>36.700000000000003</v>
      </c>
      <c r="C68" s="3" t="s">
        <v>1206</v>
      </c>
    </row>
    <row r="69" spans="1:6" ht="15" x14ac:dyDescent="0.15">
      <c r="A69" s="117" t="s">
        <v>503</v>
      </c>
      <c r="B69" s="3">
        <v>20.45</v>
      </c>
      <c r="C69" s="3" t="s">
        <v>444</v>
      </c>
    </row>
    <row r="70" spans="1:6" ht="15" x14ac:dyDescent="0.15">
      <c r="A70" s="117"/>
    </row>
    <row r="71" spans="1:6" ht="15" x14ac:dyDescent="0.15">
      <c r="A71" s="117" t="s">
        <v>1073</v>
      </c>
      <c r="B71" s="29">
        <f>+B69*B68</f>
        <v>750.51499999999999</v>
      </c>
      <c r="C71" s="3" t="s">
        <v>136</v>
      </c>
    </row>
    <row r="72" spans="1:6" ht="15" x14ac:dyDescent="0.15">
      <c r="A72" s="117"/>
    </row>
    <row r="73" spans="1:6" ht="15" x14ac:dyDescent="0.15">
      <c r="A73" s="117" t="s">
        <v>1074</v>
      </c>
      <c r="B73" s="67">
        <f>+B71/(B71+B65)</f>
        <v>0.16139014238820379</v>
      </c>
    </row>
    <row r="74" spans="1:6" ht="15" x14ac:dyDescent="0.15">
      <c r="A74" s="117"/>
      <c r="B74" s="13"/>
    </row>
    <row r="75" spans="1:6" ht="15" x14ac:dyDescent="0.15">
      <c r="A75" s="117"/>
      <c r="B75" s="13" t="s">
        <v>354</v>
      </c>
      <c r="D75" s="3" t="s">
        <v>355</v>
      </c>
    </row>
    <row r="76" spans="1:6" ht="16" x14ac:dyDescent="0.15">
      <c r="A76" s="118" t="s">
        <v>352</v>
      </c>
      <c r="B76" s="81">
        <f>B68/(B68+B62)</f>
        <v>0.24240422721268165</v>
      </c>
      <c r="D76" s="13">
        <f>B71</f>
        <v>750.51499999999999</v>
      </c>
      <c r="E76" s="3" t="s">
        <v>136</v>
      </c>
      <c r="F76" s="81">
        <f>D76/D78</f>
        <v>0.28401541713102857</v>
      </c>
    </row>
    <row r="77" spans="1:6" ht="15" x14ac:dyDescent="0.15">
      <c r="A77" s="117" t="s">
        <v>353</v>
      </c>
      <c r="B77" s="119">
        <f>1-B76</f>
        <v>0.75759577278731838</v>
      </c>
      <c r="D77" s="120">
        <f>B64</f>
        <v>1892</v>
      </c>
      <c r="E77" s="88" t="s">
        <v>136</v>
      </c>
      <c r="F77" s="119">
        <f>D77/D78</f>
        <v>0.71598458286897149</v>
      </c>
    </row>
    <row r="78" spans="1:6" ht="15" x14ac:dyDescent="0.15">
      <c r="A78" s="117"/>
      <c r="B78" s="81">
        <f>SUM(B76:B77)</f>
        <v>1</v>
      </c>
      <c r="D78" s="13">
        <f>SUM(D76:D77)</f>
        <v>2642.5149999999999</v>
      </c>
      <c r="E78" s="3" t="s">
        <v>136</v>
      </c>
      <c r="F78" s="81">
        <f>SUM(F76:F77)</f>
        <v>1</v>
      </c>
    </row>
    <row r="79" spans="1:6" ht="15" x14ac:dyDescent="0.15">
      <c r="A79" s="117"/>
    </row>
    <row r="80" spans="1:6" ht="15" x14ac:dyDescent="0.15">
      <c r="A80" s="117" t="s">
        <v>1689</v>
      </c>
      <c r="B80" s="68">
        <f>(B63-B69)/(1+B62/B68)</f>
        <v>3.2845772787318364</v>
      </c>
    </row>
    <row r="81" spans="1:5" ht="15" x14ac:dyDescent="0.15">
      <c r="A81" s="117"/>
    </row>
    <row r="82" spans="1:5" ht="15" x14ac:dyDescent="0.15">
      <c r="A82" s="117"/>
    </row>
    <row r="83" spans="1:5" ht="15" x14ac:dyDescent="0.15">
      <c r="A83" s="117"/>
    </row>
    <row r="84" spans="1:5" ht="15" x14ac:dyDescent="0.15">
      <c r="A84" s="117"/>
    </row>
    <row r="85" spans="1:5" ht="15" x14ac:dyDescent="0.15">
      <c r="A85" s="117"/>
    </row>
    <row r="86" spans="1:5" ht="15" x14ac:dyDescent="0.15">
      <c r="A86" s="8"/>
    </row>
    <row r="87" spans="1:5" ht="15" x14ac:dyDescent="0.15">
      <c r="A87" s="8"/>
    </row>
    <row r="88" spans="1:5" ht="15" x14ac:dyDescent="0.15">
      <c r="A88" s="8"/>
    </row>
    <row r="89" spans="1:5" ht="15" x14ac:dyDescent="0.15">
      <c r="A89" s="8"/>
    </row>
    <row r="90" spans="1:5" x14ac:dyDescent="0.15">
      <c r="B90" s="5"/>
      <c r="C90" s="5"/>
      <c r="D90" s="5"/>
      <c r="E90" s="5"/>
    </row>
    <row r="91" spans="1:5" x14ac:dyDescent="0.15">
      <c r="B91" s="74"/>
      <c r="C91" s="74"/>
      <c r="D91" s="74"/>
      <c r="E91" s="74"/>
    </row>
    <row r="92" spans="1:5" x14ac:dyDescent="0.15">
      <c r="B92" s="74"/>
      <c r="C92" s="74"/>
      <c r="D92" s="74"/>
      <c r="E92" s="74"/>
    </row>
    <row r="93" spans="1:5" x14ac:dyDescent="0.15">
      <c r="B93" s="74"/>
      <c r="C93" s="74"/>
      <c r="D93" s="74"/>
      <c r="E93" s="74"/>
    </row>
    <row r="94" spans="1:5" x14ac:dyDescent="0.15">
      <c r="B94" s="74"/>
      <c r="C94" s="74"/>
      <c r="D94" s="74"/>
      <c r="E94" s="74"/>
    </row>
    <row r="95" spans="1:5" x14ac:dyDescent="0.15">
      <c r="A95" s="121"/>
      <c r="B95" s="74"/>
      <c r="C95" s="74"/>
      <c r="D95" s="74"/>
      <c r="E95" s="74"/>
    </row>
    <row r="96" spans="1:5" x14ac:dyDescent="0.15">
      <c r="B96" s="74"/>
      <c r="C96" s="74"/>
      <c r="D96" s="74"/>
      <c r="E96" s="74"/>
    </row>
    <row r="97" spans="2:5" x14ac:dyDescent="0.15">
      <c r="B97" s="107"/>
      <c r="C97" s="107"/>
      <c r="D97" s="107"/>
      <c r="E97" s="74"/>
    </row>
    <row r="98" spans="2:5" x14ac:dyDescent="0.15">
      <c r="B98" s="74"/>
      <c r="C98" s="74"/>
      <c r="D98" s="74"/>
      <c r="E98" s="74"/>
    </row>
    <row r="99" spans="2:5" x14ac:dyDescent="0.15">
      <c r="B99" s="74"/>
      <c r="C99" s="74"/>
      <c r="D99" s="74"/>
      <c r="E99" s="74"/>
    </row>
    <row r="100" spans="2:5" x14ac:dyDescent="0.15">
      <c r="B100" s="5"/>
      <c r="C100" s="5"/>
      <c r="D100" s="74"/>
      <c r="E100" s="74"/>
    </row>
    <row r="101" spans="2:5" x14ac:dyDescent="0.15">
      <c r="B101" s="74"/>
      <c r="C101" s="74"/>
      <c r="D101" s="74"/>
      <c r="E101" s="74"/>
    </row>
    <row r="102" spans="2:5" x14ac:dyDescent="0.15">
      <c r="B102" s="74"/>
      <c r="C102" s="74"/>
      <c r="D102" s="74"/>
      <c r="E102" s="74"/>
    </row>
    <row r="103" spans="2:5" x14ac:dyDescent="0.15">
      <c r="B103" s="74"/>
      <c r="C103" s="74"/>
      <c r="D103" s="74"/>
      <c r="E103" s="74"/>
    </row>
    <row r="104" spans="2:5" x14ac:dyDescent="0.15">
      <c r="B104" s="74"/>
      <c r="C104" s="74"/>
      <c r="D104" s="74"/>
      <c r="E104" s="74"/>
    </row>
    <row r="105" spans="2:5" x14ac:dyDescent="0.15">
      <c r="B105" s="74"/>
      <c r="C105" s="74"/>
      <c r="D105" s="74"/>
      <c r="E105" s="74"/>
    </row>
    <row r="106" spans="2:5" x14ac:dyDescent="0.15">
      <c r="B106" s="74"/>
      <c r="C106" s="74"/>
      <c r="D106" s="74"/>
      <c r="E106" s="74"/>
    </row>
    <row r="107" spans="2:5" x14ac:dyDescent="0.15">
      <c r="B107" s="5"/>
      <c r="C107" s="5"/>
      <c r="D107" s="74"/>
      <c r="E107" s="74"/>
    </row>
    <row r="108" spans="2:5" x14ac:dyDescent="0.15">
      <c r="B108" s="74"/>
      <c r="C108" s="74"/>
      <c r="D108" s="74"/>
      <c r="E108" s="74"/>
    </row>
    <row r="109" spans="2:5" x14ac:dyDescent="0.15">
      <c r="B109" s="74"/>
      <c r="C109" s="74"/>
      <c r="D109" s="74"/>
      <c r="E109" s="74"/>
    </row>
    <row r="110" spans="2:5" x14ac:dyDescent="0.15">
      <c r="B110" s="74"/>
      <c r="C110" s="74"/>
      <c r="D110" s="74"/>
      <c r="E110" s="74"/>
    </row>
    <row r="111" spans="2:5" x14ac:dyDescent="0.15">
      <c r="B111" s="74"/>
      <c r="C111" s="74"/>
      <c r="D111" s="74"/>
      <c r="E111" s="74"/>
    </row>
    <row r="112" spans="2:5" x14ac:dyDescent="0.15">
      <c r="B112" s="74"/>
      <c r="C112" s="74"/>
      <c r="D112" s="74"/>
      <c r="E112" s="74"/>
    </row>
    <row r="113" spans="1:5" x14ac:dyDescent="0.15">
      <c r="B113" s="74"/>
      <c r="C113" s="74"/>
      <c r="D113" s="74"/>
      <c r="E113" s="74"/>
    </row>
    <row r="114" spans="1:5" x14ac:dyDescent="0.15">
      <c r="B114" s="74"/>
      <c r="C114" s="74"/>
      <c r="D114" s="74"/>
      <c r="E114" s="74"/>
    </row>
    <row r="115" spans="1:5" x14ac:dyDescent="0.15">
      <c r="B115" s="74"/>
      <c r="C115" s="74"/>
      <c r="D115" s="74"/>
      <c r="E115" s="74"/>
    </row>
    <row r="116" spans="1:5" x14ac:dyDescent="0.15">
      <c r="B116" s="74"/>
      <c r="C116" s="74"/>
      <c r="D116" s="74"/>
      <c r="E116" s="74"/>
    </row>
    <row r="117" spans="1:5" x14ac:dyDescent="0.15">
      <c r="B117" s="74"/>
      <c r="C117" s="74"/>
      <c r="D117" s="74"/>
      <c r="E117" s="74"/>
    </row>
    <row r="118" spans="1:5" x14ac:dyDescent="0.15">
      <c r="A118" s="121"/>
      <c r="B118" s="74"/>
      <c r="C118" s="74"/>
      <c r="D118" s="74"/>
      <c r="E118" s="74"/>
    </row>
    <row r="119" spans="1:5" x14ac:dyDescent="0.15">
      <c r="A119" s="121"/>
      <c r="B119" s="74"/>
      <c r="C119" s="74"/>
      <c r="D119" s="74"/>
      <c r="E119" s="74"/>
    </row>
    <row r="120" spans="1:5" x14ac:dyDescent="0.15">
      <c r="A120" s="121"/>
      <c r="B120" s="74"/>
      <c r="C120" s="74"/>
      <c r="D120" s="74"/>
      <c r="E120" s="74"/>
    </row>
    <row r="121" spans="1:5" x14ac:dyDescent="0.15">
      <c r="B121" s="74"/>
      <c r="C121" s="74"/>
      <c r="D121" s="74"/>
      <c r="E121" s="74"/>
    </row>
    <row r="122" spans="1:5" x14ac:dyDescent="0.15">
      <c r="A122" s="121"/>
      <c r="B122" s="74"/>
      <c r="C122" s="74"/>
      <c r="D122" s="74"/>
      <c r="E122" s="74"/>
    </row>
    <row r="123" spans="1:5" x14ac:dyDescent="0.15">
      <c r="B123" s="74"/>
      <c r="C123" s="74"/>
      <c r="D123" s="74"/>
      <c r="E123" s="74"/>
    </row>
    <row r="125" spans="1:5" x14ac:dyDescent="0.15">
      <c r="A125" s="121"/>
      <c r="C125" s="74"/>
    </row>
    <row r="126" spans="1:5" x14ac:dyDescent="0.15">
      <c r="C126" s="74"/>
    </row>
    <row r="127" spans="1:5" x14ac:dyDescent="0.15">
      <c r="A127" s="121"/>
      <c r="C127" s="74"/>
    </row>
    <row r="128" spans="1:5" x14ac:dyDescent="0.15">
      <c r="C128" s="74"/>
    </row>
    <row r="129" spans="3:3" x14ac:dyDescent="0.15">
      <c r="C129" s="74"/>
    </row>
    <row r="131" spans="3:3" x14ac:dyDescent="0.15">
      <c r="C131" s="80"/>
    </row>
    <row r="134" spans="3:3" x14ac:dyDescent="0.15">
      <c r="C134" s="68"/>
    </row>
  </sheetData>
  <phoneticPr fontId="4" type="noConversion"/>
  <pageMargins left="0.78740157480314965" right="0.78740157480314965" top="0.98425196850393704" bottom="0.98425196850393704" header="0.51181102362204722" footer="0.51181102362204722"/>
  <pageSetup paperSize="9" fitToHeight="6"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2"/>
  <sheetViews>
    <sheetView showGridLines="0" workbookViewId="0">
      <selection activeCell="E1" sqref="E1"/>
    </sheetView>
  </sheetViews>
  <sheetFormatPr baseColWidth="10" defaultColWidth="11" defaultRowHeight="14" x14ac:dyDescent="0.15"/>
  <cols>
    <col min="1" max="1" width="25.83203125" style="70" customWidth="1"/>
    <col min="2" max="2" width="12" style="3" bestFit="1" customWidth="1"/>
    <col min="3" max="16384" width="11" style="3"/>
  </cols>
  <sheetData>
    <row r="1" spans="1:1" ht="15" x14ac:dyDescent="0.15">
      <c r="A1" s="1" t="s">
        <v>1362</v>
      </c>
    </row>
    <row r="2" spans="1:1" ht="15" x14ac:dyDescent="0.15">
      <c r="A2" s="70" t="s">
        <v>1447</v>
      </c>
    </row>
  </sheetData>
  <pageMargins left="0.78740157480314965" right="0.78740157480314965" top="0.98425196850393704" bottom="0.98425196850393704" header="0.51181102362204722" footer="0.51181102362204722"/>
  <pageSetup paperSize="9" fitToHeight="6"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D70"/>
  <sheetViews>
    <sheetView showGridLines="0" workbookViewId="0">
      <selection activeCell="E30" sqref="E30"/>
    </sheetView>
  </sheetViews>
  <sheetFormatPr baseColWidth="10" defaultColWidth="11" defaultRowHeight="14" x14ac:dyDescent="0.15"/>
  <cols>
    <col min="1" max="1" width="28.1640625" style="70" customWidth="1"/>
    <col min="2" max="2" width="12.1640625" style="3" bestFit="1" customWidth="1"/>
    <col min="3" max="16384" width="11" style="3"/>
  </cols>
  <sheetData>
    <row r="1" spans="1:2" ht="15" x14ac:dyDescent="0.15">
      <c r="A1" s="1" t="s">
        <v>1225</v>
      </c>
    </row>
    <row r="3" spans="1:2" ht="15" x14ac:dyDescent="0.15">
      <c r="A3" s="70" t="s">
        <v>1396</v>
      </c>
      <c r="B3" s="3">
        <v>1</v>
      </c>
    </row>
    <row r="4" spans="1:2" ht="15" x14ac:dyDescent="0.15">
      <c r="A4" s="70" t="s">
        <v>1397</v>
      </c>
      <c r="B4" s="80">
        <v>0.2</v>
      </c>
    </row>
    <row r="5" spans="1:2" ht="15" x14ac:dyDescent="0.15">
      <c r="A5" s="70" t="s">
        <v>1398</v>
      </c>
      <c r="B5" s="3">
        <f>B3/B4</f>
        <v>5</v>
      </c>
    </row>
    <row r="6" spans="1:2" ht="15" x14ac:dyDescent="0.15">
      <c r="A6" s="70" t="s">
        <v>1399</v>
      </c>
      <c r="B6" s="3">
        <f>B5-B3</f>
        <v>4</v>
      </c>
    </row>
    <row r="8" spans="1:2" ht="15" x14ac:dyDescent="0.15">
      <c r="A8" s="8" t="s">
        <v>1227</v>
      </c>
    </row>
    <row r="10" spans="1:2" ht="15" x14ac:dyDescent="0.15">
      <c r="A10" s="70" t="s">
        <v>1400</v>
      </c>
      <c r="B10" s="3">
        <v>1</v>
      </c>
    </row>
    <row r="11" spans="1:2" ht="15" x14ac:dyDescent="0.15">
      <c r="A11" s="70" t="s">
        <v>1401</v>
      </c>
      <c r="B11" s="3">
        <v>0.2</v>
      </c>
    </row>
    <row r="12" spans="1:2" ht="15" x14ac:dyDescent="0.15">
      <c r="A12" s="70" t="s">
        <v>1397</v>
      </c>
      <c r="B12" s="80">
        <v>0.75</v>
      </c>
    </row>
    <row r="13" spans="1:2" ht="15" x14ac:dyDescent="0.15">
      <c r="A13" s="70" t="s">
        <v>1402</v>
      </c>
      <c r="B13" s="80">
        <f>1-B12</f>
        <v>0.25</v>
      </c>
    </row>
    <row r="15" spans="1:2" ht="15" x14ac:dyDescent="0.15">
      <c r="A15" s="70" t="s">
        <v>1403</v>
      </c>
      <c r="B15" s="3">
        <v>2</v>
      </c>
    </row>
    <row r="17" spans="1:2" ht="15" x14ac:dyDescent="0.15">
      <c r="A17" s="76" t="s">
        <v>1406</v>
      </c>
    </row>
    <row r="18" spans="1:2" ht="15" x14ac:dyDescent="0.15">
      <c r="A18" s="70" t="s">
        <v>1404</v>
      </c>
      <c r="B18" s="3">
        <f>B15*B12-B11</f>
        <v>1.3</v>
      </c>
    </row>
    <row r="19" spans="1:2" ht="15" x14ac:dyDescent="0.15">
      <c r="A19" s="70" t="s">
        <v>1405</v>
      </c>
      <c r="B19" s="3">
        <f>B15*B13-(B10-B11)</f>
        <v>-0.30000000000000004</v>
      </c>
    </row>
    <row r="21" spans="1:2" ht="15" x14ac:dyDescent="0.15">
      <c r="A21" s="76" t="s">
        <v>1407</v>
      </c>
    </row>
    <row r="22" spans="1:2" ht="15" x14ac:dyDescent="0.15">
      <c r="A22" s="70" t="s">
        <v>1404</v>
      </c>
      <c r="B22" s="3">
        <f>B15-B10-B23</f>
        <v>0.7</v>
      </c>
    </row>
    <row r="23" spans="1:2" ht="15" x14ac:dyDescent="0.15">
      <c r="A23" s="70" t="s">
        <v>1405</v>
      </c>
      <c r="B23" s="3">
        <f>B10-B11+(B15-B10+B11)*B13-(B10-B11)</f>
        <v>0.30000000000000004</v>
      </c>
    </row>
    <row r="25" spans="1:2" ht="15" x14ac:dyDescent="0.15">
      <c r="A25" s="8" t="s">
        <v>193</v>
      </c>
    </row>
    <row r="27" spans="1:2" ht="15" x14ac:dyDescent="0.15">
      <c r="A27" s="70" t="s">
        <v>1408</v>
      </c>
      <c r="B27" s="3">
        <f>(B10-B11)/B13-(B10-B11)-B11</f>
        <v>2.2000000000000002</v>
      </c>
    </row>
    <row r="29" spans="1:2" ht="15" x14ac:dyDescent="0.15">
      <c r="A29" s="8" t="s">
        <v>157</v>
      </c>
    </row>
    <row r="31" spans="1:2" ht="15" x14ac:dyDescent="0.15">
      <c r="A31" s="70" t="s">
        <v>1410</v>
      </c>
      <c r="B31" s="105">
        <v>1000000</v>
      </c>
    </row>
    <row r="32" spans="1:2" ht="15" x14ac:dyDescent="0.15">
      <c r="A32" s="70" t="s">
        <v>1412</v>
      </c>
      <c r="B32" s="3">
        <v>1</v>
      </c>
    </row>
    <row r="33" spans="1:2" ht="15" x14ac:dyDescent="0.15">
      <c r="A33" s="70" t="s">
        <v>1411</v>
      </c>
      <c r="B33" s="105">
        <v>800000</v>
      </c>
    </row>
    <row r="34" spans="1:2" ht="15" x14ac:dyDescent="0.15">
      <c r="A34" s="70" t="s">
        <v>1409</v>
      </c>
      <c r="B34" s="3">
        <v>10</v>
      </c>
    </row>
    <row r="36" spans="1:2" ht="15" x14ac:dyDescent="0.15">
      <c r="A36" s="70" t="s">
        <v>1415</v>
      </c>
      <c r="B36" s="106">
        <f>B31/(B31+B33)</f>
        <v>0.55555555555555558</v>
      </c>
    </row>
    <row r="37" spans="1:2" ht="15" x14ac:dyDescent="0.15">
      <c r="A37" s="70" t="s">
        <v>1416</v>
      </c>
      <c r="B37" s="106">
        <f>B33/(B31+B33)</f>
        <v>0.44444444444444442</v>
      </c>
    </row>
    <row r="39" spans="1:2" ht="15" x14ac:dyDescent="0.15">
      <c r="A39" s="70" t="s">
        <v>1413</v>
      </c>
      <c r="B39" s="105">
        <v>5000000</v>
      </c>
    </row>
    <row r="40" spans="1:2" ht="15" x14ac:dyDescent="0.15">
      <c r="A40" s="70" t="s">
        <v>1414</v>
      </c>
      <c r="B40" s="80">
        <v>0.36</v>
      </c>
    </row>
    <row r="41" spans="1:2" ht="15" x14ac:dyDescent="0.15">
      <c r="A41" s="70" t="s">
        <v>1420</v>
      </c>
      <c r="B41" s="105">
        <f>B39/B40</f>
        <v>13888888.88888889</v>
      </c>
    </row>
    <row r="42" spans="1:2" x14ac:dyDescent="0.15">
      <c r="B42" s="80"/>
    </row>
    <row r="43" spans="1:2" ht="15" x14ac:dyDescent="0.15">
      <c r="A43" s="76" t="s">
        <v>1418</v>
      </c>
    </row>
    <row r="44" spans="1:2" ht="15" x14ac:dyDescent="0.15">
      <c r="A44" s="70" t="s">
        <v>1417</v>
      </c>
      <c r="B44" s="80">
        <f>B40</f>
        <v>0.36</v>
      </c>
    </row>
    <row r="45" spans="1:2" ht="15" x14ac:dyDescent="0.15">
      <c r="A45" s="70" t="s">
        <v>1415</v>
      </c>
      <c r="B45" s="107">
        <f>B36*(1-$B$44)</f>
        <v>0.35555555555555557</v>
      </c>
    </row>
    <row r="46" spans="1:2" ht="15" x14ac:dyDescent="0.15">
      <c r="A46" s="70" t="s">
        <v>1416</v>
      </c>
      <c r="B46" s="107">
        <f>B37*(1-$B$44)</f>
        <v>0.28444444444444444</v>
      </c>
    </row>
    <row r="48" spans="1:2" ht="15" x14ac:dyDescent="0.15">
      <c r="A48" s="76" t="s">
        <v>1419</v>
      </c>
    </row>
    <row r="49" spans="1:4" ht="15" x14ac:dyDescent="0.15">
      <c r="A49" s="70" t="s">
        <v>1417</v>
      </c>
      <c r="B49" s="80">
        <f>B40</f>
        <v>0.36</v>
      </c>
    </row>
    <row r="50" spans="1:4" ht="15" x14ac:dyDescent="0.15">
      <c r="A50" s="70" t="s">
        <v>1415</v>
      </c>
      <c r="B50" s="107">
        <f>1-B51-B49</f>
        <v>6.4000000000000057E-2</v>
      </c>
    </row>
    <row r="51" spans="1:4" ht="15" x14ac:dyDescent="0.15">
      <c r="A51" s="70" t="s">
        <v>1416</v>
      </c>
      <c r="B51" s="107">
        <f>(B33*B34)/(B41-B39)*(1-B49)</f>
        <v>0.57599999999999996</v>
      </c>
    </row>
    <row r="53" spans="1:4" ht="15" x14ac:dyDescent="0.15">
      <c r="A53" s="8" t="s">
        <v>171</v>
      </c>
    </row>
    <row r="55" spans="1:4" ht="15" x14ac:dyDescent="0.15">
      <c r="A55" s="70" t="s">
        <v>1410</v>
      </c>
      <c r="B55" s="105">
        <v>200000</v>
      </c>
    </row>
    <row r="56" spans="1:4" ht="15" x14ac:dyDescent="0.15">
      <c r="A56" s="70" t="s">
        <v>1412</v>
      </c>
      <c r="B56" s="3">
        <v>1</v>
      </c>
    </row>
    <row r="57" spans="1:4" ht="15" x14ac:dyDescent="0.15">
      <c r="A57" s="70" t="s">
        <v>1411</v>
      </c>
      <c r="B57" s="105">
        <v>800000</v>
      </c>
    </row>
    <row r="58" spans="1:4" ht="15" x14ac:dyDescent="0.15">
      <c r="A58" s="70" t="s">
        <v>1409</v>
      </c>
      <c r="B58" s="3">
        <v>1</v>
      </c>
    </row>
    <row r="60" spans="1:4" ht="15" x14ac:dyDescent="0.15">
      <c r="A60" s="70" t="s">
        <v>687</v>
      </c>
      <c r="B60" s="108" t="s">
        <v>1422</v>
      </c>
      <c r="C60" s="108" t="s">
        <v>1423</v>
      </c>
      <c r="D60" s="108" t="s">
        <v>1424</v>
      </c>
    </row>
    <row r="61" spans="1:4" ht="15" x14ac:dyDescent="0.15">
      <c r="A61" s="70" t="s">
        <v>1421</v>
      </c>
      <c r="B61" s="105">
        <f>B57/3</f>
        <v>266666.66666666669</v>
      </c>
      <c r="C61" s="105">
        <f>B57/2</f>
        <v>400000</v>
      </c>
      <c r="D61" s="105">
        <f>B57*2/3</f>
        <v>533333.33333333337</v>
      </c>
    </row>
    <row r="62" spans="1:4" ht="15" x14ac:dyDescent="0.15">
      <c r="A62" s="70" t="s">
        <v>673</v>
      </c>
      <c r="B62" s="3">
        <v>1</v>
      </c>
      <c r="C62" s="3">
        <f>B62</f>
        <v>1</v>
      </c>
      <c r="D62" s="3">
        <f>C62</f>
        <v>1</v>
      </c>
    </row>
    <row r="64" spans="1:4" ht="15" x14ac:dyDescent="0.15">
      <c r="A64" s="70" t="s">
        <v>1425</v>
      </c>
      <c r="B64" s="3">
        <v>3.7</v>
      </c>
    </row>
    <row r="65" spans="1:2" ht="15" x14ac:dyDescent="0.15">
      <c r="A65" s="70" t="s">
        <v>1426</v>
      </c>
      <c r="B65" s="67">
        <f>(B64/B56)^(1/5)-1</f>
        <v>0.29909330563866021</v>
      </c>
    </row>
    <row r="66" spans="1:2" ht="15" x14ac:dyDescent="0.15">
      <c r="A66" s="70" t="s">
        <v>1427</v>
      </c>
      <c r="B66" s="67">
        <f>(((B57-B61)*B64+B61*B62)/(B57*B58))^(1/5)-1</f>
        <v>0.22865967908314722</v>
      </c>
    </row>
    <row r="68" spans="1:2" ht="15" x14ac:dyDescent="0.15">
      <c r="A68" s="70" t="s">
        <v>1425</v>
      </c>
      <c r="B68" s="3">
        <v>3.73</v>
      </c>
    </row>
    <row r="69" spans="1:2" ht="15" x14ac:dyDescent="0.15">
      <c r="A69" s="70" t="s">
        <v>1426</v>
      </c>
      <c r="B69" s="67">
        <f>(B68/B56)^(1/5)-1</f>
        <v>0.30119314414370946</v>
      </c>
    </row>
    <row r="70" spans="1:2" ht="15" x14ac:dyDescent="0.15">
      <c r="A70" s="70" t="s">
        <v>1427</v>
      </c>
      <c r="B70" s="67">
        <f>(((B57-C61)*B68+C61*C62)/(B57*B58))^(1/5)-1</f>
        <v>0.18786265547641445</v>
      </c>
    </row>
  </sheetData>
  <pageMargins left="0.78740157480314965" right="0.78740157480314965" top="0.98425196850393704" bottom="0.98425196850393704" header="0.51181102362204722" footer="0.51181102362204722"/>
  <pageSetup paperSize="9" fitToHeight="6"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euil41"/>
  <dimension ref="A1:D45"/>
  <sheetViews>
    <sheetView showGridLines="0" workbookViewId="0"/>
  </sheetViews>
  <sheetFormatPr baseColWidth="10" defaultColWidth="11" defaultRowHeight="14" x14ac:dyDescent="0.15"/>
  <cols>
    <col min="1" max="1" width="24.1640625" style="3" customWidth="1"/>
    <col min="2" max="16384" width="11" style="3"/>
  </cols>
  <sheetData>
    <row r="1" spans="1:4" ht="15" x14ac:dyDescent="0.15">
      <c r="A1" s="1" t="s">
        <v>1225</v>
      </c>
    </row>
    <row r="2" spans="1:4" ht="15" x14ac:dyDescent="0.15">
      <c r="A2" s="8"/>
    </row>
    <row r="3" spans="1:4" x14ac:dyDescent="0.15">
      <c r="A3" s="69" t="s">
        <v>110</v>
      </c>
    </row>
    <row r="4" spans="1:4" x14ac:dyDescent="0.15">
      <c r="A4" s="372"/>
      <c r="B4" s="343" t="s">
        <v>112</v>
      </c>
      <c r="C4" s="317" t="s">
        <v>105</v>
      </c>
      <c r="D4" s="317" t="s">
        <v>108</v>
      </c>
    </row>
    <row r="5" spans="1:4" x14ac:dyDescent="0.15">
      <c r="A5" s="3" t="s">
        <v>113</v>
      </c>
      <c r="B5" s="107">
        <f>1/3</f>
        <v>0.33333333333333331</v>
      </c>
      <c r="C5" s="353">
        <v>2</v>
      </c>
      <c r="D5" s="80">
        <f>B5*C5/(B5*C5+B6*C6)</f>
        <v>0.49999999999999994</v>
      </c>
    </row>
    <row r="6" spans="1:4" x14ac:dyDescent="0.15">
      <c r="A6" s="3" t="s">
        <v>114</v>
      </c>
      <c r="B6" s="107">
        <f>1-B5</f>
        <v>0.66666666666666674</v>
      </c>
      <c r="C6" s="353">
        <v>1</v>
      </c>
      <c r="D6" s="80">
        <f>1-D5</f>
        <v>0.5</v>
      </c>
    </row>
    <row r="7" spans="1:4" x14ac:dyDescent="0.15">
      <c r="B7" s="81"/>
      <c r="C7" s="102"/>
      <c r="D7" s="80"/>
    </row>
    <row r="8" spans="1:4" x14ac:dyDescent="0.15">
      <c r="A8" s="86" t="s">
        <v>106</v>
      </c>
    </row>
    <row r="9" spans="1:4" x14ac:dyDescent="0.15">
      <c r="A9" s="86"/>
    </row>
    <row r="10" spans="1:4" x14ac:dyDescent="0.15">
      <c r="A10" s="103" t="s">
        <v>111</v>
      </c>
    </row>
    <row r="11" spans="1:4" x14ac:dyDescent="0.15">
      <c r="A11" s="372"/>
      <c r="B11" s="343" t="s">
        <v>112</v>
      </c>
      <c r="C11" s="317" t="s">
        <v>105</v>
      </c>
      <c r="D11" s="317" t="s">
        <v>109</v>
      </c>
    </row>
    <row r="12" spans="1:4" x14ac:dyDescent="0.15">
      <c r="A12" s="3" t="s">
        <v>113</v>
      </c>
      <c r="B12" s="107">
        <v>0.5</v>
      </c>
      <c r="C12" s="353">
        <v>2</v>
      </c>
      <c r="D12" s="80">
        <f>B12*C12/(B12*C12+B13*C13)</f>
        <v>0.66666666666666663</v>
      </c>
    </row>
    <row r="13" spans="1:4" x14ac:dyDescent="0.15">
      <c r="A13" s="3" t="s">
        <v>114</v>
      </c>
      <c r="B13" s="107">
        <f>1-B12</f>
        <v>0.5</v>
      </c>
      <c r="C13" s="353">
        <v>1</v>
      </c>
      <c r="D13" s="80">
        <f>1-D12</f>
        <v>0.33333333333333337</v>
      </c>
    </row>
    <row r="14" spans="1:4" x14ac:dyDescent="0.15">
      <c r="A14" s="86"/>
    </row>
    <row r="15" spans="1:4" x14ac:dyDescent="0.15">
      <c r="A15" s="86" t="s">
        <v>107</v>
      </c>
    </row>
    <row r="16" spans="1:4" x14ac:dyDescent="0.15">
      <c r="A16" s="86"/>
    </row>
    <row r="18" spans="1:1" ht="15" x14ac:dyDescent="0.15">
      <c r="A18" s="8" t="s">
        <v>1227</v>
      </c>
    </row>
    <row r="34" spans="1:3" ht="15" x14ac:dyDescent="0.15">
      <c r="A34" s="8" t="s">
        <v>193</v>
      </c>
    </row>
    <row r="36" spans="1:3" x14ac:dyDescent="0.15">
      <c r="A36" s="3" t="s">
        <v>1364</v>
      </c>
    </row>
    <row r="37" spans="1:3" x14ac:dyDescent="0.15">
      <c r="A37" s="3" t="s">
        <v>1363</v>
      </c>
      <c r="B37" s="104">
        <f>50%*B38</f>
        <v>0.39</v>
      </c>
    </row>
    <row r="38" spans="1:3" x14ac:dyDescent="0.15">
      <c r="A38" s="3" t="s">
        <v>1366</v>
      </c>
      <c r="B38" s="193">
        <v>0.78</v>
      </c>
    </row>
    <row r="39" spans="1:3" x14ac:dyDescent="0.15">
      <c r="A39" s="3" t="s">
        <v>1367</v>
      </c>
      <c r="B39" s="104">
        <f>B37/B38</f>
        <v>0.5</v>
      </c>
    </row>
    <row r="40" spans="1:3" x14ac:dyDescent="0.15">
      <c r="B40" s="104"/>
    </row>
    <row r="41" spans="1:3" x14ac:dyDescent="0.15">
      <c r="A41" s="3" t="s">
        <v>1365</v>
      </c>
    </row>
    <row r="42" spans="1:3" x14ac:dyDescent="0.15">
      <c r="A42" s="3" t="s">
        <v>1363</v>
      </c>
      <c r="B42" s="104">
        <f>B44*50%/(2-50%)</f>
        <v>0.26</v>
      </c>
    </row>
    <row r="43" spans="1:3" x14ac:dyDescent="0.15">
      <c r="A43" s="3" t="s">
        <v>108</v>
      </c>
      <c r="B43" s="104">
        <f>B42*2/(1+B42)</f>
        <v>0.41269841269841273</v>
      </c>
    </row>
    <row r="44" spans="1:3" x14ac:dyDescent="0.15">
      <c r="A44" s="3" t="s">
        <v>1366</v>
      </c>
      <c r="B44" s="193">
        <f>B38</f>
        <v>0.78</v>
      </c>
      <c r="C44" s="3" t="s">
        <v>1368</v>
      </c>
    </row>
    <row r="45" spans="1:3" x14ac:dyDescent="0.15">
      <c r="A45" s="3" t="s">
        <v>1367</v>
      </c>
      <c r="B45" s="104">
        <f>B42*2/(B44+B42)</f>
        <v>0.5</v>
      </c>
    </row>
  </sheetData>
  <phoneticPr fontId="4" type="noConversion"/>
  <pageMargins left="0.78740157480314965" right="0.78740157480314965" top="0.98425196850393704" bottom="0.98425196850393704" header="0.51181102362204722" footer="0.51181102362204722"/>
  <pageSetup paperSize="9" orientation="portrait"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euil42"/>
  <dimension ref="A1:H55"/>
  <sheetViews>
    <sheetView showGridLines="0" workbookViewId="0">
      <selection activeCell="E30" sqref="E30"/>
    </sheetView>
  </sheetViews>
  <sheetFormatPr baseColWidth="10" defaultColWidth="11" defaultRowHeight="14" x14ac:dyDescent="0.15"/>
  <cols>
    <col min="1" max="1" width="26.1640625" style="3" customWidth="1"/>
    <col min="2" max="16384" width="11" style="3"/>
  </cols>
  <sheetData>
    <row r="1" spans="1:8" ht="15" x14ac:dyDescent="0.15">
      <c r="A1" s="1" t="s">
        <v>1225</v>
      </c>
    </row>
    <row r="2" spans="1:8" ht="24" customHeight="1" x14ac:dyDescent="0.15">
      <c r="A2" s="372" t="s">
        <v>908</v>
      </c>
      <c r="B2" s="346" t="s">
        <v>992</v>
      </c>
      <c r="C2" s="346" t="s">
        <v>994</v>
      </c>
      <c r="D2" s="346"/>
      <c r="E2" s="317"/>
      <c r="F2" s="373" t="s">
        <v>991</v>
      </c>
      <c r="G2" s="373" t="s">
        <v>993</v>
      </c>
    </row>
    <row r="3" spans="1:8" x14ac:dyDescent="0.15">
      <c r="A3" s="97" t="s">
        <v>991</v>
      </c>
      <c r="B3" s="80">
        <v>1</v>
      </c>
      <c r="E3" s="83" t="s">
        <v>582</v>
      </c>
      <c r="F3" s="3">
        <v>60</v>
      </c>
      <c r="G3" s="3">
        <v>30</v>
      </c>
    </row>
    <row r="4" spans="1:8" x14ac:dyDescent="0.15">
      <c r="A4" s="97" t="s">
        <v>993</v>
      </c>
      <c r="C4" s="80">
        <v>1</v>
      </c>
      <c r="E4" s="83" t="s">
        <v>601</v>
      </c>
      <c r="F4" s="3">
        <v>750</v>
      </c>
      <c r="G4" s="3">
        <v>1500</v>
      </c>
    </row>
    <row r="5" spans="1:8" x14ac:dyDescent="0.15">
      <c r="E5" s="83" t="s">
        <v>791</v>
      </c>
      <c r="F5" s="3">
        <v>800</v>
      </c>
      <c r="G5" s="3">
        <v>400</v>
      </c>
    </row>
    <row r="6" spans="1:8" x14ac:dyDescent="0.15">
      <c r="A6" s="60" t="s">
        <v>909</v>
      </c>
    </row>
    <row r="7" spans="1:8" x14ac:dyDescent="0.15">
      <c r="A7" s="3" t="s">
        <v>910</v>
      </c>
      <c r="B7" s="81">
        <f t="shared" ref="B7:C9" si="0">F3/($F3+$G3)</f>
        <v>0.66666666666666663</v>
      </c>
      <c r="C7" s="81">
        <f t="shared" si="0"/>
        <v>0.33333333333333331</v>
      </c>
    </row>
    <row r="8" spans="1:8" x14ac:dyDescent="0.15">
      <c r="A8" s="3" t="s">
        <v>911</v>
      </c>
      <c r="B8" s="81">
        <f t="shared" si="0"/>
        <v>0.33333333333333331</v>
      </c>
      <c r="C8" s="81">
        <f t="shared" si="0"/>
        <v>0.66666666666666663</v>
      </c>
    </row>
    <row r="9" spans="1:8" x14ac:dyDescent="0.15">
      <c r="A9" s="3" t="s">
        <v>912</v>
      </c>
      <c r="B9" s="81">
        <f t="shared" si="0"/>
        <v>0.66666666666666663</v>
      </c>
      <c r="C9" s="81">
        <f t="shared" si="0"/>
        <v>0.33333333333333331</v>
      </c>
    </row>
    <row r="11" spans="1:8" ht="15" x14ac:dyDescent="0.15">
      <c r="A11" s="8" t="s">
        <v>1227</v>
      </c>
    </row>
    <row r="12" spans="1:8" ht="24" x14ac:dyDescent="0.15">
      <c r="A12" s="372" t="s">
        <v>908</v>
      </c>
      <c r="B12" s="346" t="s">
        <v>1667</v>
      </c>
      <c r="C12" s="346" t="s">
        <v>1668</v>
      </c>
      <c r="D12" s="346" t="s">
        <v>534</v>
      </c>
      <c r="E12" s="346" t="s">
        <v>1669</v>
      </c>
      <c r="F12" s="317"/>
      <c r="G12" s="346" t="s">
        <v>532</v>
      </c>
      <c r="H12" s="346" t="s">
        <v>893</v>
      </c>
    </row>
    <row r="13" spans="1:8" x14ac:dyDescent="0.15">
      <c r="A13" s="3" t="s">
        <v>995</v>
      </c>
      <c r="B13" s="3">
        <v>20</v>
      </c>
      <c r="C13" s="3">
        <v>60</v>
      </c>
      <c r="D13" s="3">
        <v>50</v>
      </c>
      <c r="E13" s="3">
        <v>2</v>
      </c>
      <c r="G13" s="13">
        <f>B13/E13</f>
        <v>10</v>
      </c>
      <c r="H13" s="13">
        <f>C13/E13</f>
        <v>30</v>
      </c>
    </row>
    <row r="14" spans="1:8" x14ac:dyDescent="0.15">
      <c r="A14" s="3" t="s">
        <v>996</v>
      </c>
      <c r="B14" s="3">
        <v>40</v>
      </c>
      <c r="C14" s="3">
        <v>300</v>
      </c>
      <c r="D14" s="3">
        <v>8</v>
      </c>
      <c r="E14" s="3">
        <v>1</v>
      </c>
      <c r="G14" s="13">
        <f>B14/E14</f>
        <v>40</v>
      </c>
      <c r="H14" s="13">
        <f>C14/E14</f>
        <v>300</v>
      </c>
    </row>
    <row r="16" spans="1:8" x14ac:dyDescent="0.15">
      <c r="A16" s="60" t="s">
        <v>997</v>
      </c>
    </row>
    <row r="17" spans="1:5" ht="24" x14ac:dyDescent="0.15">
      <c r="D17" s="83" t="s">
        <v>543</v>
      </c>
      <c r="E17" s="3">
        <f>E13*100%/B18</f>
        <v>2.64</v>
      </c>
    </row>
    <row r="18" spans="1:5" x14ac:dyDescent="0.15">
      <c r="A18" s="7" t="s">
        <v>998</v>
      </c>
      <c r="B18" s="67">
        <f>B13*D13/(B$13*D$13+B$14*D$14)</f>
        <v>0.75757575757575757</v>
      </c>
    </row>
    <row r="19" spans="1:5" x14ac:dyDescent="0.15">
      <c r="A19" s="7" t="s">
        <v>999</v>
      </c>
      <c r="B19" s="67">
        <f>B14*D14/(B$13*D$13+B$14*D$14)</f>
        <v>0.24242424242424243</v>
      </c>
    </row>
    <row r="21" spans="1:5" x14ac:dyDescent="0.15">
      <c r="A21" s="7" t="s">
        <v>532</v>
      </c>
      <c r="B21" s="29">
        <f>(B13+B14)/E17</f>
        <v>22.727272727272727</v>
      </c>
    </row>
    <row r="22" spans="1:5" x14ac:dyDescent="0.15">
      <c r="A22" s="7" t="s">
        <v>893</v>
      </c>
      <c r="B22" s="29">
        <f>($C$13+$C$14)/E17</f>
        <v>136.36363636363635</v>
      </c>
    </row>
    <row r="24" spans="1:5" x14ac:dyDescent="0.15">
      <c r="A24" s="60" t="s">
        <v>913</v>
      </c>
    </row>
    <row r="26" spans="1:5" x14ac:dyDescent="0.15">
      <c r="A26" s="3" t="s">
        <v>1000</v>
      </c>
      <c r="B26" s="3">
        <v>15</v>
      </c>
      <c r="C26" s="3">
        <v>6</v>
      </c>
    </row>
    <row r="27" spans="1:5" x14ac:dyDescent="0.15">
      <c r="A27" s="7" t="s">
        <v>998</v>
      </c>
      <c r="B27" s="67">
        <f>B13*B26/(B$13*B26+B$14*D$14)</f>
        <v>0.4838709677419355</v>
      </c>
      <c r="C27" s="67">
        <f>B13*C26/(B$13*C$26+B$14*D$14)</f>
        <v>0.27272727272727271</v>
      </c>
    </row>
    <row r="28" spans="1:5" x14ac:dyDescent="0.15">
      <c r="A28" s="7" t="s">
        <v>999</v>
      </c>
      <c r="B28" s="67">
        <f>B14*D14/(B$13*B26+B$14*D$14)</f>
        <v>0.5161290322580645</v>
      </c>
      <c r="C28" s="67">
        <f>B14*D14/(B$13*C26+B$14*D$14)</f>
        <v>0.72727272727272729</v>
      </c>
    </row>
    <row r="29" spans="1:5" x14ac:dyDescent="0.15">
      <c r="A29" s="7" t="s">
        <v>1075</v>
      </c>
      <c r="B29" s="13">
        <f>$E$13*100%/B27</f>
        <v>4.1333333333333329</v>
      </c>
      <c r="C29" s="13">
        <f>$E$13*100%/C27</f>
        <v>7.3333333333333339</v>
      </c>
    </row>
    <row r="30" spans="1:5" x14ac:dyDescent="0.15">
      <c r="A30" s="7" t="s">
        <v>532</v>
      </c>
      <c r="B30" s="29">
        <f>($B$13+$B$14)/B29</f>
        <v>14.516129032258066</v>
      </c>
      <c r="C30" s="29">
        <f>($B$13+$B$14)/C29</f>
        <v>8.1818181818181817</v>
      </c>
    </row>
    <row r="31" spans="1:5" x14ac:dyDescent="0.15">
      <c r="A31" s="7" t="s">
        <v>893</v>
      </c>
      <c r="B31" s="29">
        <f>($C$13+$C$14)/B29</f>
        <v>87.096774193548399</v>
      </c>
      <c r="C31" s="29">
        <f>($C$13+$C$14)/C29</f>
        <v>49.090909090909086</v>
      </c>
    </row>
    <row r="32" spans="1:5" x14ac:dyDescent="0.15">
      <c r="A32" s="7"/>
      <c r="B32" s="67"/>
      <c r="C32" s="67"/>
    </row>
    <row r="34" spans="1:5" x14ac:dyDescent="0.15">
      <c r="A34" s="60" t="s">
        <v>914</v>
      </c>
    </row>
    <row r="36" spans="1:5" x14ac:dyDescent="0.15">
      <c r="A36" s="3" t="s">
        <v>915</v>
      </c>
      <c r="B36" s="3">
        <v>10</v>
      </c>
    </row>
    <row r="37" spans="1:5" x14ac:dyDescent="0.15">
      <c r="A37" s="3" t="s">
        <v>916</v>
      </c>
      <c r="B37" s="3">
        <v>21</v>
      </c>
    </row>
    <row r="39" spans="1:5" x14ac:dyDescent="0.15">
      <c r="A39" s="3" t="s">
        <v>917</v>
      </c>
      <c r="B39" s="3">
        <f>(B13+B14+B36)*B37-(D13*B13+D14*B14)</f>
        <v>150</v>
      </c>
    </row>
    <row r="41" spans="1:5" x14ac:dyDescent="0.15">
      <c r="A41" s="7" t="s">
        <v>1001</v>
      </c>
      <c r="B41" s="98">
        <f>D13*B13/(B39+D14*B14)</f>
        <v>2.1276595744680851</v>
      </c>
      <c r="C41" s="82" t="s">
        <v>1068</v>
      </c>
      <c r="D41" s="99">
        <f>2/B41</f>
        <v>0.94000000000000006</v>
      </c>
      <c r="E41" s="3" t="s">
        <v>1076</v>
      </c>
    </row>
    <row r="42" spans="1:5" x14ac:dyDescent="0.15">
      <c r="A42" s="7" t="s">
        <v>1002</v>
      </c>
      <c r="B42" s="98">
        <f>(B39+D13*B13)/(D14*B14)</f>
        <v>3.59375</v>
      </c>
      <c r="C42" s="82" t="s">
        <v>1068</v>
      </c>
      <c r="D42" s="99">
        <f>2/B42</f>
        <v>0.55652173913043479</v>
      </c>
      <c r="E42" s="3" t="s">
        <v>1076</v>
      </c>
    </row>
    <row r="44" spans="1:5" x14ac:dyDescent="0.15">
      <c r="A44" s="60" t="s">
        <v>1003</v>
      </c>
    </row>
    <row r="46" spans="1:5" x14ac:dyDescent="0.15">
      <c r="A46" s="3" t="s">
        <v>915</v>
      </c>
      <c r="B46" s="3">
        <v>10</v>
      </c>
    </row>
    <row r="47" spans="1:5" x14ac:dyDescent="0.15">
      <c r="A47" s="3" t="s">
        <v>916</v>
      </c>
      <c r="B47" s="3">
        <v>50</v>
      </c>
    </row>
    <row r="49" spans="1:2" x14ac:dyDescent="0.15">
      <c r="A49" s="7" t="s">
        <v>1004</v>
      </c>
      <c r="B49" s="3">
        <f>B47*(B46+B13+B14)</f>
        <v>3500</v>
      </c>
    </row>
    <row r="51" spans="1:2" x14ac:dyDescent="0.15">
      <c r="A51" s="60" t="s">
        <v>918</v>
      </c>
    </row>
    <row r="53" spans="1:2" x14ac:dyDescent="0.15">
      <c r="A53" s="3" t="s">
        <v>919</v>
      </c>
      <c r="B53" s="3">
        <f>B49-(D13*B13+D14*B14)</f>
        <v>2180</v>
      </c>
    </row>
    <row r="54" spans="1:2" x14ac:dyDescent="0.15">
      <c r="A54" s="100" t="s">
        <v>920</v>
      </c>
      <c r="B54" s="3">
        <f>B46*B47</f>
        <v>500</v>
      </c>
    </row>
    <row r="55" spans="1:2" x14ac:dyDescent="0.15">
      <c r="A55" s="100" t="s">
        <v>1005</v>
      </c>
      <c r="B55" s="3">
        <f>B53-B54</f>
        <v>1680</v>
      </c>
    </row>
  </sheetData>
  <phoneticPr fontId="4" type="noConversion"/>
  <pageMargins left="0.78740157480314965" right="0.78740157480314965" top="0.98425196850393704" bottom="0.98425196850393704" header="0.51181102362204722" footer="0.51181102362204722"/>
  <pageSetup paperSize="9" orientation="portrait"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K95"/>
  <sheetViews>
    <sheetView showGridLines="0" workbookViewId="0"/>
  </sheetViews>
  <sheetFormatPr baseColWidth="10" defaultColWidth="11" defaultRowHeight="14" x14ac:dyDescent="0.15"/>
  <cols>
    <col min="1" max="1" width="52.83203125" style="3" bestFit="1" customWidth="1"/>
    <col min="2" max="4" width="11.83203125" style="3" customWidth="1"/>
    <col min="5" max="5" width="12" style="3" customWidth="1"/>
    <col min="6" max="16384" width="11" style="3"/>
  </cols>
  <sheetData>
    <row r="1" spans="1:6" ht="15" x14ac:dyDescent="0.15">
      <c r="A1" s="2" t="s">
        <v>193</v>
      </c>
    </row>
    <row r="3" spans="1:6" ht="15" x14ac:dyDescent="0.15">
      <c r="A3" s="8" t="s">
        <v>1169</v>
      </c>
      <c r="B3" s="74"/>
      <c r="C3" s="74"/>
      <c r="D3" s="74"/>
      <c r="E3" s="74"/>
      <c r="F3" s="74"/>
    </row>
    <row r="4" spans="1:6" ht="9" customHeight="1" x14ac:dyDescent="0.15">
      <c r="A4" s="8"/>
      <c r="B4" s="74"/>
      <c r="C4" s="74"/>
      <c r="D4" s="74"/>
      <c r="E4" s="74"/>
      <c r="F4" s="74"/>
    </row>
    <row r="5" spans="1:6" x14ac:dyDescent="0.15">
      <c r="A5" s="317" t="s">
        <v>1170</v>
      </c>
      <c r="B5" s="343">
        <v>1</v>
      </c>
      <c r="C5" s="343">
        <v>2</v>
      </c>
      <c r="D5" s="343">
        <v>3</v>
      </c>
      <c r="E5" s="343">
        <v>4</v>
      </c>
      <c r="F5" s="343">
        <v>5</v>
      </c>
    </row>
    <row r="6" spans="1:6" x14ac:dyDescent="0.15">
      <c r="A6" s="3" t="s">
        <v>1171</v>
      </c>
      <c r="B6" s="166">
        <v>3320</v>
      </c>
      <c r="C6" s="166">
        <v>5868</v>
      </c>
      <c r="D6" s="166">
        <v>846</v>
      </c>
      <c r="E6" s="251">
        <v>348</v>
      </c>
      <c r="F6" s="166">
        <v>252</v>
      </c>
    </row>
    <row r="7" spans="1:6" x14ac:dyDescent="0.15">
      <c r="A7" s="3" t="s">
        <v>945</v>
      </c>
      <c r="B7" s="166">
        <v>3320</v>
      </c>
      <c r="C7" s="166">
        <v>5815</v>
      </c>
      <c r="D7" s="166">
        <v>1059</v>
      </c>
      <c r="E7" s="251">
        <v>353</v>
      </c>
      <c r="F7" s="166">
        <v>252</v>
      </c>
    </row>
    <row r="8" spans="1:6" x14ac:dyDescent="0.15">
      <c r="A8" s="3" t="s">
        <v>1172</v>
      </c>
      <c r="B8" s="166">
        <v>2673</v>
      </c>
      <c r="C8" s="166">
        <v>1059</v>
      </c>
      <c r="D8" s="166">
        <v>480</v>
      </c>
      <c r="E8" s="251">
        <v>236</v>
      </c>
      <c r="F8" s="166">
        <v>36</v>
      </c>
    </row>
    <row r="9" spans="1:6" x14ac:dyDescent="0.15">
      <c r="A9" s="3" t="s">
        <v>1173</v>
      </c>
      <c r="B9" s="166">
        <v>556</v>
      </c>
      <c r="C9" s="166">
        <v>4184</v>
      </c>
      <c r="D9" s="166">
        <v>216</v>
      </c>
      <c r="E9" s="251">
        <v>106.3</v>
      </c>
      <c r="F9" s="166">
        <v>162</v>
      </c>
    </row>
    <row r="10" spans="1:6" x14ac:dyDescent="0.15">
      <c r="A10" s="3" t="s">
        <v>1174</v>
      </c>
      <c r="B10" s="166">
        <v>320</v>
      </c>
      <c r="C10" s="166">
        <v>1365</v>
      </c>
      <c r="D10" s="166">
        <v>183</v>
      </c>
      <c r="E10" s="251">
        <v>46.7</v>
      </c>
      <c r="F10" s="166">
        <v>36</v>
      </c>
    </row>
    <row r="11" spans="1:6" x14ac:dyDescent="0.15">
      <c r="A11" s="3" t="s">
        <v>1041</v>
      </c>
      <c r="B11" s="166">
        <v>41</v>
      </c>
      <c r="C11" s="166">
        <v>316</v>
      </c>
      <c r="D11" s="166">
        <v>245</v>
      </c>
      <c r="E11" s="251">
        <v>5.5</v>
      </c>
      <c r="F11" s="166">
        <v>20</v>
      </c>
    </row>
    <row r="12" spans="1:6" x14ac:dyDescent="0.15">
      <c r="A12" s="3" t="s">
        <v>1175</v>
      </c>
      <c r="B12" s="166">
        <v>11</v>
      </c>
      <c r="C12" s="166">
        <v>194</v>
      </c>
      <c r="D12" s="166">
        <v>100</v>
      </c>
      <c r="E12" s="251">
        <v>2</v>
      </c>
      <c r="F12" s="166">
        <v>36</v>
      </c>
    </row>
    <row r="13" spans="1:6" x14ac:dyDescent="0.15">
      <c r="A13" s="3" t="s">
        <v>1195</v>
      </c>
      <c r="B13" s="166">
        <v>9</v>
      </c>
      <c r="C13" s="166">
        <v>49</v>
      </c>
      <c r="D13" s="166"/>
      <c r="E13" s="251"/>
      <c r="F13" s="166"/>
    </row>
    <row r="14" spans="1:6" x14ac:dyDescent="0.15">
      <c r="A14" s="3" t="s">
        <v>321</v>
      </c>
      <c r="B14" s="166">
        <v>5</v>
      </c>
      <c r="C14" s="166">
        <v>-7</v>
      </c>
      <c r="D14" s="166">
        <v>-11</v>
      </c>
      <c r="E14" s="251">
        <v>-0.5</v>
      </c>
      <c r="F14" s="166">
        <v>2</v>
      </c>
    </row>
    <row r="15" spans="1:6" x14ac:dyDescent="0.15">
      <c r="A15" s="3" t="s">
        <v>947</v>
      </c>
      <c r="B15" s="166">
        <v>20</v>
      </c>
      <c r="C15" s="166">
        <v>52</v>
      </c>
      <c r="D15" s="166">
        <v>0</v>
      </c>
      <c r="E15" s="251">
        <v>1.4</v>
      </c>
      <c r="F15" s="166"/>
    </row>
    <row r="16" spans="1:6" x14ac:dyDescent="0.15">
      <c r="A16" s="265" t="s">
        <v>1012</v>
      </c>
      <c r="B16" s="279">
        <f>MAX(B6,B7)-B8-B9-B12+B13-B11+B14-B15</f>
        <v>33</v>
      </c>
      <c r="C16" s="279">
        <f>MAX(C6,C7)-C8-C9-C12+C13-C11+C14-C15</f>
        <v>105</v>
      </c>
      <c r="D16" s="279">
        <f>MAX(D6,D7)-D8-D9-D12+D13-D11+D14-D15</f>
        <v>7</v>
      </c>
      <c r="E16" s="295">
        <f>MAX(E6,E7)-E8-E9-E12+E13-E11+E14-E15</f>
        <v>1.3000000000000029</v>
      </c>
      <c r="F16" s="296">
        <f>MAX(F6,F7)-F8-F9-F12+F13-F11+F14-F15</f>
        <v>0</v>
      </c>
    </row>
    <row r="17" spans="1:6" x14ac:dyDescent="0.15">
      <c r="B17" s="166"/>
      <c r="C17" s="166"/>
      <c r="D17" s="166"/>
      <c r="E17" s="251"/>
      <c r="F17" s="166"/>
    </row>
    <row r="18" spans="1:6" ht="15" x14ac:dyDescent="0.15">
      <c r="A18" s="8" t="s">
        <v>43</v>
      </c>
      <c r="B18" s="166"/>
      <c r="C18" s="166"/>
      <c r="D18" s="166"/>
      <c r="E18" s="251"/>
      <c r="F18" s="166"/>
    </row>
    <row r="19" spans="1:6" ht="9" customHeight="1" x14ac:dyDescent="0.15">
      <c r="A19" s="8"/>
      <c r="B19" s="166"/>
      <c r="C19" s="166"/>
      <c r="D19" s="166"/>
      <c r="E19" s="251"/>
      <c r="F19" s="166"/>
    </row>
    <row r="20" spans="1:6" x14ac:dyDescent="0.15">
      <c r="A20" s="317" t="s">
        <v>1170</v>
      </c>
      <c r="B20" s="343">
        <v>1</v>
      </c>
      <c r="C20" s="343">
        <v>2</v>
      </c>
      <c r="D20" s="343">
        <v>3</v>
      </c>
      <c r="E20" s="343">
        <v>4</v>
      </c>
      <c r="F20" s="343">
        <v>5</v>
      </c>
    </row>
    <row r="21" spans="1:6" x14ac:dyDescent="0.15">
      <c r="A21" s="3" t="s">
        <v>1177</v>
      </c>
      <c r="B21" s="166"/>
      <c r="C21" s="166"/>
      <c r="D21" s="166">
        <v>601</v>
      </c>
      <c r="E21" s="251"/>
      <c r="F21" s="166"/>
    </row>
    <row r="22" spans="1:6" x14ac:dyDescent="0.15">
      <c r="A22" s="3" t="s">
        <v>1178</v>
      </c>
      <c r="B22" s="166">
        <v>162</v>
      </c>
      <c r="C22" s="166">
        <v>2233</v>
      </c>
      <c r="D22" s="166">
        <v>12733</v>
      </c>
      <c r="E22" s="166">
        <v>32</v>
      </c>
      <c r="F22" s="166">
        <v>226</v>
      </c>
    </row>
    <row r="23" spans="1:6" x14ac:dyDescent="0.15">
      <c r="A23" s="3" t="s">
        <v>1179</v>
      </c>
      <c r="B23" s="166">
        <v>51</v>
      </c>
      <c r="C23" s="166"/>
      <c r="D23" s="166">
        <v>12290</v>
      </c>
      <c r="E23" s="166" t="s">
        <v>350</v>
      </c>
      <c r="F23" s="166">
        <v>133</v>
      </c>
    </row>
    <row r="24" spans="1:6" x14ac:dyDescent="0.15">
      <c r="A24" s="3" t="s">
        <v>1180</v>
      </c>
      <c r="B24" s="166">
        <v>70</v>
      </c>
      <c r="C24" s="166"/>
      <c r="D24" s="166"/>
      <c r="E24" s="166"/>
      <c r="F24" s="166"/>
    </row>
    <row r="25" spans="1:6" x14ac:dyDescent="0.15">
      <c r="A25" s="3" t="s">
        <v>1181</v>
      </c>
      <c r="B25" s="166"/>
      <c r="C25" s="166">
        <v>1663</v>
      </c>
      <c r="D25" s="166"/>
      <c r="E25" s="166"/>
      <c r="F25" s="166"/>
    </row>
    <row r="26" spans="1:6" x14ac:dyDescent="0.15">
      <c r="A26" s="3" t="s">
        <v>1182</v>
      </c>
      <c r="B26" s="166">
        <v>27</v>
      </c>
      <c r="C26" s="166"/>
      <c r="D26" s="166"/>
      <c r="E26" s="166"/>
      <c r="F26" s="166"/>
    </row>
    <row r="27" spans="1:6" x14ac:dyDescent="0.15">
      <c r="A27" s="3" t="s">
        <v>1184</v>
      </c>
      <c r="B27" s="166">
        <v>44</v>
      </c>
      <c r="C27" s="166"/>
      <c r="D27" s="166"/>
      <c r="E27" s="166"/>
      <c r="F27" s="166"/>
    </row>
    <row r="28" spans="1:6" x14ac:dyDescent="0.15">
      <c r="A28" s="3" t="s">
        <v>1183</v>
      </c>
      <c r="B28" s="166">
        <v>30</v>
      </c>
      <c r="C28" s="166">
        <v>690</v>
      </c>
      <c r="D28" s="166">
        <v>106</v>
      </c>
      <c r="E28" s="166">
        <v>3</v>
      </c>
      <c r="F28" s="166">
        <v>17</v>
      </c>
    </row>
    <row r="29" spans="1:6" x14ac:dyDescent="0.15">
      <c r="A29" s="3" t="s">
        <v>1185</v>
      </c>
      <c r="B29" s="166">
        <v>282</v>
      </c>
      <c r="C29" s="166">
        <v>277</v>
      </c>
      <c r="D29" s="166">
        <v>213</v>
      </c>
      <c r="E29" s="166">
        <v>39</v>
      </c>
      <c r="F29" s="166">
        <v>25</v>
      </c>
    </row>
    <row r="30" spans="1:6" x14ac:dyDescent="0.15">
      <c r="A30" s="3" t="s">
        <v>1186</v>
      </c>
      <c r="B30" s="166">
        <v>142</v>
      </c>
      <c r="C30" s="166">
        <v>1193</v>
      </c>
      <c r="D30" s="166">
        <v>1068</v>
      </c>
      <c r="E30" s="166">
        <v>28</v>
      </c>
      <c r="F30" s="166">
        <v>8</v>
      </c>
    </row>
    <row r="31" spans="1:6" x14ac:dyDescent="0.15">
      <c r="A31" s="3" t="s">
        <v>1187</v>
      </c>
      <c r="B31" s="166">
        <v>247</v>
      </c>
      <c r="C31" s="166">
        <v>692</v>
      </c>
      <c r="D31" s="166">
        <v>40</v>
      </c>
      <c r="E31" s="166">
        <v>11</v>
      </c>
      <c r="F31" s="166">
        <v>4</v>
      </c>
    </row>
    <row r="32" spans="1:6" x14ac:dyDescent="0.15">
      <c r="A32" s="7" t="s">
        <v>1188</v>
      </c>
      <c r="B32" s="147">
        <f>B21+B22+B27+B28+B29+B30+B31</f>
        <v>907</v>
      </c>
      <c r="C32" s="147">
        <f>C21+C22+C27+C28+C29+C30+C31</f>
        <v>5085</v>
      </c>
      <c r="D32" s="147">
        <f>D21+D22+D27+D28+D29+D30+D31</f>
        <v>14761</v>
      </c>
      <c r="E32" s="147">
        <f>E21+E22+E27+E28+E29+E30+E31</f>
        <v>113</v>
      </c>
      <c r="F32" s="147">
        <f>F21+F22+F27+F28+F29+F30+F31</f>
        <v>280</v>
      </c>
    </row>
    <row r="33" spans="1:6" ht="4.5" customHeight="1" x14ac:dyDescent="0.15">
      <c r="B33" s="166"/>
      <c r="C33" s="166"/>
      <c r="D33" s="166"/>
      <c r="E33" s="166"/>
      <c r="F33" s="166"/>
    </row>
    <row r="34" spans="1:6" x14ac:dyDescent="0.15">
      <c r="A34" s="3" t="s">
        <v>1189</v>
      </c>
      <c r="B34" s="166">
        <v>174</v>
      </c>
      <c r="C34" s="166">
        <v>1088</v>
      </c>
      <c r="D34" s="166">
        <v>2021</v>
      </c>
      <c r="E34" s="166">
        <v>65</v>
      </c>
      <c r="F34" s="166">
        <v>77</v>
      </c>
    </row>
    <row r="35" spans="1:6" x14ac:dyDescent="0.15">
      <c r="A35" s="3" t="s">
        <v>1190</v>
      </c>
      <c r="B35" s="166">
        <v>72</v>
      </c>
      <c r="C35" s="166">
        <v>2182</v>
      </c>
      <c r="D35" s="166">
        <v>9655</v>
      </c>
      <c r="E35" s="166">
        <v>2</v>
      </c>
      <c r="F35" s="166">
        <v>169</v>
      </c>
    </row>
    <row r="36" spans="1:6" x14ac:dyDescent="0.15">
      <c r="A36" s="3" t="s">
        <v>1191</v>
      </c>
      <c r="B36" s="166">
        <v>661</v>
      </c>
      <c r="C36" s="166"/>
      <c r="D36" s="166">
        <v>793</v>
      </c>
      <c r="E36" s="166">
        <v>33</v>
      </c>
      <c r="F36" s="166">
        <v>20</v>
      </c>
    </row>
    <row r="37" spans="1:6" x14ac:dyDescent="0.15">
      <c r="A37" s="3" t="s">
        <v>1192</v>
      </c>
      <c r="B37" s="166"/>
      <c r="C37" s="166">
        <v>1815</v>
      </c>
      <c r="D37" s="166">
        <v>0</v>
      </c>
      <c r="E37" s="166"/>
      <c r="F37" s="166">
        <v>14</v>
      </c>
    </row>
    <row r="38" spans="1:6" x14ac:dyDescent="0.15">
      <c r="A38" s="3" t="s">
        <v>1193</v>
      </c>
      <c r="B38" s="166"/>
      <c r="C38" s="166"/>
      <c r="D38" s="166">
        <v>2292</v>
      </c>
      <c r="E38" s="166">
        <v>13</v>
      </c>
      <c r="F38" s="166"/>
    </row>
    <row r="39" spans="1:6" x14ac:dyDescent="0.15">
      <c r="A39" s="265" t="s">
        <v>1194</v>
      </c>
      <c r="B39" s="279">
        <f>SUM(B34:B38)</f>
        <v>907</v>
      </c>
      <c r="C39" s="279">
        <f>SUM(C34:C38)</f>
        <v>5085</v>
      </c>
      <c r="D39" s="279">
        <f>SUM(D34:D38)</f>
        <v>14761</v>
      </c>
      <c r="E39" s="279">
        <f>SUM(E34:E38)</f>
        <v>113</v>
      </c>
      <c r="F39" s="279">
        <f>SUM(F34:F38)</f>
        <v>280</v>
      </c>
    </row>
    <row r="40" spans="1:6" x14ac:dyDescent="0.15">
      <c r="A40" s="7"/>
      <c r="B40" s="147"/>
      <c r="C40" s="147"/>
      <c r="D40" s="147"/>
      <c r="E40" s="184"/>
      <c r="F40" s="147"/>
    </row>
    <row r="41" spans="1:6" ht="15" x14ac:dyDescent="0.15">
      <c r="A41" s="8" t="s">
        <v>1379</v>
      </c>
      <c r="B41" s="147"/>
      <c r="C41" s="147"/>
      <c r="D41" s="147"/>
      <c r="E41" s="184"/>
      <c r="F41" s="147"/>
    </row>
    <row r="42" spans="1:6" ht="9" customHeight="1" x14ac:dyDescent="0.15">
      <c r="B42" s="166"/>
      <c r="C42" s="166"/>
      <c r="D42" s="166"/>
      <c r="E42" s="251"/>
      <c r="F42" s="166"/>
    </row>
    <row r="43" spans="1:6" x14ac:dyDescent="0.15">
      <c r="A43" s="317" t="s">
        <v>1170</v>
      </c>
      <c r="B43" s="343">
        <v>1</v>
      </c>
      <c r="C43" s="343">
        <v>2</v>
      </c>
      <c r="D43" s="343">
        <v>3</v>
      </c>
      <c r="E43" s="343">
        <v>4</v>
      </c>
      <c r="F43" s="343">
        <v>5</v>
      </c>
    </row>
    <row r="44" spans="1:6" x14ac:dyDescent="0.15">
      <c r="A44" s="3" t="s">
        <v>1196</v>
      </c>
      <c r="B44" s="166">
        <f>MAX(B6,B7)-B8-B9</f>
        <v>91</v>
      </c>
      <c r="C44" s="166">
        <f>MAX(C6,C7)-C8-C9</f>
        <v>625</v>
      </c>
      <c r="D44" s="166">
        <f>MAX(D6,D7)-D8-D9</f>
        <v>363</v>
      </c>
      <c r="E44" s="251">
        <f>MAX(E6,E7)-E8-E9</f>
        <v>10.700000000000003</v>
      </c>
      <c r="F44" s="297">
        <f>F6-F8-F9</f>
        <v>54</v>
      </c>
    </row>
    <row r="45" spans="1:6" x14ac:dyDescent="0.15">
      <c r="A45" s="3" t="s">
        <v>1158</v>
      </c>
      <c r="B45" s="166">
        <f>B16+B11-B14</f>
        <v>69</v>
      </c>
      <c r="C45" s="166">
        <f>C16+C11-C14</f>
        <v>428</v>
      </c>
      <c r="D45" s="166">
        <f>D16+D11-D14</f>
        <v>263</v>
      </c>
      <c r="E45" s="251">
        <f>E16+E11-E14</f>
        <v>7.3000000000000025</v>
      </c>
      <c r="F45" s="166">
        <f>F16+F11-F14</f>
        <v>18</v>
      </c>
    </row>
    <row r="46" spans="1:6" x14ac:dyDescent="0.15">
      <c r="A46" s="3" t="s">
        <v>1007</v>
      </c>
      <c r="B46" s="166">
        <f>B44-B11</f>
        <v>50</v>
      </c>
      <c r="C46" s="166">
        <f>C44-C11</f>
        <v>309</v>
      </c>
      <c r="D46" s="166">
        <f>D44-D11</f>
        <v>118</v>
      </c>
      <c r="E46" s="251">
        <f>E44-E11</f>
        <v>5.2000000000000028</v>
      </c>
      <c r="F46" s="297">
        <f>F44-F11</f>
        <v>34</v>
      </c>
    </row>
    <row r="47" spans="1:6" x14ac:dyDescent="0.15">
      <c r="A47" s="3" t="s">
        <v>1043</v>
      </c>
      <c r="B47" s="166">
        <f>B46-B12+B13</f>
        <v>48</v>
      </c>
      <c r="C47" s="166">
        <f>C46-C12+C13</f>
        <v>164</v>
      </c>
      <c r="D47" s="166">
        <f>D46-D12+D13</f>
        <v>18</v>
      </c>
      <c r="E47" s="251">
        <f>E46-E12+E13</f>
        <v>3.2000000000000028</v>
      </c>
      <c r="F47" s="297">
        <f>F46-F12+F13</f>
        <v>-2</v>
      </c>
    </row>
    <row r="48" spans="1:6" x14ac:dyDescent="0.15">
      <c r="A48" s="298" t="s">
        <v>1044</v>
      </c>
      <c r="B48" s="299">
        <f>B47-B15+B14</f>
        <v>33</v>
      </c>
      <c r="C48" s="299">
        <f>C47-C15+C14</f>
        <v>105</v>
      </c>
      <c r="D48" s="299">
        <f>D47-D15+D14</f>
        <v>7</v>
      </c>
      <c r="E48" s="300">
        <f>E47-E15+E14</f>
        <v>1.3000000000000029</v>
      </c>
      <c r="F48" s="301">
        <f>F47-F15+F14</f>
        <v>0</v>
      </c>
    </row>
    <row r="49" spans="1:11" x14ac:dyDescent="0.15">
      <c r="A49" s="3" t="s">
        <v>1197</v>
      </c>
      <c r="B49" s="166">
        <f>B29+B30-B36-B37</f>
        <v>-237</v>
      </c>
      <c r="C49" s="166">
        <f>C29+C30-C36-C37</f>
        <v>-345</v>
      </c>
      <c r="D49" s="166">
        <f>D29+D30-D36-D37</f>
        <v>488</v>
      </c>
      <c r="E49" s="166">
        <f>E29+E30-E36-E37</f>
        <v>34</v>
      </c>
      <c r="F49" s="166">
        <f>F29+F30-F36-F37</f>
        <v>-1</v>
      </c>
    </row>
    <row r="50" spans="1:11" x14ac:dyDescent="0.15">
      <c r="A50" s="3" t="s">
        <v>1198</v>
      </c>
      <c r="B50" s="166">
        <f>B21+B22+B27+B28+B49</f>
        <v>-1</v>
      </c>
      <c r="C50" s="297">
        <f>C21+C22+C27+C28+C49</f>
        <v>2578</v>
      </c>
      <c r="D50" s="166">
        <f>D21+D22+D27+D28+D49</f>
        <v>13928</v>
      </c>
      <c r="E50" s="166">
        <f>E21+E22+E27+E28+E49</f>
        <v>69</v>
      </c>
      <c r="F50" s="297">
        <f>F21+F22+F27+F28+F49</f>
        <v>242</v>
      </c>
    </row>
    <row r="51" spans="1:11" x14ac:dyDescent="0.15">
      <c r="A51" s="3" t="s">
        <v>1199</v>
      </c>
      <c r="B51" s="166">
        <f>B50-B34</f>
        <v>-175</v>
      </c>
      <c r="C51" s="297">
        <f>C50-C34</f>
        <v>1490</v>
      </c>
      <c r="D51" s="166">
        <f>D50-D34</f>
        <v>11907</v>
      </c>
      <c r="E51" s="166">
        <f>E50-E34</f>
        <v>4</v>
      </c>
      <c r="F51" s="297">
        <f>F50-F34</f>
        <v>165</v>
      </c>
    </row>
    <row r="52" spans="1:11" x14ac:dyDescent="0.15">
      <c r="A52" s="302" t="s">
        <v>575</v>
      </c>
      <c r="B52" s="303">
        <f>B34+B51</f>
        <v>-1</v>
      </c>
      <c r="C52" s="303">
        <f>C34+C51</f>
        <v>2578</v>
      </c>
      <c r="D52" s="303">
        <f>D34+D51</f>
        <v>13928</v>
      </c>
      <c r="E52" s="303">
        <f>E34+E51</f>
        <v>69</v>
      </c>
      <c r="F52" s="303">
        <f>F34+F51</f>
        <v>242</v>
      </c>
    </row>
    <row r="53" spans="1:11" x14ac:dyDescent="0.15">
      <c r="B53" s="74"/>
      <c r="C53" s="74"/>
      <c r="D53" s="74"/>
      <c r="E53" s="74"/>
      <c r="F53" s="74"/>
    </row>
    <row r="54" spans="1:11" x14ac:dyDescent="0.15">
      <c r="A54" s="3" t="s">
        <v>157</v>
      </c>
    </row>
    <row r="56" spans="1:11" ht="15" x14ac:dyDescent="0.15">
      <c r="A56" s="8" t="s">
        <v>1380</v>
      </c>
    </row>
    <row r="58" spans="1:11" s="7" customFormat="1" x14ac:dyDescent="0.15">
      <c r="A58" s="317" t="s">
        <v>42</v>
      </c>
      <c r="B58" s="343">
        <f>J60</f>
        <v>2024</v>
      </c>
      <c r="C58" s="343">
        <f>+B58+1</f>
        <v>2025</v>
      </c>
    </row>
    <row r="59" spans="1:11" x14ac:dyDescent="0.15">
      <c r="A59" s="3" t="s">
        <v>1044</v>
      </c>
      <c r="B59" s="271">
        <v>0.7</v>
      </c>
      <c r="C59" s="271">
        <v>0.6</v>
      </c>
    </row>
    <row r="60" spans="1:11" x14ac:dyDescent="0.15">
      <c r="A60" s="86" t="s">
        <v>1141</v>
      </c>
      <c r="B60" s="271">
        <v>4.9000000000000004</v>
      </c>
      <c r="C60" s="271">
        <v>4.8</v>
      </c>
      <c r="E60" s="317" t="s">
        <v>1342</v>
      </c>
      <c r="F60" s="342"/>
      <c r="G60" s="342"/>
      <c r="H60" s="342"/>
      <c r="I60" s="343">
        <v>2023</v>
      </c>
      <c r="J60" s="343">
        <f>+I60+1</f>
        <v>2024</v>
      </c>
      <c r="K60" s="343">
        <f>+J60+1</f>
        <v>2025</v>
      </c>
    </row>
    <row r="61" spans="1:11" x14ac:dyDescent="0.15">
      <c r="A61" s="86" t="s">
        <v>1329</v>
      </c>
      <c r="B61" s="271"/>
      <c r="C61" s="271"/>
      <c r="E61" s="3" t="s">
        <v>933</v>
      </c>
      <c r="I61" s="3">
        <v>23.3</v>
      </c>
      <c r="J61" s="3">
        <v>24.2</v>
      </c>
      <c r="K61" s="3">
        <v>28.6</v>
      </c>
    </row>
    <row r="62" spans="1:11" x14ac:dyDescent="0.15">
      <c r="A62" s="294" t="s">
        <v>326</v>
      </c>
      <c r="B62" s="425">
        <f>SUM(B59:B61)</f>
        <v>5.6000000000000005</v>
      </c>
      <c r="C62" s="425">
        <f>SUM(C59:C61)</f>
        <v>5.3999999999999995</v>
      </c>
      <c r="E62" s="3" t="s">
        <v>325</v>
      </c>
      <c r="I62" s="3">
        <v>25.7</v>
      </c>
      <c r="J62" s="3">
        <v>31.5</v>
      </c>
      <c r="K62" s="3">
        <v>42.9</v>
      </c>
    </row>
    <row r="63" spans="1:11" x14ac:dyDescent="0.15">
      <c r="A63" s="86" t="s">
        <v>1330</v>
      </c>
      <c r="B63" s="271">
        <f>J67</f>
        <v>6.9000000000000057</v>
      </c>
      <c r="C63" s="271">
        <f>K67</f>
        <v>11.099999999999994</v>
      </c>
      <c r="E63" s="3" t="s">
        <v>1277</v>
      </c>
      <c r="I63" s="3">
        <v>10.7</v>
      </c>
      <c r="J63" s="3">
        <v>9.5</v>
      </c>
      <c r="K63" s="3">
        <v>14.2</v>
      </c>
    </row>
    <row r="64" spans="1:11" x14ac:dyDescent="0.15">
      <c r="A64" s="293" t="s">
        <v>1331</v>
      </c>
      <c r="B64" s="426">
        <f>+B62-B63</f>
        <v>-1.3000000000000052</v>
      </c>
      <c r="C64" s="426">
        <f>+C62-C63</f>
        <v>-5.6999999999999948</v>
      </c>
      <c r="E64" s="3" t="s">
        <v>1226</v>
      </c>
      <c r="I64" s="3">
        <f>I61+I62-I63</f>
        <v>38.299999999999997</v>
      </c>
      <c r="J64" s="3">
        <f>J61+J62-J63</f>
        <v>46.2</v>
      </c>
      <c r="K64" s="3">
        <f>K61+K62-K63</f>
        <v>57.3</v>
      </c>
    </row>
    <row r="65" spans="1:11" x14ac:dyDescent="0.15">
      <c r="A65" s="3" t="s">
        <v>1332</v>
      </c>
      <c r="B65" s="271">
        <v>2.6</v>
      </c>
      <c r="C65" s="271">
        <v>3.1</v>
      </c>
      <c r="E65" s="3" t="s">
        <v>59</v>
      </c>
      <c r="I65" s="3">
        <v>13</v>
      </c>
      <c r="J65" s="3">
        <v>12</v>
      </c>
      <c r="K65" s="3">
        <v>12</v>
      </c>
    </row>
    <row r="66" spans="1:11" x14ac:dyDescent="0.15">
      <c r="A66" s="86" t="s">
        <v>1333</v>
      </c>
      <c r="B66" s="271"/>
      <c r="C66" s="271"/>
      <c r="E66" s="3" t="s">
        <v>1341</v>
      </c>
      <c r="I66" s="3" t="s">
        <v>217</v>
      </c>
      <c r="J66" s="3">
        <f>J65-I65</f>
        <v>-1</v>
      </c>
      <c r="K66" s="3">
        <f>K65-J65</f>
        <v>0</v>
      </c>
    </row>
    <row r="67" spans="1:11" x14ac:dyDescent="0.15">
      <c r="A67" s="86" t="s">
        <v>1334</v>
      </c>
      <c r="B67" s="271"/>
      <c r="C67" s="271"/>
      <c r="E67" s="3" t="s">
        <v>1339</v>
      </c>
      <c r="I67" s="3" t="s">
        <v>217</v>
      </c>
      <c r="J67" s="3">
        <f>J64-I64+J66</f>
        <v>6.9000000000000057</v>
      </c>
      <c r="K67" s="3">
        <f>K64-J64+K66</f>
        <v>11.099999999999994</v>
      </c>
    </row>
    <row r="68" spans="1:11" x14ac:dyDescent="0.15">
      <c r="A68" s="293" t="s">
        <v>58</v>
      </c>
      <c r="B68" s="426">
        <f>+B65</f>
        <v>2.6</v>
      </c>
      <c r="C68" s="426">
        <f>+C65</f>
        <v>3.1</v>
      </c>
    </row>
    <row r="69" spans="1:11" x14ac:dyDescent="0.15">
      <c r="A69" s="3" t="s">
        <v>1335</v>
      </c>
      <c r="B69" s="271"/>
      <c r="C69" s="271"/>
    </row>
    <row r="70" spans="1:11" x14ac:dyDescent="0.15">
      <c r="A70" s="3" t="s">
        <v>57</v>
      </c>
      <c r="B70" s="271">
        <v>0.6</v>
      </c>
      <c r="C70" s="271">
        <v>0.6</v>
      </c>
    </row>
    <row r="71" spans="1:11" x14ac:dyDescent="0.15">
      <c r="A71" s="265" t="s">
        <v>1336</v>
      </c>
      <c r="B71" s="426">
        <f>+B64-B65-B70</f>
        <v>-4.5000000000000053</v>
      </c>
      <c r="C71" s="426">
        <f>+C64-C65-C70</f>
        <v>-9.399999999999995</v>
      </c>
    </row>
    <row r="74" spans="1:11" x14ac:dyDescent="0.15">
      <c r="A74" s="3" t="s">
        <v>171</v>
      </c>
    </row>
    <row r="76" spans="1:11" ht="15" x14ac:dyDescent="0.15">
      <c r="A76" s="8" t="s">
        <v>41</v>
      </c>
    </row>
    <row r="77" spans="1:11" x14ac:dyDescent="0.15">
      <c r="A77" s="317" t="s">
        <v>42</v>
      </c>
      <c r="B77" s="343" t="s">
        <v>1166</v>
      </c>
      <c r="C77" s="343" t="s">
        <v>1167</v>
      </c>
      <c r="D77" s="343" t="s">
        <v>1168</v>
      </c>
    </row>
    <row r="78" spans="1:11" x14ac:dyDescent="0.15">
      <c r="A78" s="7" t="s">
        <v>1044</v>
      </c>
      <c r="B78" s="184">
        <f>'Chapitre 3'!B79</f>
        <v>14.1</v>
      </c>
      <c r="C78" s="184">
        <f>'Chapitre 3'!C79</f>
        <v>16.5</v>
      </c>
      <c r="D78" s="184">
        <f>'Chapitre 3'!D79</f>
        <v>16.899999999999999</v>
      </c>
    </row>
    <row r="79" spans="1:11" x14ac:dyDescent="0.15">
      <c r="A79" s="86" t="s">
        <v>1141</v>
      </c>
      <c r="B79" s="166">
        <f>'Chapitre 3'!B74</f>
        <v>6</v>
      </c>
      <c r="C79" s="166">
        <f>'Chapitre 3'!C74</f>
        <v>6</v>
      </c>
      <c r="D79" s="166">
        <f>'Chapitre 3'!D74</f>
        <v>6</v>
      </c>
    </row>
    <row r="80" spans="1:11" x14ac:dyDescent="0.15">
      <c r="A80" s="86" t="s">
        <v>1142</v>
      </c>
      <c r="B80" s="166">
        <v>0</v>
      </c>
      <c r="C80" s="166">
        <v>0</v>
      </c>
      <c r="D80" s="166">
        <v>0</v>
      </c>
    </row>
    <row r="81" spans="1:4" x14ac:dyDescent="0.15">
      <c r="A81" s="7" t="s">
        <v>1158</v>
      </c>
      <c r="B81" s="184">
        <f>B78+B79+B80</f>
        <v>20.100000000000001</v>
      </c>
      <c r="C81" s="184">
        <f>C78+C79+C80</f>
        <v>22.5</v>
      </c>
      <c r="D81" s="184">
        <f>D78+D79+D80</f>
        <v>22.9</v>
      </c>
    </row>
    <row r="82" spans="1:4" x14ac:dyDescent="0.15">
      <c r="A82" s="86" t="s">
        <v>1143</v>
      </c>
      <c r="B82" s="166">
        <f>'Chapitre 4'!D9-'Chapitre 4'!C9</f>
        <v>36</v>
      </c>
      <c r="C82" s="166">
        <f>'Chapitre 4'!E9-'Chapitre 4'!D9</f>
        <v>0</v>
      </c>
      <c r="D82" s="166">
        <f>'Chapitre 4'!F9-'Chapitre 4'!E9</f>
        <v>0</v>
      </c>
    </row>
    <row r="83" spans="1:4" x14ac:dyDescent="0.15">
      <c r="A83" s="7" t="s">
        <v>1160</v>
      </c>
      <c r="B83" s="184">
        <f>B81-B82</f>
        <v>-15.899999999999999</v>
      </c>
      <c r="C83" s="184">
        <f>C81-C82</f>
        <v>22.5</v>
      </c>
      <c r="D83" s="184">
        <f>D81-D82</f>
        <v>22.9</v>
      </c>
    </row>
    <row r="84" spans="1:4" x14ac:dyDescent="0.15">
      <c r="A84" s="86" t="s">
        <v>1144</v>
      </c>
      <c r="B84" s="166">
        <f>-'Chapitre 2'!C34</f>
        <v>30</v>
      </c>
      <c r="C84" s="166">
        <f>'Chapitre 2'!D34</f>
        <v>0</v>
      </c>
      <c r="D84" s="166">
        <f>'Chapitre 2'!E34</f>
        <v>0</v>
      </c>
    </row>
    <row r="85" spans="1:4" x14ac:dyDescent="0.15">
      <c r="A85" s="86" t="s">
        <v>1145</v>
      </c>
      <c r="B85" s="166">
        <v>0</v>
      </c>
      <c r="C85" s="166">
        <v>0</v>
      </c>
      <c r="D85" s="166">
        <v>0</v>
      </c>
    </row>
    <row r="86" spans="1:4" x14ac:dyDescent="0.15">
      <c r="A86" s="7" t="s">
        <v>1159</v>
      </c>
      <c r="B86" s="184">
        <f>B83-B84+B85</f>
        <v>-45.9</v>
      </c>
      <c r="C86" s="184">
        <f>C83-C84+C85</f>
        <v>22.5</v>
      </c>
      <c r="D86" s="184">
        <f>D83-D84+D85</f>
        <v>22.9</v>
      </c>
    </row>
    <row r="87" spans="1:4" x14ac:dyDescent="0.15">
      <c r="A87" s="86" t="s">
        <v>1146</v>
      </c>
      <c r="B87" s="166">
        <v>0</v>
      </c>
      <c r="C87" s="166">
        <v>0</v>
      </c>
      <c r="D87" s="166">
        <v>0</v>
      </c>
    </row>
    <row r="88" spans="1:4" x14ac:dyDescent="0.15">
      <c r="A88" s="86" t="s">
        <v>1147</v>
      </c>
      <c r="B88" s="166">
        <f>'Chapitre 4'!C15</f>
        <v>0</v>
      </c>
      <c r="C88" s="166">
        <f>'Chapitre 4'!D15</f>
        <v>0</v>
      </c>
      <c r="D88" s="166">
        <f>'Chapitre 4'!E15</f>
        <v>0</v>
      </c>
    </row>
    <row r="89" spans="1:4" x14ac:dyDescent="0.15">
      <c r="A89" s="7" t="s">
        <v>1140</v>
      </c>
      <c r="B89" s="184">
        <f>B78+B79+B80-B82-B84+B85+B87-B88</f>
        <v>-45.9</v>
      </c>
      <c r="C89" s="184">
        <f>C78+C79+C80-C82-C84+C87-C88</f>
        <v>22.5</v>
      </c>
      <c r="D89" s="184">
        <f>D78+D79+D80-D82-D84+D87-D88</f>
        <v>22.9</v>
      </c>
    </row>
    <row r="90" spans="1:4" x14ac:dyDescent="0.15">
      <c r="B90" s="251"/>
      <c r="C90" s="251"/>
      <c r="D90" s="251"/>
    </row>
    <row r="91" spans="1:4" x14ac:dyDescent="0.15">
      <c r="A91" s="86" t="s">
        <v>1161</v>
      </c>
      <c r="B91" s="166">
        <f>-('Chapitre 4'!D16-'Chapitre 4'!C16)+B92</f>
        <v>4</v>
      </c>
      <c r="C91" s="166">
        <f>-('Chapitre 4'!E16-'Chapitre 4'!D16)</f>
        <v>4</v>
      </c>
      <c r="D91" s="166">
        <f>-('Chapitre 4'!F16-'Chapitre 4'!E16)</f>
        <v>4</v>
      </c>
    </row>
    <row r="92" spans="1:4" x14ac:dyDescent="0.15">
      <c r="A92" s="86" t="s">
        <v>1162</v>
      </c>
      <c r="B92" s="166">
        <v>20</v>
      </c>
      <c r="C92" s="166">
        <v>0</v>
      </c>
      <c r="D92" s="166">
        <v>0</v>
      </c>
    </row>
    <row r="93" spans="1:4" x14ac:dyDescent="0.15">
      <c r="A93" s="86" t="s">
        <v>1163</v>
      </c>
      <c r="B93" s="166">
        <v>0</v>
      </c>
      <c r="C93" s="166">
        <v>0</v>
      </c>
      <c r="D93" s="166">
        <v>0</v>
      </c>
    </row>
    <row r="94" spans="1:4" x14ac:dyDescent="0.15">
      <c r="A94" s="86" t="s">
        <v>1164</v>
      </c>
      <c r="B94" s="251">
        <f>'Chapitre 4'!D18-'Chapitre 4'!C18</f>
        <v>-29.9</v>
      </c>
      <c r="C94" s="251">
        <f>'Chapitre 4'!E18-'Chapitre 4'!D18</f>
        <v>18.5</v>
      </c>
      <c r="D94" s="251">
        <f>'Chapitre 4'!F18-'Chapitre 4'!E18</f>
        <v>18.899999999999999</v>
      </c>
    </row>
    <row r="95" spans="1:4" x14ac:dyDescent="0.15">
      <c r="A95" s="7" t="s">
        <v>1140</v>
      </c>
      <c r="B95" s="184">
        <f>B91-B92+B93+B94</f>
        <v>-45.9</v>
      </c>
      <c r="C95" s="184">
        <f>C91-C92+C93+C94</f>
        <v>22.5</v>
      </c>
      <c r="D95" s="184">
        <f>D91-D92+D93+D94</f>
        <v>22.9</v>
      </c>
    </row>
  </sheetData>
  <phoneticPr fontId="4" type="noConversion"/>
  <pageMargins left="0.78740157480314965" right="0.78740157480314965" top="0.98425196850393704" bottom="0.98425196850393704" header="0.51181102362204722" footer="0.51181102362204722"/>
  <pageSetup paperSize="9" scale="68" fitToHeight="2"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euil43"/>
  <dimension ref="A2:H97"/>
  <sheetViews>
    <sheetView showGridLines="0" workbookViewId="0"/>
  </sheetViews>
  <sheetFormatPr baseColWidth="10" defaultColWidth="11" defaultRowHeight="14" x14ac:dyDescent="0.15"/>
  <cols>
    <col min="1" max="1" width="30.1640625" style="3" customWidth="1"/>
    <col min="2" max="3" width="13.83203125" style="3" customWidth="1"/>
    <col min="4" max="16384" width="11" style="3"/>
  </cols>
  <sheetData>
    <row r="2" spans="1:8" ht="15" x14ac:dyDescent="0.15">
      <c r="A2" s="8" t="s">
        <v>1699</v>
      </c>
    </row>
    <row r="3" spans="1:8" x14ac:dyDescent="0.15">
      <c r="A3" s="60"/>
      <c r="B3" s="83"/>
      <c r="C3" s="83"/>
      <c r="D3" s="83"/>
      <c r="E3" s="83"/>
      <c r="G3" s="84"/>
      <c r="H3" s="84"/>
    </row>
    <row r="4" spans="1:8" x14ac:dyDescent="0.15">
      <c r="A4" s="317"/>
      <c r="B4" s="317"/>
      <c r="C4" s="317">
        <v>2023</v>
      </c>
      <c r="D4" s="317">
        <f>C4+1</f>
        <v>2024</v>
      </c>
      <c r="E4" s="317">
        <f>D4+1</f>
        <v>2025</v>
      </c>
      <c r="G4" s="68"/>
      <c r="H4" s="68"/>
    </row>
    <row r="5" spans="1:8" x14ac:dyDescent="0.15">
      <c r="A5" s="3" t="s">
        <v>1171</v>
      </c>
      <c r="C5" s="3">
        <v>8026</v>
      </c>
      <c r="D5" s="3">
        <v>5208</v>
      </c>
      <c r="E5" s="3">
        <v>3018</v>
      </c>
      <c r="G5" s="68"/>
      <c r="H5" s="68"/>
    </row>
    <row r="6" spans="1:8" x14ac:dyDescent="0.15">
      <c r="A6" s="3" t="s">
        <v>1007</v>
      </c>
      <c r="C6" s="3">
        <v>130</v>
      </c>
      <c r="D6" s="3">
        <v>-168</v>
      </c>
      <c r="E6" s="3">
        <v>-100</v>
      </c>
      <c r="G6" s="68"/>
      <c r="H6" s="68"/>
    </row>
    <row r="7" spans="1:8" x14ac:dyDescent="0.15">
      <c r="A7" s="3" t="s">
        <v>1175</v>
      </c>
      <c r="C7" s="3">
        <v>330</v>
      </c>
      <c r="D7" s="3">
        <v>144</v>
      </c>
      <c r="E7" s="3">
        <v>62</v>
      </c>
      <c r="G7" s="68"/>
      <c r="H7" s="68"/>
    </row>
    <row r="8" spans="1:8" x14ac:dyDescent="0.15">
      <c r="A8" s="3" t="s">
        <v>56</v>
      </c>
      <c r="C8" s="3">
        <v>-1020</v>
      </c>
      <c r="D8" s="3">
        <v>-314</v>
      </c>
      <c r="G8" s="68"/>
      <c r="H8" s="68"/>
    </row>
    <row r="9" spans="1:8" x14ac:dyDescent="0.15">
      <c r="A9" s="3" t="s">
        <v>1044</v>
      </c>
      <c r="C9" s="3">
        <f>C6-C7+C8</f>
        <v>-1220</v>
      </c>
      <c r="D9" s="3">
        <f>D6-D7+D8</f>
        <v>-626</v>
      </c>
      <c r="E9" s="3">
        <f>E6-E7+E8</f>
        <v>-162</v>
      </c>
      <c r="G9" s="68"/>
      <c r="H9" s="68"/>
    </row>
    <row r="10" spans="1:8" x14ac:dyDescent="0.15">
      <c r="G10" s="68"/>
      <c r="H10" s="68"/>
    </row>
    <row r="11" spans="1:8" x14ac:dyDescent="0.15">
      <c r="A11" s="3" t="s">
        <v>203</v>
      </c>
      <c r="D11" s="3">
        <v>122</v>
      </c>
      <c r="E11" s="3">
        <v>72</v>
      </c>
      <c r="G11" s="68"/>
      <c r="H11" s="68"/>
    </row>
    <row r="12" spans="1:8" x14ac:dyDescent="0.15">
      <c r="A12" s="3" t="s">
        <v>1226</v>
      </c>
      <c r="D12" s="3">
        <v>614</v>
      </c>
      <c r="E12" s="3">
        <v>330</v>
      </c>
      <c r="G12" s="68"/>
      <c r="H12" s="68"/>
    </row>
    <row r="13" spans="1:8" x14ac:dyDescent="0.15">
      <c r="A13" s="3" t="s">
        <v>1189</v>
      </c>
      <c r="D13" s="3">
        <v>-620</v>
      </c>
      <c r="E13" s="3">
        <v>-784</v>
      </c>
      <c r="G13" s="68"/>
      <c r="H13" s="68"/>
    </row>
    <row r="14" spans="1:8" x14ac:dyDescent="0.15">
      <c r="A14" s="3" t="s">
        <v>1239</v>
      </c>
      <c r="D14" s="3">
        <v>616</v>
      </c>
      <c r="E14" s="3">
        <v>616</v>
      </c>
      <c r="G14" s="68"/>
      <c r="H14" s="68"/>
    </row>
    <row r="15" spans="1:8" x14ac:dyDescent="0.15">
      <c r="A15" s="3" t="s">
        <v>1240</v>
      </c>
      <c r="D15" s="3">
        <v>740</v>
      </c>
      <c r="E15" s="3">
        <v>570</v>
      </c>
    </row>
    <row r="17" spans="1:2" x14ac:dyDescent="0.15">
      <c r="A17" s="3" t="s">
        <v>861</v>
      </c>
      <c r="B17" s="85">
        <v>8910000</v>
      </c>
    </row>
    <row r="18" spans="1:2" x14ac:dyDescent="0.15">
      <c r="A18" s="3" t="s">
        <v>521</v>
      </c>
      <c r="B18" s="82">
        <v>24</v>
      </c>
    </row>
    <row r="22" spans="1:2" x14ac:dyDescent="0.15">
      <c r="A22" s="3" t="s">
        <v>65</v>
      </c>
    </row>
    <row r="23" spans="1:2" x14ac:dyDescent="0.15">
      <c r="A23" s="3" t="s">
        <v>1243</v>
      </c>
    </row>
    <row r="24" spans="1:2" x14ac:dyDescent="0.15">
      <c r="A24" s="3" t="s">
        <v>1244</v>
      </c>
    </row>
    <row r="25" spans="1:2" x14ac:dyDescent="0.15">
      <c r="A25" s="3" t="s">
        <v>320</v>
      </c>
    </row>
    <row r="26" spans="1:2" x14ac:dyDescent="0.15">
      <c r="A26" s="3" t="s">
        <v>1246</v>
      </c>
    </row>
    <row r="28" spans="1:2" x14ac:dyDescent="0.15">
      <c r="A28" s="86" t="s">
        <v>1245</v>
      </c>
    </row>
    <row r="29" spans="1:2" x14ac:dyDescent="0.15">
      <c r="A29" s="86"/>
    </row>
    <row r="30" spans="1:2" x14ac:dyDescent="0.15">
      <c r="A30" s="3" t="s">
        <v>66</v>
      </c>
    </row>
    <row r="31" spans="1:2" x14ac:dyDescent="0.15">
      <c r="A31" s="3" t="s">
        <v>262</v>
      </c>
      <c r="B31" s="68">
        <f>B17*B18/1000000</f>
        <v>213.84</v>
      </c>
    </row>
    <row r="32" spans="1:2" x14ac:dyDescent="0.15">
      <c r="A32" s="3" t="s">
        <v>1242</v>
      </c>
      <c r="B32" s="68">
        <f>0.5*E15</f>
        <v>285</v>
      </c>
    </row>
    <row r="33" spans="1:2" x14ac:dyDescent="0.15">
      <c r="A33" s="3" t="s">
        <v>1241</v>
      </c>
      <c r="B33" s="68">
        <f>21%*E14</f>
        <v>129.35999999999999</v>
      </c>
    </row>
    <row r="34" spans="1:2" x14ac:dyDescent="0.15">
      <c r="A34" s="3" t="s">
        <v>1232</v>
      </c>
      <c r="B34" s="68">
        <f>B31+B32+B33</f>
        <v>628.20000000000005</v>
      </c>
    </row>
    <row r="35" spans="1:2" x14ac:dyDescent="0.15">
      <c r="B35" s="13"/>
    </row>
    <row r="36" spans="1:2" x14ac:dyDescent="0.15">
      <c r="A36" s="3" t="s">
        <v>225</v>
      </c>
      <c r="B36" s="13"/>
    </row>
    <row r="37" spans="1:2" x14ac:dyDescent="0.15">
      <c r="A37" s="3" t="s">
        <v>655</v>
      </c>
      <c r="B37" s="13"/>
    </row>
    <row r="38" spans="1:2" x14ac:dyDescent="0.15">
      <c r="A38" s="3" t="s">
        <v>1247</v>
      </c>
      <c r="B38" s="87">
        <v>15500000</v>
      </c>
    </row>
    <row r="39" spans="1:2" x14ac:dyDescent="0.15">
      <c r="A39" s="88" t="s">
        <v>1248</v>
      </c>
      <c r="B39" s="89">
        <v>20</v>
      </c>
    </row>
    <row r="40" spans="1:2" x14ac:dyDescent="0.15">
      <c r="A40" s="3" t="s">
        <v>466</v>
      </c>
      <c r="B40" s="90">
        <f>B38*B39/1000000</f>
        <v>310</v>
      </c>
    </row>
    <row r="41" spans="1:2" x14ac:dyDescent="0.15">
      <c r="B41" s="90"/>
    </row>
    <row r="42" spans="1:2" x14ac:dyDescent="0.15">
      <c r="A42" s="3" t="s">
        <v>1249</v>
      </c>
      <c r="B42" s="90"/>
    </row>
    <row r="43" spans="1:2" x14ac:dyDescent="0.15">
      <c r="A43" s="3" t="s">
        <v>1247</v>
      </c>
      <c r="B43" s="87">
        <v>3850000</v>
      </c>
    </row>
    <row r="44" spans="1:2" x14ac:dyDescent="0.15">
      <c r="A44" s="3" t="s">
        <v>1250</v>
      </c>
      <c r="B44" s="91">
        <v>36.96</v>
      </c>
    </row>
    <row r="45" spans="1:2" x14ac:dyDescent="0.15">
      <c r="B45" s="90"/>
    </row>
    <row r="46" spans="1:2" x14ac:dyDescent="0.15">
      <c r="A46" s="3" t="s">
        <v>1251</v>
      </c>
      <c r="B46" s="90"/>
    </row>
    <row r="47" spans="1:2" x14ac:dyDescent="0.15">
      <c r="A47" s="3" t="s">
        <v>1252</v>
      </c>
      <c r="B47" s="90">
        <v>160</v>
      </c>
    </row>
    <row r="48" spans="1:2" x14ac:dyDescent="0.15">
      <c r="A48" s="3" t="s">
        <v>1253</v>
      </c>
      <c r="B48" s="87">
        <v>1250000</v>
      </c>
    </row>
    <row r="49" spans="1:4" x14ac:dyDescent="0.15">
      <c r="A49" s="3" t="s">
        <v>1254</v>
      </c>
      <c r="B49" s="90">
        <v>4</v>
      </c>
      <c r="C49" s="512" t="s">
        <v>1078</v>
      </c>
      <c r="D49" s="512"/>
    </row>
    <row r="50" spans="1:4" x14ac:dyDescent="0.15">
      <c r="B50" s="90"/>
    </row>
    <row r="51" spans="1:4" x14ac:dyDescent="0.15">
      <c r="A51" s="7" t="s">
        <v>1255</v>
      </c>
      <c r="B51" s="90"/>
    </row>
    <row r="52" spans="1:4" x14ac:dyDescent="0.15">
      <c r="A52" s="3" t="s">
        <v>1257</v>
      </c>
      <c r="B52" s="90">
        <f>B40-B44</f>
        <v>273.04000000000002</v>
      </c>
    </row>
    <row r="53" spans="1:4" x14ac:dyDescent="0.15">
      <c r="A53" s="3" t="s">
        <v>1256</v>
      </c>
      <c r="B53" s="90">
        <f>80%*(E15-B47-(B40-B44))</f>
        <v>109.56799999999998</v>
      </c>
    </row>
    <row r="54" spans="1:4" x14ac:dyDescent="0.15">
      <c r="A54" s="88" t="s">
        <v>1258</v>
      </c>
      <c r="B54" s="89">
        <f>B48*B49/1000000</f>
        <v>5</v>
      </c>
    </row>
    <row r="55" spans="1:4" x14ac:dyDescent="0.15">
      <c r="A55" s="3" t="s">
        <v>1259</v>
      </c>
      <c r="B55" s="92">
        <f>SUM(B52:B54)</f>
        <v>387.608</v>
      </c>
      <c r="C55" s="29">
        <f>+B55-B32</f>
        <v>102.608</v>
      </c>
    </row>
    <row r="56" spans="1:4" x14ac:dyDescent="0.15">
      <c r="B56" s="90"/>
    </row>
    <row r="57" spans="1:4" x14ac:dyDescent="0.15">
      <c r="A57" s="7" t="s">
        <v>303</v>
      </c>
      <c r="B57" s="90"/>
    </row>
    <row r="58" spans="1:4" x14ac:dyDescent="0.15">
      <c r="A58" s="3" t="s">
        <v>1260</v>
      </c>
      <c r="B58" s="90">
        <f>B34</f>
        <v>628.20000000000005</v>
      </c>
    </row>
    <row r="59" spans="1:4" x14ac:dyDescent="0.15">
      <c r="A59" s="3" t="s">
        <v>1251</v>
      </c>
      <c r="B59" s="90">
        <f>80%*(E15-B47-B40+B44)</f>
        <v>109.56800000000001</v>
      </c>
    </row>
    <row r="60" spans="1:4" x14ac:dyDescent="0.15">
      <c r="A60" s="88" t="s">
        <v>1261</v>
      </c>
      <c r="B60" s="89">
        <f>B48*B49/1000000</f>
        <v>5</v>
      </c>
    </row>
    <row r="61" spans="1:4" x14ac:dyDescent="0.15">
      <c r="A61" s="3" t="s">
        <v>262</v>
      </c>
      <c r="B61" s="92">
        <f>B58-B59-B60</f>
        <v>513.63200000000006</v>
      </c>
    </row>
    <row r="62" spans="1:4" x14ac:dyDescent="0.15">
      <c r="B62" s="90"/>
    </row>
    <row r="63" spans="1:4" x14ac:dyDescent="0.15">
      <c r="A63" s="3" t="s">
        <v>1262</v>
      </c>
      <c r="B63" s="92">
        <f>B61/(B17+B38+B43)*1000000</f>
        <v>18.175230007077143</v>
      </c>
    </row>
    <row r="64" spans="1:4" x14ac:dyDescent="0.15">
      <c r="B64" s="92"/>
    </row>
    <row r="65" spans="1:3" s="96" customFormat="1" ht="15.75" customHeight="1" x14ac:dyDescent="0.15">
      <c r="A65" s="93" t="s">
        <v>1077</v>
      </c>
      <c r="B65" s="94">
        <f>+B63*B17/1000000</f>
        <v>161.94129936305734</v>
      </c>
      <c r="C65" s="95">
        <f>+B65-B31</f>
        <v>-51.898700636942664</v>
      </c>
    </row>
    <row r="66" spans="1:3" ht="30" x14ac:dyDescent="0.15">
      <c r="A66" s="93" t="s">
        <v>1079</v>
      </c>
      <c r="B66" s="92">
        <f>+B63*B38/1000000</f>
        <v>281.71606510969571</v>
      </c>
      <c r="C66" s="29">
        <f>+B66-B40</f>
        <v>-28.283934890304295</v>
      </c>
    </row>
    <row r="67" spans="1:3" x14ac:dyDescent="0.15">
      <c r="B67" s="92"/>
    </row>
    <row r="68" spans="1:3" x14ac:dyDescent="0.15">
      <c r="A68" s="7" t="s">
        <v>1263</v>
      </c>
      <c r="B68" s="92"/>
    </row>
    <row r="69" spans="1:3" x14ac:dyDescent="0.15">
      <c r="A69" s="3" t="s">
        <v>466</v>
      </c>
      <c r="B69" s="92">
        <f>B44+B63*B43/1000000</f>
        <v>106.934635527247</v>
      </c>
      <c r="C69" s="29">
        <f>+B69-B33</f>
        <v>-22.425364472752989</v>
      </c>
    </row>
    <row r="70" spans="1:3" x14ac:dyDescent="0.15">
      <c r="B70" s="92"/>
    </row>
    <row r="71" spans="1:3" x14ac:dyDescent="0.15">
      <c r="A71" s="3" t="s">
        <v>1264</v>
      </c>
      <c r="B71" s="92"/>
    </row>
    <row r="74" spans="1:3" ht="15" x14ac:dyDescent="0.15">
      <c r="A74" s="1" t="s">
        <v>1698</v>
      </c>
    </row>
    <row r="75" spans="1:3" x14ac:dyDescent="0.15">
      <c r="B75" s="81"/>
      <c r="C75" s="81"/>
    </row>
    <row r="76" spans="1:3" x14ac:dyDescent="0.15">
      <c r="A76" s="317" t="s">
        <v>1228</v>
      </c>
      <c r="B76" s="374" t="s">
        <v>217</v>
      </c>
      <c r="C76" s="374" t="s">
        <v>216</v>
      </c>
    </row>
    <row r="77" spans="1:3" x14ac:dyDescent="0.15">
      <c r="A77" s="3" t="s">
        <v>923</v>
      </c>
      <c r="B77" s="82">
        <v>500</v>
      </c>
      <c r="C77" s="82">
        <v>1000</v>
      </c>
    </row>
    <row r="78" spans="1:3" x14ac:dyDescent="0.15">
      <c r="A78" s="3" t="s">
        <v>1229</v>
      </c>
      <c r="B78" s="82">
        <v>-500</v>
      </c>
      <c r="C78" s="82">
        <v>-500</v>
      </c>
    </row>
    <row r="79" spans="1:3" x14ac:dyDescent="0.15">
      <c r="A79" s="3" t="s">
        <v>1230</v>
      </c>
      <c r="B79" s="82">
        <f>B77+B78</f>
        <v>0</v>
      </c>
      <c r="C79" s="82">
        <f>C77+C78</f>
        <v>500</v>
      </c>
    </row>
    <row r="80" spans="1:3" x14ac:dyDescent="0.15">
      <c r="A80" s="3" t="s">
        <v>929</v>
      </c>
      <c r="B80" s="82">
        <v>0</v>
      </c>
      <c r="C80" s="82">
        <v>300</v>
      </c>
    </row>
    <row r="81" spans="1:3" x14ac:dyDescent="0.15">
      <c r="B81" s="82"/>
      <c r="C81" s="82"/>
    </row>
    <row r="82" spans="1:3" x14ac:dyDescent="0.15">
      <c r="A82" s="3" t="s">
        <v>65</v>
      </c>
    </row>
    <row r="83" spans="1:3" x14ac:dyDescent="0.15">
      <c r="A83" s="3" t="s">
        <v>1232</v>
      </c>
      <c r="B83" s="3">
        <f>AVERAGE(B77:C77)</f>
        <v>750</v>
      </c>
    </row>
    <row r="84" spans="1:3" x14ac:dyDescent="0.15">
      <c r="A84" s="3" t="s">
        <v>1231</v>
      </c>
      <c r="B84" s="3">
        <f>-AVERAGE(B78,C78)</f>
        <v>500</v>
      </c>
    </row>
    <row r="85" spans="1:3" x14ac:dyDescent="0.15">
      <c r="A85" s="3" t="s">
        <v>262</v>
      </c>
      <c r="B85" s="3">
        <f>B83-B84</f>
        <v>250</v>
      </c>
    </row>
    <row r="87" spans="1:3" x14ac:dyDescent="0.15">
      <c r="A87" s="3" t="s">
        <v>66</v>
      </c>
    </row>
    <row r="88" spans="1:3" x14ac:dyDescent="0.15">
      <c r="A88" s="3" t="s">
        <v>1233</v>
      </c>
      <c r="B88" s="3">
        <f>AVERAGE(B80,C80)</f>
        <v>150</v>
      </c>
    </row>
    <row r="89" spans="1:3" x14ac:dyDescent="0.15">
      <c r="A89" s="3" t="s">
        <v>1234</v>
      </c>
    </row>
    <row r="90" spans="1:3" x14ac:dyDescent="0.15">
      <c r="A90" s="3" t="s">
        <v>1235</v>
      </c>
      <c r="B90" s="3">
        <f>B88+150</f>
        <v>300</v>
      </c>
    </row>
    <row r="91" spans="1:3" x14ac:dyDescent="0.15">
      <c r="A91" s="3" t="s">
        <v>1236</v>
      </c>
      <c r="B91" s="3">
        <f>B88</f>
        <v>150</v>
      </c>
    </row>
    <row r="93" spans="1:3" x14ac:dyDescent="0.15">
      <c r="A93" s="3" t="s">
        <v>225</v>
      </c>
    </row>
    <row r="94" spans="1:3" x14ac:dyDescent="0.15">
      <c r="A94" s="3" t="s">
        <v>1237</v>
      </c>
    </row>
    <row r="96" spans="1:3" x14ac:dyDescent="0.15">
      <c r="A96" s="3" t="s">
        <v>226</v>
      </c>
    </row>
    <row r="97" spans="1:1" x14ac:dyDescent="0.15">
      <c r="A97" s="3" t="s">
        <v>1238</v>
      </c>
    </row>
  </sheetData>
  <mergeCells count="1">
    <mergeCell ref="C49:D49"/>
  </mergeCells>
  <phoneticPr fontId="4" type="noConversion"/>
  <pageMargins left="0.78740157480314965" right="0.78740157480314965" top="0.98425196850393704" bottom="0.98425196850393704" header="0.51181102362204722" footer="0.51181102362204722"/>
  <pageSetup paperSize="9" orientation="portrait"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G127"/>
  <sheetViews>
    <sheetView showGridLines="0" workbookViewId="0">
      <selection activeCell="E30" sqref="E30"/>
    </sheetView>
  </sheetViews>
  <sheetFormatPr baseColWidth="10" defaultColWidth="11" defaultRowHeight="14" x14ac:dyDescent="0.15"/>
  <cols>
    <col min="1" max="1" width="37.1640625" style="3" customWidth="1"/>
    <col min="2" max="2" width="11.83203125" style="3" customWidth="1"/>
    <col min="3" max="3" width="9.1640625" style="3" customWidth="1"/>
    <col min="4" max="5" width="11" style="3"/>
    <col min="6" max="6" width="12" style="3" customWidth="1"/>
    <col min="7" max="16384" width="11" style="3"/>
  </cols>
  <sheetData>
    <row r="1" spans="1:7" ht="15" x14ac:dyDescent="0.15">
      <c r="A1" s="2"/>
    </row>
    <row r="3" spans="1:7" x14ac:dyDescent="0.15">
      <c r="A3" s="7" t="s">
        <v>1</v>
      </c>
    </row>
    <row r="5" spans="1:7" ht="150" x14ac:dyDescent="0.15">
      <c r="A5" s="66" t="s">
        <v>1593</v>
      </c>
    </row>
    <row r="6" spans="1:7" ht="87" customHeight="1" x14ac:dyDescent="0.15">
      <c r="A6" s="66" t="s">
        <v>0</v>
      </c>
    </row>
    <row r="8" spans="1:7" x14ac:dyDescent="0.15">
      <c r="A8" s="7" t="s">
        <v>2</v>
      </c>
    </row>
    <row r="10" spans="1:7" ht="75" x14ac:dyDescent="0.15">
      <c r="A10" s="66" t="s">
        <v>1594</v>
      </c>
    </row>
    <row r="12" spans="1:7" x14ac:dyDescent="0.15">
      <c r="A12" s="7" t="s">
        <v>3</v>
      </c>
    </row>
    <row r="14" spans="1:7" x14ac:dyDescent="0.15">
      <c r="A14" s="3" t="s">
        <v>4</v>
      </c>
      <c r="B14" s="3" t="s">
        <v>5</v>
      </c>
      <c r="C14" s="3">
        <v>10</v>
      </c>
      <c r="D14" s="3" t="s">
        <v>128</v>
      </c>
      <c r="E14" s="3" t="s">
        <v>6</v>
      </c>
      <c r="F14" s="3">
        <v>30</v>
      </c>
      <c r="G14" s="3" t="s">
        <v>128</v>
      </c>
    </row>
    <row r="16" spans="1:7" x14ac:dyDescent="0.15">
      <c r="C16" s="3">
        <v>98</v>
      </c>
      <c r="F16" s="3">
        <v>100</v>
      </c>
    </row>
    <row r="18" spans="1:3" x14ac:dyDescent="0.15">
      <c r="B18" s="3" t="s">
        <v>7</v>
      </c>
      <c r="C18" s="67">
        <f>(F16/C16)^(365/(F14-C14))-1</f>
        <v>0.4458529273124856</v>
      </c>
    </row>
    <row r="20" spans="1:3" x14ac:dyDescent="0.15">
      <c r="A20" s="7" t="s">
        <v>8</v>
      </c>
    </row>
    <row r="21" spans="1:3" x14ac:dyDescent="0.15">
      <c r="A21" s="7"/>
    </row>
    <row r="22" spans="1:3" x14ac:dyDescent="0.15">
      <c r="A22" s="3" t="s">
        <v>1171</v>
      </c>
      <c r="B22" s="3">
        <v>10</v>
      </c>
      <c r="C22" s="3" t="s">
        <v>10</v>
      </c>
    </row>
    <row r="23" spans="1:3" x14ac:dyDescent="0.15">
      <c r="A23" s="3" t="s">
        <v>11</v>
      </c>
      <c r="B23" s="67">
        <v>0.2</v>
      </c>
    </row>
    <row r="24" spans="1:3" x14ac:dyDescent="0.15">
      <c r="A24" s="3" t="s">
        <v>9</v>
      </c>
      <c r="B24" s="29">
        <f>B22*(1+B23)*75/365</f>
        <v>2.4657534246575343</v>
      </c>
    </row>
    <row r="25" spans="1:3" x14ac:dyDescent="0.15">
      <c r="A25" s="3" t="s">
        <v>12</v>
      </c>
      <c r="B25" s="29">
        <f>B22*(1+B23)*60/365</f>
        <v>1.9726027397260273</v>
      </c>
    </row>
    <row r="26" spans="1:3" x14ac:dyDescent="0.15">
      <c r="A26" s="3" t="s">
        <v>13</v>
      </c>
      <c r="B26" s="29">
        <f>B24-B25</f>
        <v>0.49315068493150704</v>
      </c>
    </row>
    <row r="27" spans="1:3" x14ac:dyDescent="0.15">
      <c r="A27" s="3" t="s">
        <v>1388</v>
      </c>
      <c r="B27" s="68">
        <f>B26*0.04</f>
        <v>1.9726027397260284E-2</v>
      </c>
      <c r="C27" s="3" t="s">
        <v>136</v>
      </c>
    </row>
    <row r="29" spans="1:3" x14ac:dyDescent="0.15">
      <c r="A29" s="7" t="s">
        <v>14</v>
      </c>
    </row>
    <row r="31" spans="1:3" ht="105" x14ac:dyDescent="0.15">
      <c r="A31" s="66" t="s">
        <v>15</v>
      </c>
    </row>
    <row r="34" spans="1:6" x14ac:dyDescent="0.15">
      <c r="A34" s="7" t="s">
        <v>1389</v>
      </c>
    </row>
    <row r="35" spans="1:6" x14ac:dyDescent="0.15">
      <c r="A35" s="69"/>
    </row>
    <row r="36" spans="1:6" x14ac:dyDescent="0.15">
      <c r="A36" s="69"/>
    </row>
    <row r="37" spans="1:6" ht="15" x14ac:dyDescent="0.15">
      <c r="A37" s="70" t="s">
        <v>758</v>
      </c>
      <c r="B37" s="71">
        <v>1000</v>
      </c>
    </row>
    <row r="38" spans="1:6" x14ac:dyDescent="0.15">
      <c r="A38" s="70"/>
    </row>
    <row r="39" spans="1:6" ht="15" x14ac:dyDescent="0.15">
      <c r="A39" s="70" t="s">
        <v>759</v>
      </c>
      <c r="B39" s="71">
        <v>4</v>
      </c>
    </row>
    <row r="40" spans="1:6" ht="15" x14ac:dyDescent="0.15">
      <c r="A40" s="70" t="s">
        <v>760</v>
      </c>
      <c r="B40" s="71">
        <v>3.2</v>
      </c>
    </row>
    <row r="41" spans="1:6" ht="15" x14ac:dyDescent="0.15">
      <c r="A41" s="70" t="s">
        <v>761</v>
      </c>
      <c r="B41" s="71">
        <v>1</v>
      </c>
    </row>
    <row r="42" spans="1:6" x14ac:dyDescent="0.15">
      <c r="A42" s="70"/>
    </row>
    <row r="43" spans="1:6" ht="15" x14ac:dyDescent="0.15">
      <c r="A43" s="70" t="s">
        <v>762</v>
      </c>
      <c r="B43" s="72">
        <v>0.2</v>
      </c>
    </row>
    <row r="45" spans="1:6" ht="15" x14ac:dyDescent="0.15">
      <c r="A45" s="70" t="s">
        <v>756</v>
      </c>
      <c r="B45" s="73">
        <v>0</v>
      </c>
      <c r="C45" s="5">
        <v>15</v>
      </c>
      <c r="D45" s="5">
        <v>30</v>
      </c>
      <c r="E45" s="5">
        <v>45</v>
      </c>
      <c r="F45" s="5">
        <v>60</v>
      </c>
    </row>
    <row r="46" spans="1:6" ht="15" x14ac:dyDescent="0.15">
      <c r="A46" s="70" t="s">
        <v>757</v>
      </c>
      <c r="B46" s="71">
        <v>0</v>
      </c>
      <c r="C46" s="74">
        <v>40</v>
      </c>
      <c r="D46" s="74">
        <v>60</v>
      </c>
      <c r="E46" s="74">
        <v>70</v>
      </c>
      <c r="F46" s="74">
        <v>75</v>
      </c>
    </row>
    <row r="47" spans="1:6" x14ac:dyDescent="0.15">
      <c r="A47" s="70"/>
    </row>
    <row r="48" spans="1:6" x14ac:dyDescent="0.15">
      <c r="A48" s="60" t="s">
        <v>942</v>
      </c>
    </row>
    <row r="49" spans="1:6" ht="15" x14ac:dyDescent="0.15">
      <c r="A49" s="70" t="s">
        <v>763</v>
      </c>
      <c r="B49" s="71">
        <f>$B37+B46</f>
        <v>1000</v>
      </c>
      <c r="C49" s="74">
        <f>$B37+C46</f>
        <v>1040</v>
      </c>
      <c r="D49" s="74">
        <f>$B37+D46</f>
        <v>1060</v>
      </c>
      <c r="E49" s="74">
        <f>$B37+E46</f>
        <v>1070</v>
      </c>
      <c r="F49" s="74">
        <f>$B37+F46</f>
        <v>1075</v>
      </c>
    </row>
    <row r="50" spans="1:6" ht="15" x14ac:dyDescent="0.15">
      <c r="A50" s="70" t="s">
        <v>774</v>
      </c>
      <c r="B50" s="71">
        <f>B49/$B39</f>
        <v>250</v>
      </c>
      <c r="C50" s="74">
        <f>C49/$B39</f>
        <v>260</v>
      </c>
      <c r="D50" s="74">
        <f>D49/$B39</f>
        <v>265</v>
      </c>
      <c r="E50" s="74">
        <f>E49/$B39</f>
        <v>267.5</v>
      </c>
      <c r="F50" s="74">
        <f>F49/$B39</f>
        <v>268.75</v>
      </c>
    </row>
    <row r="51" spans="1:6" ht="15" x14ac:dyDescent="0.15">
      <c r="A51" s="70" t="s">
        <v>773</v>
      </c>
      <c r="B51" s="71">
        <f>(($B40-$B41)*B50+$B41*$B50)</f>
        <v>800</v>
      </c>
      <c r="C51" s="74">
        <f>(($B40-$B41)*C50+$B41*$B50)</f>
        <v>822</v>
      </c>
      <c r="D51" s="74">
        <f>(($B40-$B41)*D50+$B41*$B50)</f>
        <v>833</v>
      </c>
      <c r="E51" s="74">
        <f>(($B40-$B41)*E50+$B41*$B50)</f>
        <v>838.5</v>
      </c>
      <c r="F51" s="74">
        <f>(($B40-$B41)*F50+$B41*$B50)</f>
        <v>841.25</v>
      </c>
    </row>
    <row r="52" spans="1:6" ht="15" x14ac:dyDescent="0.15">
      <c r="A52" s="70" t="s">
        <v>775</v>
      </c>
      <c r="B52" s="71">
        <f>B49-B51</f>
        <v>200</v>
      </c>
      <c r="C52" s="74">
        <f>C49-C51</f>
        <v>218</v>
      </c>
      <c r="D52" s="74">
        <f>D49-D51</f>
        <v>227</v>
      </c>
      <c r="E52" s="74">
        <f>E49-E51</f>
        <v>231.5</v>
      </c>
      <c r="F52" s="74">
        <f>F49-F51</f>
        <v>233.75</v>
      </c>
    </row>
    <row r="53" spans="1:6" x14ac:dyDescent="0.15">
      <c r="A53" s="3" t="s">
        <v>776</v>
      </c>
      <c r="B53" s="71">
        <f>B52-$B52</f>
        <v>0</v>
      </c>
      <c r="C53" s="74">
        <f>C52-$B52</f>
        <v>18</v>
      </c>
      <c r="D53" s="74">
        <f>D52-$B52</f>
        <v>27</v>
      </c>
      <c r="E53" s="74">
        <f>E52-$B52</f>
        <v>31.5</v>
      </c>
      <c r="F53" s="74">
        <f>F52-$B52</f>
        <v>33.75</v>
      </c>
    </row>
    <row r="54" spans="1:6" x14ac:dyDescent="0.15">
      <c r="A54" s="70"/>
      <c r="B54" s="74"/>
      <c r="C54" s="74"/>
      <c r="D54" s="74"/>
      <c r="E54" s="74"/>
      <c r="F54" s="74"/>
    </row>
    <row r="55" spans="1:6" x14ac:dyDescent="0.15">
      <c r="A55" s="3" t="s">
        <v>780</v>
      </c>
      <c r="B55" s="74"/>
      <c r="C55" s="74"/>
      <c r="D55" s="74"/>
      <c r="E55" s="74"/>
      <c r="F55" s="74"/>
    </row>
    <row r="56" spans="1:6" ht="15" x14ac:dyDescent="0.15">
      <c r="A56" s="70" t="s">
        <v>773</v>
      </c>
      <c r="B56" s="71">
        <f>-B51+$B51</f>
        <v>0</v>
      </c>
      <c r="C56" s="74">
        <f>-C51+$B51</f>
        <v>-22</v>
      </c>
      <c r="D56" s="74">
        <f>-D51+$B51</f>
        <v>-33</v>
      </c>
      <c r="E56" s="74">
        <f>-E51+$B51</f>
        <v>-38.5</v>
      </c>
      <c r="F56" s="74">
        <f>-F51+$B51</f>
        <v>-41.25</v>
      </c>
    </row>
    <row r="57" spans="1:6" ht="15" x14ac:dyDescent="0.15">
      <c r="A57" s="70" t="s">
        <v>772</v>
      </c>
      <c r="B57" s="75">
        <f>B49/(1+$B43*B45/365)-$B49</f>
        <v>0</v>
      </c>
      <c r="C57" s="75">
        <f>C49/(1+$B43*C45/365)-$B49</f>
        <v>31.521739130434753</v>
      </c>
      <c r="D57" s="74">
        <f>D49/(1+$B43*D45/3650)-$B49</f>
        <v>58.260393873085377</v>
      </c>
      <c r="E57" s="74">
        <f>E49/(1+$B43*E45/365)-$B49</f>
        <v>44.251336898395721</v>
      </c>
      <c r="F57" s="74">
        <f>F49/(1+$B43*F45/365)-$B49</f>
        <v>40.782493368700216</v>
      </c>
    </row>
    <row r="58" spans="1:6" ht="15" x14ac:dyDescent="0.15">
      <c r="A58" s="70" t="s">
        <v>871</v>
      </c>
      <c r="B58" s="74"/>
      <c r="C58" s="74"/>
      <c r="D58" s="74"/>
      <c r="E58" s="74"/>
      <c r="F58" s="74"/>
    </row>
    <row r="60" spans="1:6" ht="15" x14ac:dyDescent="0.15">
      <c r="A60" s="70" t="s">
        <v>396</v>
      </c>
      <c r="B60" s="68">
        <f>SUM(B56:B57)</f>
        <v>0</v>
      </c>
      <c r="C60" s="68">
        <f>SUM(C56:C57)</f>
        <v>9.521739130434753</v>
      </c>
      <c r="D60" s="68">
        <f>SUM(D56:D57)</f>
        <v>25.260393873085377</v>
      </c>
      <c r="E60" s="68">
        <f>SUM(E56:E57)</f>
        <v>5.7513368983957207</v>
      </c>
      <c r="F60" s="68">
        <f>SUM(F56:F57)</f>
        <v>-0.4675066312997842</v>
      </c>
    </row>
    <row r="61" spans="1:6" x14ac:dyDescent="0.15">
      <c r="A61" s="70"/>
      <c r="B61" s="68"/>
      <c r="C61" s="68"/>
      <c r="D61" s="68"/>
      <c r="E61" s="68"/>
      <c r="F61" s="68"/>
    </row>
    <row r="62" spans="1:6" x14ac:dyDescent="0.15">
      <c r="A62" s="70"/>
      <c r="B62" s="68"/>
      <c r="C62" s="68"/>
      <c r="D62" s="68"/>
      <c r="E62" s="68"/>
      <c r="F62" s="68"/>
    </row>
    <row r="80" spans="1:3" ht="15" x14ac:dyDescent="0.15">
      <c r="A80" s="76" t="s">
        <v>765</v>
      </c>
      <c r="B80" s="77">
        <f>INDEX(B45:F45,1,MATCH(MAX(B60:F60),B60:F60,0))</f>
        <v>30</v>
      </c>
      <c r="C80" s="7" t="s">
        <v>128</v>
      </c>
    </row>
    <row r="82" spans="1:6" x14ac:dyDescent="0.15">
      <c r="A82" s="60" t="s">
        <v>766</v>
      </c>
    </row>
    <row r="83" spans="1:6" ht="15" x14ac:dyDescent="0.15">
      <c r="A83" s="70" t="s">
        <v>756</v>
      </c>
      <c r="B83" s="78">
        <f>B45</f>
        <v>0</v>
      </c>
      <c r="C83" s="3">
        <f>C45</f>
        <v>15</v>
      </c>
      <c r="D83" s="3">
        <f>D45</f>
        <v>30</v>
      </c>
      <c r="E83" s="3">
        <f>E45</f>
        <v>45</v>
      </c>
      <c r="F83" s="3">
        <f>F45</f>
        <v>60</v>
      </c>
    </row>
    <row r="84" spans="1:6" ht="15" x14ac:dyDescent="0.15">
      <c r="A84" s="70" t="s">
        <v>767</v>
      </c>
      <c r="B84" s="79">
        <v>1.2E-2</v>
      </c>
      <c r="C84" s="55">
        <v>0.02</v>
      </c>
      <c r="D84" s="55">
        <v>2.5000000000000001E-2</v>
      </c>
      <c r="E84" s="55">
        <v>0.03</v>
      </c>
      <c r="F84" s="55">
        <v>0.04</v>
      </c>
    </row>
    <row r="85" spans="1:6" x14ac:dyDescent="0.15">
      <c r="A85" s="70"/>
      <c r="B85" s="79"/>
      <c r="C85" s="55"/>
      <c r="D85" s="55"/>
      <c r="E85" s="55"/>
      <c r="F85" s="55"/>
    </row>
    <row r="86" spans="1:6" ht="15" x14ac:dyDescent="0.15">
      <c r="A86" s="70" t="s">
        <v>763</v>
      </c>
      <c r="B86" s="71">
        <f>B49</f>
        <v>1000</v>
      </c>
      <c r="C86" s="74">
        <f>C49</f>
        <v>1040</v>
      </c>
      <c r="D86" s="74">
        <f>D49</f>
        <v>1060</v>
      </c>
      <c r="E86" s="74">
        <f>E49</f>
        <v>1070</v>
      </c>
      <c r="F86" s="74">
        <f>F49</f>
        <v>1075</v>
      </c>
    </row>
    <row r="87" spans="1:6" ht="15" x14ac:dyDescent="0.15">
      <c r="A87" s="70" t="s">
        <v>774</v>
      </c>
      <c r="B87" s="71">
        <f>B86/$B39</f>
        <v>250</v>
      </c>
      <c r="C87" s="74">
        <f>C86/$B39</f>
        <v>260</v>
      </c>
      <c r="D87" s="74">
        <f>D86/$B39</f>
        <v>265</v>
      </c>
      <c r="E87" s="74">
        <f>E86/$B39</f>
        <v>267.5</v>
      </c>
      <c r="F87" s="74">
        <f>F86/$B39</f>
        <v>268.75</v>
      </c>
    </row>
    <row r="88" spans="1:6" ht="15" x14ac:dyDescent="0.15">
      <c r="A88" s="70" t="s">
        <v>773</v>
      </c>
      <c r="B88" s="71">
        <f>(($B40-$B41)*B87+$B41*$B87)</f>
        <v>800</v>
      </c>
      <c r="C88" s="71">
        <f>(($B40-$B41)*C87+$B41*$B87)</f>
        <v>822</v>
      </c>
      <c r="D88" s="71">
        <f>(($B40-$B41)*D87+$B41*$B87)</f>
        <v>833</v>
      </c>
      <c r="E88" s="71">
        <f>(($B40-$B41)*E87+$B41*$B87)</f>
        <v>838.5</v>
      </c>
      <c r="F88" s="71">
        <f>(($B40-$B41)*F87+$B41*$B87)</f>
        <v>841.25</v>
      </c>
    </row>
    <row r="89" spans="1:6" ht="15" x14ac:dyDescent="0.15">
      <c r="A89" s="70" t="s">
        <v>83</v>
      </c>
      <c r="B89" s="71">
        <f>B86*B84</f>
        <v>12</v>
      </c>
      <c r="C89" s="71">
        <f>C86*C84</f>
        <v>20.8</v>
      </c>
      <c r="D89" s="71">
        <f>D86*D84</f>
        <v>26.5</v>
      </c>
      <c r="E89" s="71">
        <f>E86*E84</f>
        <v>32.1</v>
      </c>
      <c r="F89" s="71">
        <f>F86*F84</f>
        <v>43</v>
      </c>
    </row>
    <row r="90" spans="1:6" ht="15" x14ac:dyDescent="0.15">
      <c r="A90" s="70" t="s">
        <v>775</v>
      </c>
      <c r="B90" s="71">
        <f>B86-B88-B89</f>
        <v>188</v>
      </c>
      <c r="C90" s="71">
        <f>C86-C88-C89</f>
        <v>197.2</v>
      </c>
      <c r="D90" s="71">
        <f>D86-D88-D89</f>
        <v>200.5</v>
      </c>
      <c r="E90" s="71">
        <f>E86-E88-E89</f>
        <v>199.4</v>
      </c>
      <c r="F90" s="71">
        <f>F86-F88-F89</f>
        <v>190.75</v>
      </c>
    </row>
    <row r="91" spans="1:6" x14ac:dyDescent="0.15">
      <c r="A91" s="3" t="s">
        <v>776</v>
      </c>
      <c r="B91" s="71">
        <f>B90-$B90</f>
        <v>0</v>
      </c>
      <c r="C91" s="74">
        <f>C90-$B90</f>
        <v>9.1999999999999886</v>
      </c>
      <c r="D91" s="74">
        <f>D90-$B90</f>
        <v>12.5</v>
      </c>
      <c r="E91" s="74">
        <f>E90-$B90</f>
        <v>11.400000000000006</v>
      </c>
      <c r="F91" s="74">
        <f>F90-$B90</f>
        <v>2.75</v>
      </c>
    </row>
    <row r="92" spans="1:6" x14ac:dyDescent="0.15">
      <c r="A92" s="70"/>
      <c r="B92" s="74"/>
      <c r="C92" s="74"/>
      <c r="D92" s="74"/>
      <c r="E92" s="74"/>
      <c r="F92" s="74"/>
    </row>
    <row r="93" spans="1:6" x14ac:dyDescent="0.15">
      <c r="A93" s="3" t="s">
        <v>780</v>
      </c>
      <c r="B93" s="74"/>
      <c r="C93" s="74"/>
      <c r="D93" s="74"/>
      <c r="E93" s="74"/>
      <c r="F93" s="74"/>
    </row>
    <row r="94" spans="1:6" ht="15" x14ac:dyDescent="0.15">
      <c r="A94" s="70" t="s">
        <v>773</v>
      </c>
      <c r="B94" s="71">
        <f>-B88+$B88</f>
        <v>0</v>
      </c>
      <c r="C94" s="74">
        <f>-C88+$B88</f>
        <v>-22</v>
      </c>
      <c r="D94" s="74">
        <f>-D88+$B88</f>
        <v>-33</v>
      </c>
      <c r="E94" s="74">
        <f>-E88+$B88</f>
        <v>-38.5</v>
      </c>
      <c r="F94" s="74">
        <f>-F88+$B88</f>
        <v>-41.25</v>
      </c>
    </row>
    <row r="95" spans="1:6" ht="15" x14ac:dyDescent="0.15">
      <c r="A95" s="70" t="s">
        <v>772</v>
      </c>
      <c r="B95" s="71">
        <f>B86*POWER(1+$B83,-B85/360)-$B86</f>
        <v>0</v>
      </c>
      <c r="C95" s="74">
        <f>C86*(1-C84)*POWER(1+$B43,-C83/360)-$B86</f>
        <v>11.486746075638393</v>
      </c>
      <c r="D95" s="74">
        <f>D86*(1-D84)*POWER(1+$B43,-D83/360)-$B86</f>
        <v>17.916241332128493</v>
      </c>
      <c r="E95" s="74">
        <f>E86*(1-E84)*POWER(1+$B43,-E83/360)-$B86</f>
        <v>14.513560005290287</v>
      </c>
      <c r="F95" s="74">
        <f>F86*(1-F84)*POWER(1+$B43,-F83/360)-$B86</f>
        <v>1.1123591400661326</v>
      </c>
    </row>
    <row r="97" spans="1:6" ht="15" x14ac:dyDescent="0.15">
      <c r="A97" s="70" t="s">
        <v>396</v>
      </c>
      <c r="B97" s="68">
        <f>SUM(B94:B95)</f>
        <v>0</v>
      </c>
      <c r="C97" s="68">
        <f>SUM(C94:C95)</f>
        <v>-10.513253924361607</v>
      </c>
      <c r="D97" s="68">
        <f>SUM(D94:D95)</f>
        <v>-15.083758667871507</v>
      </c>
      <c r="E97" s="68">
        <f>SUM(E94:E95)</f>
        <v>-23.986439994709713</v>
      </c>
      <c r="F97" s="68">
        <f>SUM(F94:F95)</f>
        <v>-40.137640859933867</v>
      </c>
    </row>
    <row r="98" spans="1:6" x14ac:dyDescent="0.15">
      <c r="A98" s="70"/>
      <c r="B98" s="68"/>
      <c r="C98" s="68"/>
      <c r="D98" s="68"/>
      <c r="E98" s="68"/>
      <c r="F98" s="68"/>
    </row>
    <row r="116" spans="1:4" ht="15" x14ac:dyDescent="0.15">
      <c r="A116" s="76" t="s">
        <v>765</v>
      </c>
      <c r="B116" s="77">
        <f>INDEX(B83:F83,1,MATCH(MAX(B97:F97),B97:F97,0))</f>
        <v>0</v>
      </c>
      <c r="C116" s="7" t="s">
        <v>128</v>
      </c>
      <c r="D116" s="68"/>
    </row>
    <row r="119" spans="1:4" x14ac:dyDescent="0.15">
      <c r="A119" s="7" t="s">
        <v>1390</v>
      </c>
    </row>
    <row r="121" spans="1:4" x14ac:dyDescent="0.15">
      <c r="A121" s="3" t="s">
        <v>330</v>
      </c>
      <c r="B121" s="80">
        <v>0.13</v>
      </c>
    </row>
    <row r="122" spans="1:4" x14ac:dyDescent="0.15">
      <c r="A122" s="3" t="s">
        <v>1391</v>
      </c>
      <c r="B122" s="80">
        <v>0.08</v>
      </c>
    </row>
    <row r="123" spans="1:4" x14ac:dyDescent="0.15">
      <c r="A123" s="3" t="s">
        <v>202</v>
      </c>
      <c r="B123" s="80">
        <v>0.1</v>
      </c>
    </row>
    <row r="124" spans="1:4" x14ac:dyDescent="0.15">
      <c r="A124" s="3" t="s">
        <v>1392</v>
      </c>
      <c r="B124" s="80">
        <v>0.5</v>
      </c>
    </row>
    <row r="125" spans="1:4" x14ac:dyDescent="0.15">
      <c r="A125" s="3" t="s">
        <v>1393</v>
      </c>
      <c r="B125" s="80">
        <v>0.04</v>
      </c>
    </row>
    <row r="127" spans="1:4" x14ac:dyDescent="0.15">
      <c r="A127" s="3" t="s">
        <v>1394</v>
      </c>
      <c r="B127" s="67">
        <f>(B125*B121)/(B123*B124)</f>
        <v>0.10400000000000001</v>
      </c>
      <c r="C127" s="3" t="s">
        <v>1395</v>
      </c>
    </row>
  </sheetData>
  <phoneticPr fontId="4" type="noConversion"/>
  <pageMargins left="0.78740157499999996" right="0.78740157499999996" top="0.984251969" bottom="0.984251969" header="0.4921259845" footer="0.4921259845"/>
  <pageSetup paperSize="9" orientation="portrait" r:id="rId1"/>
  <headerFooter alignWithMargins="0">
    <oddFooter>&amp;L&amp;1#&amp;"Calibri"&amp;1&amp;KFFFFFFC1 - Public Natixis</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euil44"/>
  <dimension ref="A1:J68"/>
  <sheetViews>
    <sheetView showGridLines="0" workbookViewId="0">
      <selection activeCell="E30" sqref="E30"/>
    </sheetView>
  </sheetViews>
  <sheetFormatPr baseColWidth="10" defaultColWidth="11" defaultRowHeight="14" x14ac:dyDescent="0.15"/>
  <cols>
    <col min="1" max="1" width="23.83203125" style="3" bestFit="1" customWidth="1"/>
    <col min="2" max="2" width="15.83203125" style="3" bestFit="1" customWidth="1"/>
    <col min="3" max="3" width="14.1640625" style="3" bestFit="1" customWidth="1"/>
    <col min="4" max="5" width="11.1640625" style="3" bestFit="1" customWidth="1"/>
    <col min="6" max="6" width="15.83203125" style="3" bestFit="1" customWidth="1"/>
    <col min="7" max="10" width="11.1640625" style="3" bestFit="1" customWidth="1"/>
    <col min="11" max="16384" width="11" style="3"/>
  </cols>
  <sheetData>
    <row r="1" spans="1:10" ht="15" x14ac:dyDescent="0.15">
      <c r="A1" s="1" t="s">
        <v>1225</v>
      </c>
    </row>
    <row r="2" spans="1:10" s="6" customFormat="1" ht="30" x14ac:dyDescent="0.15">
      <c r="B2" s="6" t="s">
        <v>709</v>
      </c>
      <c r="C2" s="6" t="s">
        <v>710</v>
      </c>
      <c r="D2" s="6" t="s">
        <v>711</v>
      </c>
    </row>
    <row r="3" spans="1:10" x14ac:dyDescent="0.15">
      <c r="A3" s="3" t="s">
        <v>1627</v>
      </c>
      <c r="B3" s="49">
        <v>4.7500000000000001E-2</v>
      </c>
      <c r="C3" s="49">
        <v>4.8750000000000002E-2</v>
      </c>
      <c r="F3" s="50"/>
      <c r="J3" s="51">
        <f>3%+7%/8</f>
        <v>3.875E-2</v>
      </c>
    </row>
    <row r="4" spans="1:10" x14ac:dyDescent="0.15">
      <c r="A4" s="3" t="s">
        <v>1628</v>
      </c>
      <c r="B4" s="49">
        <f>(3+7/8)/100</f>
        <v>3.875E-2</v>
      </c>
      <c r="C4" s="49">
        <v>0.04</v>
      </c>
      <c r="F4" s="50"/>
    </row>
    <row r="5" spans="1:10" x14ac:dyDescent="0.15">
      <c r="A5" s="3" t="s">
        <v>1630</v>
      </c>
      <c r="B5" s="3">
        <v>1.0209999999999999</v>
      </c>
      <c r="C5" s="3">
        <v>1.022</v>
      </c>
      <c r="D5" s="3" t="s">
        <v>1629</v>
      </c>
      <c r="F5" s="50"/>
    </row>
    <row r="6" spans="1:10" x14ac:dyDescent="0.15">
      <c r="A6" s="3" t="s">
        <v>1631</v>
      </c>
      <c r="B6" s="3">
        <f>1/C5</f>
        <v>0.97847358121330719</v>
      </c>
      <c r="C6" s="3">
        <f>1/B5</f>
        <v>0.97943192948090119</v>
      </c>
      <c r="D6" s="3" t="s">
        <v>1632</v>
      </c>
      <c r="F6" s="3">
        <f>B6*(1+C3/4)/(1+B4/4)</f>
        <v>0.98089629512531773</v>
      </c>
      <c r="G6" s="3">
        <f>B6*(1+B3/4)/(1+C4/4)</f>
        <v>0.98029005444575779</v>
      </c>
      <c r="H6" s="3">
        <f>C6*(1+C3/4)/(1+B4/4)</f>
        <v>0.9818570162762732</v>
      </c>
      <c r="I6" s="3">
        <f>C6*(1+B3/4)/(1+C4/4)</f>
        <v>0.9812501818252346</v>
      </c>
    </row>
    <row r="7" spans="1:10" x14ac:dyDescent="0.15">
      <c r="F7" s="3">
        <f>B6*(1+B3/4)/(1+B4/4)</f>
        <v>0.98059345588631652</v>
      </c>
      <c r="G7" s="3">
        <f>B6*(1+C3/4)/(1+C4/4)</f>
        <v>0.98059279998449933</v>
      </c>
      <c r="H7" s="3">
        <f>C6*(1+B3/4)/(1+B4/4)</f>
        <v>0.98155388042685177</v>
      </c>
      <c r="I7" s="3">
        <f>C6*(1+C3/4)/(1+C4/4)</f>
        <v>0.98155322388262345</v>
      </c>
    </row>
    <row r="8" spans="1:10" ht="45" x14ac:dyDescent="0.15">
      <c r="A8" s="3" t="s">
        <v>1637</v>
      </c>
      <c r="B8" s="6" t="s">
        <v>1638</v>
      </c>
      <c r="C8" s="6" t="s">
        <v>1633</v>
      </c>
      <c r="D8" s="3" t="s">
        <v>1632</v>
      </c>
      <c r="F8" s="3">
        <f>B6*(1+B4/4)/(1+C3/4)</f>
        <v>0.97605685115782514</v>
      </c>
      <c r="G8" s="3">
        <f>B6*(1+C4/4)/(1+B3/4)</f>
        <v>0.97666047389790267</v>
      </c>
      <c r="H8" s="3">
        <f>C6*(1+B4/4)/(1+C3/4)</f>
        <v>0.97701283240283798</v>
      </c>
      <c r="I8" s="3">
        <f>C6*(1+C4/4)/(1+B3/4)</f>
        <v>0.97761704635030033</v>
      </c>
    </row>
    <row r="9" spans="1:10" x14ac:dyDescent="0.15">
      <c r="B9" s="6"/>
      <c r="C9" s="6"/>
      <c r="F9" s="3">
        <f>B6*(1+B4/4)/(1+B3/4)</f>
        <v>0.9763582893453352</v>
      </c>
      <c r="G9" s="3">
        <f>B6*(1+C4/4)/(1+C3/4)</f>
        <v>0.9763589424147604</v>
      </c>
      <c r="H9" s="3">
        <f>C6*(1+B4/4)/(1+B3/4)</f>
        <v>0.9773145658285336</v>
      </c>
      <c r="I9" s="3">
        <f>C6*(1+C4/4)/(1+C3/4)</f>
        <v>0.9773152195375957</v>
      </c>
    </row>
    <row r="10" spans="1:10" ht="15" x14ac:dyDescent="0.15">
      <c r="B10" s="6" t="s">
        <v>1639</v>
      </c>
      <c r="C10" s="6" t="s">
        <v>1640</v>
      </c>
      <c r="F10" s="3">
        <f>B6*(1+F4/4)/(1+F3/4)</f>
        <v>0.97847358121330719</v>
      </c>
    </row>
    <row r="11" spans="1:10" x14ac:dyDescent="0.15">
      <c r="B11" s="6">
        <f>1/(1+C4*90/360)</f>
        <v>0.99009900990099009</v>
      </c>
      <c r="C11" s="6">
        <f>1/(1+B4/4)</f>
        <v>0.99040544722995971</v>
      </c>
    </row>
    <row r="12" spans="1:10" ht="30" x14ac:dyDescent="0.15">
      <c r="B12" s="6" t="s">
        <v>1641</v>
      </c>
      <c r="C12" s="6" t="s">
        <v>1642</v>
      </c>
    </row>
    <row r="13" spans="1:10" x14ac:dyDescent="0.15">
      <c r="A13" s="3" t="s">
        <v>1643</v>
      </c>
      <c r="B13" s="6">
        <f>B6</f>
        <v>0.97847358121330719</v>
      </c>
      <c r="C13" s="6">
        <f>C6</f>
        <v>0.97943192948090119</v>
      </c>
      <c r="D13" s="3" t="s">
        <v>1632</v>
      </c>
    </row>
    <row r="14" spans="1:10" ht="30" x14ac:dyDescent="0.15">
      <c r="B14" s="6" t="s">
        <v>1634</v>
      </c>
      <c r="C14" s="6" t="s">
        <v>1635</v>
      </c>
    </row>
    <row r="15" spans="1:10" x14ac:dyDescent="0.15">
      <c r="B15" s="6">
        <f>(1+B3*90/360)</f>
        <v>1.0118750000000001</v>
      </c>
      <c r="C15" s="6">
        <f>(1+C3/4)</f>
        <v>1.0121875</v>
      </c>
    </row>
    <row r="17" spans="1:7" x14ac:dyDescent="0.15">
      <c r="A17" s="7" t="s">
        <v>1637</v>
      </c>
      <c r="B17" s="52">
        <f>B11*B13*B15</f>
        <v>0.98029005444575767</v>
      </c>
      <c r="C17" s="52">
        <f>C11*C13*C15</f>
        <v>0.98185701627627331</v>
      </c>
      <c r="D17" s="3" t="s">
        <v>1632</v>
      </c>
    </row>
    <row r="18" spans="1:7" x14ac:dyDescent="0.15">
      <c r="A18" s="7" t="s">
        <v>1636</v>
      </c>
      <c r="B18" s="53">
        <f>1/B17</f>
        <v>1.0201062384187771</v>
      </c>
      <c r="C18" s="53">
        <f>1/C17</f>
        <v>1.0184782340228464</v>
      </c>
      <c r="D18" s="3" t="s">
        <v>1629</v>
      </c>
    </row>
    <row r="22" spans="1:7" x14ac:dyDescent="0.15">
      <c r="A22" s="54" t="s">
        <v>1227</v>
      </c>
      <c r="G22" s="50"/>
    </row>
    <row r="23" spans="1:7" ht="15" x14ac:dyDescent="0.15">
      <c r="B23" s="6" t="s">
        <v>709</v>
      </c>
      <c r="C23" s="6" t="s">
        <v>710</v>
      </c>
    </row>
    <row r="24" spans="1:7" x14ac:dyDescent="0.15">
      <c r="A24" s="3" t="s">
        <v>1644</v>
      </c>
      <c r="B24" s="55">
        <v>4.4999999999999998E-2</v>
      </c>
      <c r="C24" s="56">
        <v>4.6249999999999999E-2</v>
      </c>
    </row>
    <row r="25" spans="1:7" x14ac:dyDescent="0.15">
      <c r="A25" s="3" t="s">
        <v>1645</v>
      </c>
      <c r="B25" s="3">
        <v>1.0209999999999999</v>
      </c>
      <c r="C25" s="3">
        <v>1.022</v>
      </c>
      <c r="D25" s="3" t="s">
        <v>1629</v>
      </c>
    </row>
    <row r="26" spans="1:7" x14ac:dyDescent="0.15">
      <c r="A26" s="3" t="s">
        <v>1646</v>
      </c>
      <c r="B26" s="3">
        <v>1.0149999999999999</v>
      </c>
      <c r="C26" s="3">
        <v>1.016</v>
      </c>
      <c r="D26" s="3" t="s">
        <v>1629</v>
      </c>
    </row>
    <row r="28" spans="1:7" ht="30" x14ac:dyDescent="0.15">
      <c r="B28" s="6" t="s">
        <v>1648</v>
      </c>
      <c r="C28" s="6" t="s">
        <v>1649</v>
      </c>
    </row>
    <row r="30" spans="1:7" ht="15" x14ac:dyDescent="0.15">
      <c r="B30" s="6" t="s">
        <v>1647</v>
      </c>
      <c r="C30" s="6" t="s">
        <v>1650</v>
      </c>
    </row>
    <row r="31" spans="1:7" x14ac:dyDescent="0.15">
      <c r="B31" s="55">
        <f>B24</f>
        <v>4.4999999999999998E-2</v>
      </c>
      <c r="C31" s="3">
        <f>1/B25</f>
        <v>0.97943192948090119</v>
      </c>
    </row>
    <row r="32" spans="1:7" ht="15" x14ac:dyDescent="0.15">
      <c r="B32" s="6" t="s">
        <v>1652</v>
      </c>
      <c r="C32" s="6" t="s">
        <v>1651</v>
      </c>
    </row>
    <row r="33" spans="1:8" x14ac:dyDescent="0.15">
      <c r="B33" s="6">
        <f>1/C25</f>
        <v>0.97847358121330719</v>
      </c>
      <c r="C33" s="55">
        <f>C24</f>
        <v>4.6249999999999999E-2</v>
      </c>
    </row>
    <row r="34" spans="1:8" ht="30" x14ac:dyDescent="0.15">
      <c r="B34" s="6" t="s">
        <v>1653</v>
      </c>
      <c r="C34" s="6" t="s">
        <v>1654</v>
      </c>
    </row>
    <row r="35" spans="1:8" x14ac:dyDescent="0.15">
      <c r="B35" s="3">
        <f>B26</f>
        <v>1.0149999999999999</v>
      </c>
      <c r="C35" s="3">
        <f>C26</f>
        <v>1.016</v>
      </c>
    </row>
    <row r="37" spans="1:8" x14ac:dyDescent="0.15">
      <c r="A37" s="7" t="s">
        <v>1655</v>
      </c>
      <c r="B37" s="57">
        <f>((1+B31*180/360)*B33*B35-1)*360/180</f>
        <v>3.0993150684931248E-2</v>
      </c>
      <c r="C37" s="57">
        <f>((C31*(1+C33*180/360)*C35)-1)*360/180</f>
        <v>3.6229187071498803E-2</v>
      </c>
    </row>
    <row r="39" spans="1:8" x14ac:dyDescent="0.15">
      <c r="A39" s="54" t="s">
        <v>193</v>
      </c>
    </row>
    <row r="40" spans="1:8" ht="15" x14ac:dyDescent="0.15">
      <c r="B40" s="6" t="s">
        <v>709</v>
      </c>
      <c r="C40" s="6" t="s">
        <v>710</v>
      </c>
      <c r="D40" s="3" t="s">
        <v>546</v>
      </c>
    </row>
    <row r="41" spans="1:8" ht="30" x14ac:dyDescent="0.15">
      <c r="A41" s="6" t="s">
        <v>1656</v>
      </c>
      <c r="B41" s="49">
        <v>3.7499999999999999E-2</v>
      </c>
      <c r="C41" s="49">
        <v>3.875E-2</v>
      </c>
    </row>
    <row r="42" spans="1:8" x14ac:dyDescent="0.15">
      <c r="A42" s="6"/>
      <c r="B42" s="49"/>
      <c r="C42" s="49"/>
    </row>
    <row r="43" spans="1:8" x14ac:dyDescent="0.15">
      <c r="A43" s="6"/>
      <c r="B43" s="58" t="s">
        <v>364</v>
      </c>
      <c r="C43" s="59">
        <v>0.02</v>
      </c>
    </row>
    <row r="44" spans="1:8" x14ac:dyDescent="0.15">
      <c r="B44" s="3" t="s">
        <v>395</v>
      </c>
      <c r="C44" s="3" t="s">
        <v>401</v>
      </c>
      <c r="D44" s="3" t="s">
        <v>356</v>
      </c>
      <c r="E44" s="3" t="s">
        <v>359</v>
      </c>
      <c r="F44" s="3" t="s">
        <v>513</v>
      </c>
    </row>
    <row r="45" spans="1:8" x14ac:dyDescent="0.15">
      <c r="A45" s="60" t="s">
        <v>547</v>
      </c>
      <c r="B45" s="49"/>
      <c r="D45" s="49"/>
    </row>
    <row r="46" spans="1:8" ht="15" x14ac:dyDescent="0.15">
      <c r="A46" s="6" t="s">
        <v>548</v>
      </c>
      <c r="B46" s="61">
        <v>500000000</v>
      </c>
      <c r="C46" s="3">
        <v>90</v>
      </c>
      <c r="D46" s="49">
        <f>C41</f>
        <v>3.875E-2</v>
      </c>
      <c r="E46" s="3">
        <v>90</v>
      </c>
      <c r="F46" s="61">
        <f>B46/(1+C$43*C46/360)</f>
        <v>497512437.81094533</v>
      </c>
    </row>
    <row r="47" spans="1:8" ht="15" x14ac:dyDescent="0.15">
      <c r="A47" s="6" t="s">
        <v>549</v>
      </c>
      <c r="B47" s="61">
        <f>-B46*(1+D46*E46/360)</f>
        <v>-504843750.00000006</v>
      </c>
      <c r="C47" s="3">
        <v>180</v>
      </c>
      <c r="F47" s="61">
        <f>B47/(1+C$43*C47/360)</f>
        <v>-499845297.02970302</v>
      </c>
      <c r="H47" s="3">
        <f>+(3+6/8)/100</f>
        <v>3.7499999999999999E-2</v>
      </c>
    </row>
    <row r="48" spans="1:8" x14ac:dyDescent="0.15">
      <c r="A48" s="6"/>
      <c r="B48" s="61"/>
      <c r="E48" s="7" t="s">
        <v>936</v>
      </c>
      <c r="F48" s="62">
        <f>SUM(F46:F47)</f>
        <v>-2332859.218757689</v>
      </c>
    </row>
    <row r="49" spans="1:7" x14ac:dyDescent="0.15">
      <c r="A49" s="60" t="s">
        <v>550</v>
      </c>
      <c r="B49" s="61"/>
    </row>
    <row r="50" spans="1:7" ht="30" x14ac:dyDescent="0.15">
      <c r="A50" s="6" t="s">
        <v>870</v>
      </c>
      <c r="B50" s="61">
        <f>B46/(1+D51/4)</f>
        <v>495202723.61497986</v>
      </c>
      <c r="C50" s="6">
        <v>0</v>
      </c>
      <c r="D50" s="49">
        <f>C37</f>
        <v>3.6229187071498803E-2</v>
      </c>
      <c r="E50" s="3">
        <v>180</v>
      </c>
      <c r="F50" s="61">
        <f>B50/(1+C$43*C50/360)</f>
        <v>495202723.61497986</v>
      </c>
      <c r="G50" s="6"/>
    </row>
    <row r="51" spans="1:7" x14ac:dyDescent="0.15">
      <c r="A51" s="3" t="s">
        <v>551</v>
      </c>
      <c r="B51" s="61">
        <f>-B50</f>
        <v>-495202723.61497986</v>
      </c>
      <c r="C51" s="6">
        <v>0</v>
      </c>
      <c r="D51" s="49">
        <f>B4</f>
        <v>3.875E-2</v>
      </c>
      <c r="E51" s="6">
        <v>90</v>
      </c>
      <c r="F51" s="61">
        <f>B51/(1+C$43*C51/360)</f>
        <v>-495202723.61497986</v>
      </c>
      <c r="G51" s="6"/>
    </row>
    <row r="52" spans="1:7" x14ac:dyDescent="0.15">
      <c r="A52" s="3" t="s">
        <v>553</v>
      </c>
      <c r="B52" s="61">
        <f>-B51*(1+D51*E51/360)</f>
        <v>500000000</v>
      </c>
      <c r="C52" s="3">
        <v>90</v>
      </c>
      <c r="D52" s="55"/>
      <c r="F52" s="61">
        <f>B52/(1+C$43*C52/360)</f>
        <v>497512437.81094533</v>
      </c>
    </row>
    <row r="53" spans="1:7" x14ac:dyDescent="0.15">
      <c r="A53" s="3" t="s">
        <v>554</v>
      </c>
      <c r="B53" s="61">
        <f>-B50*(1+D50*E50/360)</f>
        <v>-504173119.67106128</v>
      </c>
      <c r="C53" s="6">
        <v>180</v>
      </c>
      <c r="D53" s="6"/>
      <c r="E53" s="6"/>
      <c r="F53" s="61">
        <f>B53/(1+C$43*C53/360)</f>
        <v>-499181306.60501117</v>
      </c>
    </row>
    <row r="54" spans="1:7" x14ac:dyDescent="0.15">
      <c r="E54" s="7" t="s">
        <v>936</v>
      </c>
      <c r="F54" s="62">
        <f>SUM(F50:F53)</f>
        <v>-1668868.7940658331</v>
      </c>
    </row>
    <row r="56" spans="1:7" x14ac:dyDescent="0.15">
      <c r="A56" s="63" t="s">
        <v>555</v>
      </c>
      <c r="B56" s="64">
        <f>+B47-B53</f>
        <v>-670630.32893878222</v>
      </c>
      <c r="F56" s="62">
        <f>F54-F48</f>
        <v>663990.42469185591</v>
      </c>
    </row>
    <row r="58" spans="1:7" x14ac:dyDescent="0.15">
      <c r="A58" s="65" t="s">
        <v>1084</v>
      </c>
    </row>
    <row r="59" spans="1:7" ht="30" x14ac:dyDescent="0.15">
      <c r="A59" s="6" t="s">
        <v>870</v>
      </c>
      <c r="B59" s="61">
        <v>495202723.61497986</v>
      </c>
      <c r="C59" s="6">
        <v>0</v>
      </c>
      <c r="D59" s="49">
        <v>3.6229187071498803E-2</v>
      </c>
      <c r="E59" s="3">
        <v>180</v>
      </c>
      <c r="F59" s="61">
        <f t="shared" ref="F59:F65" si="0">B59/(1+C$43*C59/360)</f>
        <v>495202723.61497986</v>
      </c>
    </row>
    <row r="60" spans="1:7" x14ac:dyDescent="0.15">
      <c r="A60" s="3" t="s">
        <v>551</v>
      </c>
      <c r="B60" s="61">
        <v>-495202723.61497986</v>
      </c>
      <c r="C60" s="6">
        <v>0</v>
      </c>
      <c r="D60" s="49">
        <v>3.875E-2</v>
      </c>
      <c r="E60" s="6">
        <v>90</v>
      </c>
      <c r="F60" s="61">
        <f t="shared" si="0"/>
        <v>-495202723.61497986</v>
      </c>
    </row>
    <row r="61" spans="1:7" x14ac:dyDescent="0.15">
      <c r="A61" s="3" t="s">
        <v>553</v>
      </c>
      <c r="B61" s="61">
        <v>500000000</v>
      </c>
      <c r="C61" s="3">
        <v>90</v>
      </c>
      <c r="D61" s="55"/>
      <c r="F61" s="61">
        <f t="shared" si="0"/>
        <v>497512437.81094533</v>
      </c>
    </row>
    <row r="62" spans="1:7" x14ac:dyDescent="0.15">
      <c r="A62" s="3" t="s">
        <v>1080</v>
      </c>
      <c r="B62" s="61">
        <v>500000000</v>
      </c>
      <c r="C62" s="3">
        <v>90</v>
      </c>
      <c r="D62" s="49">
        <f>+B41</f>
        <v>3.7499999999999999E-2</v>
      </c>
      <c r="E62" s="6">
        <v>90</v>
      </c>
      <c r="F62" s="61">
        <f t="shared" si="0"/>
        <v>497512437.81094533</v>
      </c>
      <c r="G62" s="6"/>
    </row>
    <row r="63" spans="1:7" x14ac:dyDescent="0.15">
      <c r="A63" s="3" t="s">
        <v>1081</v>
      </c>
      <c r="B63" s="61">
        <f>B62*(1+D62*E62/360)</f>
        <v>504687499.99999994</v>
      </c>
      <c r="C63" s="3">
        <v>180</v>
      </c>
      <c r="D63" s="49"/>
      <c r="E63" s="6"/>
      <c r="F63" s="61">
        <f t="shared" si="0"/>
        <v>499690594.05940586</v>
      </c>
      <c r="G63" s="6"/>
    </row>
    <row r="64" spans="1:7" x14ac:dyDescent="0.15">
      <c r="A64" s="3" t="s">
        <v>1085</v>
      </c>
      <c r="B64" s="61">
        <f>-B59*(1+D59*E59/360)</f>
        <v>-504173119.67106128</v>
      </c>
      <c r="C64" s="3">
        <v>180</v>
      </c>
      <c r="D64" s="49"/>
      <c r="E64" s="6"/>
      <c r="F64" s="61">
        <f t="shared" si="0"/>
        <v>-499181306.60501117</v>
      </c>
      <c r="G64" s="6"/>
    </row>
    <row r="65" spans="1:7" x14ac:dyDescent="0.15">
      <c r="A65" s="7" t="s">
        <v>1083</v>
      </c>
      <c r="B65" s="62">
        <f>+B63+B64</f>
        <v>514380.32893866301</v>
      </c>
      <c r="C65" s="7">
        <v>180</v>
      </c>
      <c r="D65" s="57"/>
      <c r="E65" s="4"/>
      <c r="F65" s="62">
        <f t="shared" si="0"/>
        <v>509287.45439471584</v>
      </c>
      <c r="G65" s="6"/>
    </row>
    <row r="66" spans="1:7" x14ac:dyDescent="0.15">
      <c r="B66" s="61"/>
      <c r="D66" s="49"/>
      <c r="E66" s="6"/>
      <c r="F66" s="6"/>
      <c r="G66" s="6"/>
    </row>
    <row r="67" spans="1:7" x14ac:dyDescent="0.15">
      <c r="B67" s="61"/>
      <c r="D67" s="49"/>
      <c r="E67" s="6"/>
      <c r="F67" s="6"/>
      <c r="G67" s="6"/>
    </row>
    <row r="68" spans="1:7" x14ac:dyDescent="0.15">
      <c r="B68" s="61"/>
      <c r="D68" s="49"/>
      <c r="E68" s="6"/>
      <c r="F68" s="6"/>
    </row>
  </sheetData>
  <phoneticPr fontId="4" type="noConversion"/>
  <pageMargins left="0.78740157480314965" right="0.78740157480314965" top="0.98425196850393704" bottom="0.98425196850393704" header="0.51181102362204722" footer="0.51181102362204722"/>
  <pageSetup paperSize="9" orientation="portrait"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V132"/>
  <sheetViews>
    <sheetView showGridLines="0" workbookViewId="0">
      <selection activeCell="E30" sqref="E30"/>
    </sheetView>
  </sheetViews>
  <sheetFormatPr baseColWidth="10" defaultColWidth="10.83203125" defaultRowHeight="14" outlineLevelRow="1" x14ac:dyDescent="0.2"/>
  <cols>
    <col min="1" max="1" width="56.83203125" style="33" bestFit="1" customWidth="1"/>
    <col min="2" max="16384" width="10.83203125" style="33"/>
  </cols>
  <sheetData>
    <row r="1" spans="1:22" ht="15" x14ac:dyDescent="0.2">
      <c r="A1" s="523" t="s">
        <v>1490</v>
      </c>
      <c r="B1" s="524"/>
      <c r="C1" s="524"/>
      <c r="D1" s="524"/>
      <c r="E1" s="524"/>
      <c r="F1" s="524"/>
      <c r="G1" s="524"/>
      <c r="H1" s="524"/>
    </row>
    <row r="2" spans="1:22" x14ac:dyDescent="0.2">
      <c r="A2" s="34"/>
      <c r="B2" s="34"/>
      <c r="C2" s="34"/>
      <c r="D2" s="34"/>
      <c r="E2" s="34"/>
      <c r="F2" s="34"/>
      <c r="G2" s="34"/>
      <c r="H2" s="34"/>
    </row>
    <row r="4" spans="1:22" x14ac:dyDescent="0.2">
      <c r="A4" s="33" t="s">
        <v>1450</v>
      </c>
      <c r="H4" s="35"/>
      <c r="I4" s="35"/>
      <c r="J4" s="35"/>
      <c r="K4" s="35"/>
      <c r="L4" s="35"/>
      <c r="M4" s="35"/>
      <c r="N4" s="35"/>
      <c r="O4" s="35"/>
      <c r="P4" s="35"/>
      <c r="Q4" s="35"/>
      <c r="R4" s="35"/>
      <c r="S4" s="35"/>
      <c r="T4" s="35"/>
      <c r="U4" s="35"/>
      <c r="V4" s="35"/>
    </row>
    <row r="6" spans="1:22" x14ac:dyDescent="0.2">
      <c r="B6" s="35" t="s">
        <v>1451</v>
      </c>
      <c r="C6" s="35" t="s">
        <v>1452</v>
      </c>
      <c r="D6" s="35" t="s">
        <v>1453</v>
      </c>
      <c r="E6" s="35" t="s">
        <v>1454</v>
      </c>
      <c r="F6" s="35" t="s">
        <v>1455</v>
      </c>
      <c r="G6" s="35" t="s">
        <v>1456</v>
      </c>
      <c r="H6" s="35" t="s">
        <v>1457</v>
      </c>
      <c r="I6" s="35" t="s">
        <v>1458</v>
      </c>
      <c r="J6" s="35" t="s">
        <v>1459</v>
      </c>
      <c r="K6" s="35" t="s">
        <v>1460</v>
      </c>
      <c r="L6" s="35" t="s">
        <v>1461</v>
      </c>
      <c r="M6" s="35" t="s">
        <v>1462</v>
      </c>
      <c r="N6" s="35" t="s">
        <v>1463</v>
      </c>
      <c r="O6" s="35" t="s">
        <v>1464</v>
      </c>
      <c r="P6" s="35" t="s">
        <v>1465</v>
      </c>
      <c r="Q6" s="35" t="s">
        <v>1466</v>
      </c>
      <c r="R6" s="35" t="s">
        <v>1467</v>
      </c>
      <c r="S6" s="35" t="s">
        <v>1468</v>
      </c>
      <c r="T6" s="35" t="s">
        <v>1469</v>
      </c>
      <c r="U6" s="35" t="s">
        <v>1470</v>
      </c>
      <c r="V6" s="35" t="s">
        <v>1471</v>
      </c>
    </row>
    <row r="8" spans="1:22" x14ac:dyDescent="0.2">
      <c r="A8" s="33" t="s">
        <v>1171</v>
      </c>
      <c r="B8" s="36">
        <v>0</v>
      </c>
      <c r="C8" s="37">
        <v>3429</v>
      </c>
      <c r="D8" s="37">
        <v>5988</v>
      </c>
      <c r="E8" s="37">
        <v>6800</v>
      </c>
      <c r="F8" s="37">
        <v>7088</v>
      </c>
      <c r="G8" s="37">
        <v>7390</v>
      </c>
      <c r="H8" s="37">
        <v>7635</v>
      </c>
      <c r="I8" s="37">
        <f>H8</f>
        <v>7635</v>
      </c>
      <c r="J8" s="37">
        <f t="shared" ref="J8:V8" si="0">I8</f>
        <v>7635</v>
      </c>
      <c r="K8" s="37">
        <f t="shared" si="0"/>
        <v>7635</v>
      </c>
      <c r="L8" s="37">
        <f t="shared" si="0"/>
        <v>7635</v>
      </c>
      <c r="M8" s="37">
        <f t="shared" si="0"/>
        <v>7635</v>
      </c>
      <c r="N8" s="37">
        <f t="shared" si="0"/>
        <v>7635</v>
      </c>
      <c r="O8" s="37">
        <f t="shared" si="0"/>
        <v>7635</v>
      </c>
      <c r="P8" s="37">
        <f t="shared" si="0"/>
        <v>7635</v>
      </c>
      <c r="Q8" s="37">
        <f t="shared" si="0"/>
        <v>7635</v>
      </c>
      <c r="R8" s="37">
        <f t="shared" si="0"/>
        <v>7635</v>
      </c>
      <c r="S8" s="37">
        <f t="shared" si="0"/>
        <v>7635</v>
      </c>
      <c r="T8" s="37">
        <f t="shared" si="0"/>
        <v>7635</v>
      </c>
      <c r="U8" s="37">
        <f t="shared" si="0"/>
        <v>7635</v>
      </c>
      <c r="V8" s="37">
        <f t="shared" si="0"/>
        <v>7635</v>
      </c>
    </row>
    <row r="9" spans="1:22" x14ac:dyDescent="0.2">
      <c r="A9" s="33" t="s">
        <v>1148</v>
      </c>
      <c r="B9" s="38">
        <v>0</v>
      </c>
      <c r="C9" s="39">
        <v>-1484</v>
      </c>
      <c r="D9" s="39">
        <v>-2551</v>
      </c>
      <c r="E9" s="39">
        <v>-2912</v>
      </c>
      <c r="F9" s="39">
        <v>-3047</v>
      </c>
      <c r="G9" s="39">
        <v>-3190</v>
      </c>
      <c r="H9" s="39">
        <v>-3301</v>
      </c>
      <c r="I9" s="39">
        <f>H9</f>
        <v>-3301</v>
      </c>
      <c r="J9" s="39">
        <f t="shared" ref="J9:V9" si="1">I9</f>
        <v>-3301</v>
      </c>
      <c r="K9" s="39">
        <f t="shared" si="1"/>
        <v>-3301</v>
      </c>
      <c r="L9" s="39">
        <f t="shared" si="1"/>
        <v>-3301</v>
      </c>
      <c r="M9" s="39">
        <f t="shared" si="1"/>
        <v>-3301</v>
      </c>
      <c r="N9" s="39">
        <f t="shared" si="1"/>
        <v>-3301</v>
      </c>
      <c r="O9" s="39">
        <f t="shared" si="1"/>
        <v>-3301</v>
      </c>
      <c r="P9" s="39">
        <f t="shared" si="1"/>
        <v>-3301</v>
      </c>
      <c r="Q9" s="39">
        <f t="shared" si="1"/>
        <v>-3301</v>
      </c>
      <c r="R9" s="39">
        <f t="shared" si="1"/>
        <v>-3301</v>
      </c>
      <c r="S9" s="39">
        <f t="shared" si="1"/>
        <v>-3301</v>
      </c>
      <c r="T9" s="39">
        <f t="shared" si="1"/>
        <v>-3301</v>
      </c>
      <c r="U9" s="39">
        <f t="shared" si="1"/>
        <v>-3301</v>
      </c>
      <c r="V9" s="39">
        <f t="shared" si="1"/>
        <v>-3301</v>
      </c>
    </row>
    <row r="10" spans="1:22" x14ac:dyDescent="0.2">
      <c r="A10" s="33" t="s">
        <v>53</v>
      </c>
      <c r="B10" s="38">
        <v>0</v>
      </c>
      <c r="C10" s="39">
        <v>-667</v>
      </c>
      <c r="D10" s="39">
        <v>-887</v>
      </c>
      <c r="E10" s="39">
        <v>-913</v>
      </c>
      <c r="F10" s="39">
        <v>-941</v>
      </c>
      <c r="G10" s="39">
        <v>-969</v>
      </c>
      <c r="H10" s="39">
        <v>-988</v>
      </c>
      <c r="I10" s="39">
        <f>H10</f>
        <v>-988</v>
      </c>
      <c r="J10" s="39">
        <f t="shared" ref="J10:V10" si="2">I10</f>
        <v>-988</v>
      </c>
      <c r="K10" s="39">
        <f t="shared" si="2"/>
        <v>-988</v>
      </c>
      <c r="L10" s="39">
        <f t="shared" si="2"/>
        <v>-988</v>
      </c>
      <c r="M10" s="39">
        <f t="shared" si="2"/>
        <v>-988</v>
      </c>
      <c r="N10" s="39">
        <f t="shared" si="2"/>
        <v>-988</v>
      </c>
      <c r="O10" s="39">
        <f t="shared" si="2"/>
        <v>-988</v>
      </c>
      <c r="P10" s="39">
        <f t="shared" si="2"/>
        <v>-988</v>
      </c>
      <c r="Q10" s="39">
        <f t="shared" si="2"/>
        <v>-988</v>
      </c>
      <c r="R10" s="39">
        <f t="shared" si="2"/>
        <v>-988</v>
      </c>
      <c r="S10" s="39">
        <f t="shared" si="2"/>
        <v>-988</v>
      </c>
      <c r="T10" s="39">
        <f t="shared" si="2"/>
        <v>-988</v>
      </c>
      <c r="U10" s="39">
        <f t="shared" si="2"/>
        <v>-988</v>
      </c>
      <c r="V10" s="39">
        <f t="shared" si="2"/>
        <v>-988</v>
      </c>
    </row>
    <row r="11" spans="1:22" x14ac:dyDescent="0.2">
      <c r="A11" s="33" t="s">
        <v>1472</v>
      </c>
      <c r="B11" s="38">
        <v>0</v>
      </c>
      <c r="C11" s="39">
        <f>-1152+667+273</f>
        <v>-212</v>
      </c>
      <c r="D11" s="39">
        <v>-51</v>
      </c>
      <c r="E11" s="39">
        <v>169</v>
      </c>
      <c r="F11" s="39">
        <v>176</v>
      </c>
      <c r="G11" s="39">
        <v>181</v>
      </c>
      <c r="H11" s="39">
        <v>197</v>
      </c>
      <c r="I11" s="39">
        <f>H11</f>
        <v>197</v>
      </c>
      <c r="J11" s="39">
        <f t="shared" ref="J11:V11" si="3">I11</f>
        <v>197</v>
      </c>
      <c r="K11" s="39">
        <f t="shared" si="3"/>
        <v>197</v>
      </c>
      <c r="L11" s="39">
        <f t="shared" si="3"/>
        <v>197</v>
      </c>
      <c r="M11" s="39">
        <f t="shared" si="3"/>
        <v>197</v>
      </c>
      <c r="N11" s="39">
        <f t="shared" si="3"/>
        <v>197</v>
      </c>
      <c r="O11" s="39">
        <f t="shared" si="3"/>
        <v>197</v>
      </c>
      <c r="P11" s="39">
        <f t="shared" si="3"/>
        <v>197</v>
      </c>
      <c r="Q11" s="39">
        <f t="shared" si="3"/>
        <v>197</v>
      </c>
      <c r="R11" s="39">
        <f t="shared" si="3"/>
        <v>197</v>
      </c>
      <c r="S11" s="39">
        <f t="shared" si="3"/>
        <v>197</v>
      </c>
      <c r="T11" s="39">
        <f t="shared" si="3"/>
        <v>197</v>
      </c>
      <c r="U11" s="39">
        <f t="shared" si="3"/>
        <v>197</v>
      </c>
      <c r="V11" s="39">
        <f t="shared" si="3"/>
        <v>197</v>
      </c>
    </row>
    <row r="12" spans="1:22" x14ac:dyDescent="0.2">
      <c r="A12" s="33" t="s">
        <v>1473</v>
      </c>
      <c r="B12" s="38">
        <v>0</v>
      </c>
      <c r="C12" s="39">
        <v>0</v>
      </c>
      <c r="D12" s="39">
        <v>0</v>
      </c>
      <c r="E12" s="39">
        <v>0</v>
      </c>
      <c r="F12" s="39">
        <v>0</v>
      </c>
      <c r="G12" s="39">
        <v>0</v>
      </c>
      <c r="H12" s="39">
        <v>0</v>
      </c>
      <c r="I12" s="39">
        <f>H12</f>
        <v>0</v>
      </c>
      <c r="J12" s="39">
        <f t="shared" ref="J12:V12" si="4">I12</f>
        <v>0</v>
      </c>
      <c r="K12" s="39">
        <f t="shared" si="4"/>
        <v>0</v>
      </c>
      <c r="L12" s="39">
        <f t="shared" si="4"/>
        <v>0</v>
      </c>
      <c r="M12" s="39">
        <f t="shared" si="4"/>
        <v>0</v>
      </c>
      <c r="N12" s="39">
        <f t="shared" si="4"/>
        <v>0</v>
      </c>
      <c r="O12" s="39">
        <f t="shared" si="4"/>
        <v>0</v>
      </c>
      <c r="P12" s="39">
        <f t="shared" si="4"/>
        <v>0</v>
      </c>
      <c r="Q12" s="39">
        <f t="shared" si="4"/>
        <v>0</v>
      </c>
      <c r="R12" s="39">
        <f t="shared" si="4"/>
        <v>0</v>
      </c>
      <c r="S12" s="39">
        <f t="shared" si="4"/>
        <v>0</v>
      </c>
      <c r="T12" s="39">
        <f t="shared" si="4"/>
        <v>0</v>
      </c>
      <c r="U12" s="39">
        <f t="shared" si="4"/>
        <v>0</v>
      </c>
      <c r="V12" s="39">
        <f t="shared" si="4"/>
        <v>0</v>
      </c>
    </row>
    <row r="13" spans="1:22" x14ac:dyDescent="0.2">
      <c r="A13" s="40" t="s">
        <v>1104</v>
      </c>
      <c r="B13" s="41">
        <v>0</v>
      </c>
      <c r="C13" s="42">
        <f t="shared" ref="C13:V13" si="5">+SUM(C8:C12)</f>
        <v>1066</v>
      </c>
      <c r="D13" s="42">
        <f t="shared" si="5"/>
        <v>2499</v>
      </c>
      <c r="E13" s="42">
        <f t="shared" si="5"/>
        <v>3144</v>
      </c>
      <c r="F13" s="42">
        <f t="shared" si="5"/>
        <v>3276</v>
      </c>
      <c r="G13" s="42">
        <f t="shared" si="5"/>
        <v>3412</v>
      </c>
      <c r="H13" s="42">
        <f t="shared" si="5"/>
        <v>3543</v>
      </c>
      <c r="I13" s="42">
        <f t="shared" si="5"/>
        <v>3543</v>
      </c>
      <c r="J13" s="42">
        <f t="shared" si="5"/>
        <v>3543</v>
      </c>
      <c r="K13" s="42">
        <f t="shared" si="5"/>
        <v>3543</v>
      </c>
      <c r="L13" s="42">
        <f t="shared" si="5"/>
        <v>3543</v>
      </c>
      <c r="M13" s="42">
        <f t="shared" si="5"/>
        <v>3543</v>
      </c>
      <c r="N13" s="42">
        <f t="shared" si="5"/>
        <v>3543</v>
      </c>
      <c r="O13" s="42">
        <f t="shared" si="5"/>
        <v>3543</v>
      </c>
      <c r="P13" s="42">
        <f t="shared" si="5"/>
        <v>3543</v>
      </c>
      <c r="Q13" s="42">
        <f t="shared" si="5"/>
        <v>3543</v>
      </c>
      <c r="R13" s="42">
        <f t="shared" si="5"/>
        <v>3543</v>
      </c>
      <c r="S13" s="42">
        <f t="shared" si="5"/>
        <v>3543</v>
      </c>
      <c r="T13" s="42">
        <f t="shared" si="5"/>
        <v>3543</v>
      </c>
      <c r="U13" s="42">
        <f t="shared" si="5"/>
        <v>3543</v>
      </c>
      <c r="V13" s="42">
        <f t="shared" si="5"/>
        <v>3543</v>
      </c>
    </row>
    <row r="14" spans="1:22" outlineLevel="1" x14ac:dyDescent="0.2">
      <c r="A14" s="33" t="s">
        <v>979</v>
      </c>
      <c r="B14" s="38">
        <v>0</v>
      </c>
      <c r="C14" s="39">
        <f>-(B26-3700)/15</f>
        <v>-1000</v>
      </c>
      <c r="D14" s="39">
        <f>C14</f>
        <v>-1000</v>
      </c>
      <c r="E14" s="39">
        <f t="shared" ref="E14:V14" si="6">D14</f>
        <v>-1000</v>
      </c>
      <c r="F14" s="39">
        <f t="shared" si="6"/>
        <v>-1000</v>
      </c>
      <c r="G14" s="39">
        <f t="shared" si="6"/>
        <v>-1000</v>
      </c>
      <c r="H14" s="39">
        <f t="shared" si="6"/>
        <v>-1000</v>
      </c>
      <c r="I14" s="39">
        <f t="shared" si="6"/>
        <v>-1000</v>
      </c>
      <c r="J14" s="39">
        <f t="shared" si="6"/>
        <v>-1000</v>
      </c>
      <c r="K14" s="39">
        <f t="shared" si="6"/>
        <v>-1000</v>
      </c>
      <c r="L14" s="39">
        <f t="shared" si="6"/>
        <v>-1000</v>
      </c>
      <c r="M14" s="39">
        <f t="shared" si="6"/>
        <v>-1000</v>
      </c>
      <c r="N14" s="39">
        <f t="shared" si="6"/>
        <v>-1000</v>
      </c>
      <c r="O14" s="39">
        <f t="shared" si="6"/>
        <v>-1000</v>
      </c>
      <c r="P14" s="39">
        <f t="shared" si="6"/>
        <v>-1000</v>
      </c>
      <c r="Q14" s="39">
        <f t="shared" si="6"/>
        <v>-1000</v>
      </c>
      <c r="R14" s="39">
        <v>0</v>
      </c>
      <c r="S14" s="39">
        <f t="shared" si="6"/>
        <v>0</v>
      </c>
      <c r="T14" s="39">
        <f t="shared" si="6"/>
        <v>0</v>
      </c>
      <c r="U14" s="39">
        <f t="shared" si="6"/>
        <v>0</v>
      </c>
      <c r="V14" s="39">
        <f t="shared" si="6"/>
        <v>0</v>
      </c>
    </row>
    <row r="15" spans="1:22" outlineLevel="1" x14ac:dyDescent="0.2">
      <c r="A15" s="40" t="s">
        <v>1007</v>
      </c>
      <c r="B15" s="41">
        <v>0</v>
      </c>
      <c r="C15" s="42">
        <f t="shared" ref="C15:V15" si="7">+C13+C14</f>
        <v>66</v>
      </c>
      <c r="D15" s="42">
        <f t="shared" si="7"/>
        <v>1499</v>
      </c>
      <c r="E15" s="42">
        <f t="shared" si="7"/>
        <v>2144</v>
      </c>
      <c r="F15" s="42">
        <f t="shared" si="7"/>
        <v>2276</v>
      </c>
      <c r="G15" s="42">
        <f t="shared" si="7"/>
        <v>2412</v>
      </c>
      <c r="H15" s="42">
        <f t="shared" si="7"/>
        <v>2543</v>
      </c>
      <c r="I15" s="42">
        <f t="shared" si="7"/>
        <v>2543</v>
      </c>
      <c r="J15" s="42">
        <f t="shared" si="7"/>
        <v>2543</v>
      </c>
      <c r="K15" s="42">
        <f t="shared" si="7"/>
        <v>2543</v>
      </c>
      <c r="L15" s="42">
        <f t="shared" si="7"/>
        <v>2543</v>
      </c>
      <c r="M15" s="42">
        <f t="shared" si="7"/>
        <v>2543</v>
      </c>
      <c r="N15" s="42">
        <f t="shared" si="7"/>
        <v>2543</v>
      </c>
      <c r="O15" s="42">
        <f t="shared" si="7"/>
        <v>2543</v>
      </c>
      <c r="P15" s="42">
        <f t="shared" si="7"/>
        <v>2543</v>
      </c>
      <c r="Q15" s="42">
        <f t="shared" si="7"/>
        <v>2543</v>
      </c>
      <c r="R15" s="42">
        <f t="shared" si="7"/>
        <v>3543</v>
      </c>
      <c r="S15" s="42">
        <f t="shared" si="7"/>
        <v>3543</v>
      </c>
      <c r="T15" s="42">
        <f t="shared" si="7"/>
        <v>3543</v>
      </c>
      <c r="U15" s="42">
        <f t="shared" si="7"/>
        <v>3543</v>
      </c>
      <c r="V15" s="42">
        <f t="shared" si="7"/>
        <v>3543</v>
      </c>
    </row>
    <row r="16" spans="1:22" outlineLevel="1" x14ac:dyDescent="0.2">
      <c r="A16" s="33" t="s">
        <v>1175</v>
      </c>
      <c r="B16" s="38">
        <v>0</v>
      </c>
      <c r="C16" s="39">
        <f t="shared" ref="C16:L16" si="8">-$B$30*$B$51</f>
        <v>-467.5</v>
      </c>
      <c r="D16" s="39">
        <f t="shared" si="8"/>
        <v>-467.5</v>
      </c>
      <c r="E16" s="39">
        <f t="shared" si="8"/>
        <v>-467.5</v>
      </c>
      <c r="F16" s="39">
        <f t="shared" si="8"/>
        <v>-467.5</v>
      </c>
      <c r="G16" s="39">
        <f t="shared" si="8"/>
        <v>-467.5</v>
      </c>
      <c r="H16" s="39">
        <f t="shared" si="8"/>
        <v>-467.5</v>
      </c>
      <c r="I16" s="39">
        <f t="shared" si="8"/>
        <v>-467.5</v>
      </c>
      <c r="J16" s="39">
        <f t="shared" si="8"/>
        <v>-467.5</v>
      </c>
      <c r="K16" s="39">
        <f t="shared" si="8"/>
        <v>-467.5</v>
      </c>
      <c r="L16" s="39">
        <f t="shared" si="8"/>
        <v>-467.5</v>
      </c>
      <c r="M16" s="39">
        <v>0</v>
      </c>
      <c r="N16" s="39">
        <v>0</v>
      </c>
      <c r="O16" s="39">
        <v>0</v>
      </c>
      <c r="P16" s="39">
        <v>0</v>
      </c>
      <c r="Q16" s="39">
        <v>0</v>
      </c>
      <c r="R16" s="39">
        <v>0</v>
      </c>
      <c r="S16" s="39">
        <v>0</v>
      </c>
      <c r="T16" s="39">
        <v>0</v>
      </c>
      <c r="U16" s="39">
        <v>0</v>
      </c>
      <c r="V16" s="39">
        <v>0</v>
      </c>
    </row>
    <row r="17" spans="1:256" outlineLevel="1" x14ac:dyDescent="0.2">
      <c r="A17" s="33" t="s">
        <v>1474</v>
      </c>
      <c r="B17" s="38">
        <v>0</v>
      </c>
      <c r="C17" s="39">
        <f>+IF((C15+C16)&lt;0,0,(C15+C16)*$B$20)</f>
        <v>0</v>
      </c>
      <c r="D17" s="39">
        <f t="shared" ref="D17:V17" si="9">+IF((D15+D16)&lt;0,0,-(D15+D16)*$B$20)</f>
        <v>-257.875</v>
      </c>
      <c r="E17" s="39">
        <f t="shared" si="9"/>
        <v>-419.125</v>
      </c>
      <c r="F17" s="39">
        <f t="shared" si="9"/>
        <v>-452.125</v>
      </c>
      <c r="G17" s="39">
        <f t="shared" si="9"/>
        <v>-486.125</v>
      </c>
      <c r="H17" s="39">
        <f t="shared" si="9"/>
        <v>-518.875</v>
      </c>
      <c r="I17" s="39">
        <f t="shared" si="9"/>
        <v>-518.875</v>
      </c>
      <c r="J17" s="39">
        <f t="shared" si="9"/>
        <v>-518.875</v>
      </c>
      <c r="K17" s="39">
        <f t="shared" si="9"/>
        <v>-518.875</v>
      </c>
      <c r="L17" s="39">
        <f t="shared" si="9"/>
        <v>-518.875</v>
      </c>
      <c r="M17" s="39">
        <f t="shared" si="9"/>
        <v>-635.75</v>
      </c>
      <c r="N17" s="39">
        <f t="shared" si="9"/>
        <v>-635.75</v>
      </c>
      <c r="O17" s="39">
        <f t="shared" si="9"/>
        <v>-635.75</v>
      </c>
      <c r="P17" s="39">
        <f t="shared" si="9"/>
        <v>-635.75</v>
      </c>
      <c r="Q17" s="39">
        <f t="shared" si="9"/>
        <v>-635.75</v>
      </c>
      <c r="R17" s="39">
        <f t="shared" si="9"/>
        <v>-885.75</v>
      </c>
      <c r="S17" s="39">
        <f t="shared" si="9"/>
        <v>-885.75</v>
      </c>
      <c r="T17" s="39">
        <f t="shared" si="9"/>
        <v>-885.75</v>
      </c>
      <c r="U17" s="39">
        <f t="shared" si="9"/>
        <v>-885.75</v>
      </c>
      <c r="V17" s="39">
        <f t="shared" si="9"/>
        <v>-885.75</v>
      </c>
    </row>
    <row r="18" spans="1:256" outlineLevel="1" x14ac:dyDescent="0.2">
      <c r="A18" s="40" t="s">
        <v>1475</v>
      </c>
      <c r="B18" s="41">
        <v>0</v>
      </c>
      <c r="C18" s="42">
        <f t="shared" ref="C18:V18" si="10">+SUM(C15:C17)</f>
        <v>-401.5</v>
      </c>
      <c r="D18" s="42">
        <f t="shared" si="10"/>
        <v>773.625</v>
      </c>
      <c r="E18" s="42">
        <f t="shared" si="10"/>
        <v>1257.375</v>
      </c>
      <c r="F18" s="42">
        <f t="shared" si="10"/>
        <v>1356.375</v>
      </c>
      <c r="G18" s="42">
        <f t="shared" si="10"/>
        <v>1458.375</v>
      </c>
      <c r="H18" s="42">
        <f t="shared" si="10"/>
        <v>1556.625</v>
      </c>
      <c r="I18" s="42">
        <f t="shared" si="10"/>
        <v>1556.625</v>
      </c>
      <c r="J18" s="42">
        <f t="shared" si="10"/>
        <v>1556.625</v>
      </c>
      <c r="K18" s="42">
        <f t="shared" si="10"/>
        <v>1556.625</v>
      </c>
      <c r="L18" s="42">
        <f t="shared" si="10"/>
        <v>1556.625</v>
      </c>
      <c r="M18" s="42">
        <f t="shared" si="10"/>
        <v>1907.25</v>
      </c>
      <c r="N18" s="42">
        <f t="shared" si="10"/>
        <v>1907.25</v>
      </c>
      <c r="O18" s="42">
        <f t="shared" si="10"/>
        <v>1907.25</v>
      </c>
      <c r="P18" s="42">
        <f t="shared" si="10"/>
        <v>1907.25</v>
      </c>
      <c r="Q18" s="42">
        <f t="shared" si="10"/>
        <v>1907.25</v>
      </c>
      <c r="R18" s="42">
        <f t="shared" si="10"/>
        <v>2657.25</v>
      </c>
      <c r="S18" s="42">
        <f t="shared" si="10"/>
        <v>2657.25</v>
      </c>
      <c r="T18" s="42">
        <f t="shared" si="10"/>
        <v>2657.25</v>
      </c>
      <c r="U18" s="42">
        <f t="shared" si="10"/>
        <v>2657.25</v>
      </c>
      <c r="V18" s="42">
        <f t="shared" si="10"/>
        <v>2657.25</v>
      </c>
    </row>
    <row r="20" spans="1:256" x14ac:dyDescent="0.2">
      <c r="A20" s="33" t="s">
        <v>629</v>
      </c>
      <c r="B20" s="43">
        <v>0.25</v>
      </c>
    </row>
    <row r="24" spans="1:256" x14ac:dyDescent="0.2">
      <c r="A24" s="33" t="s">
        <v>1476</v>
      </c>
      <c r="B24" s="35" t="str">
        <f t="shared" ref="B24:V24" si="11">B6</f>
        <v>N</v>
      </c>
      <c r="C24" s="35" t="str">
        <f t="shared" si="11"/>
        <v>N+1</v>
      </c>
      <c r="D24" s="35" t="str">
        <f t="shared" si="11"/>
        <v>N+2</v>
      </c>
      <c r="E24" s="35" t="str">
        <f t="shared" si="11"/>
        <v>N+3</v>
      </c>
      <c r="F24" s="35" t="str">
        <f t="shared" si="11"/>
        <v>N+4</v>
      </c>
      <c r="G24" s="35" t="str">
        <f t="shared" si="11"/>
        <v>N+5</v>
      </c>
      <c r="H24" s="35" t="str">
        <f t="shared" si="11"/>
        <v>N+6</v>
      </c>
      <c r="I24" s="35" t="str">
        <f t="shared" si="11"/>
        <v>N+7</v>
      </c>
      <c r="J24" s="35" t="str">
        <f t="shared" si="11"/>
        <v>N+8</v>
      </c>
      <c r="K24" s="35" t="str">
        <f t="shared" si="11"/>
        <v>N+9</v>
      </c>
      <c r="L24" s="35" t="str">
        <f t="shared" si="11"/>
        <v>N+10</v>
      </c>
      <c r="M24" s="35" t="str">
        <f t="shared" si="11"/>
        <v>N+11</v>
      </c>
      <c r="N24" s="35" t="str">
        <f t="shared" si="11"/>
        <v>N+12</v>
      </c>
      <c r="O24" s="35" t="str">
        <f t="shared" si="11"/>
        <v>N+13</v>
      </c>
      <c r="P24" s="35" t="str">
        <f t="shared" si="11"/>
        <v>N+14</v>
      </c>
      <c r="Q24" s="35" t="str">
        <f t="shared" si="11"/>
        <v>N+15</v>
      </c>
      <c r="R24" s="35" t="str">
        <f t="shared" si="11"/>
        <v>N+16</v>
      </c>
      <c r="S24" s="35" t="str">
        <f t="shared" si="11"/>
        <v>N+17</v>
      </c>
      <c r="T24" s="35" t="str">
        <f t="shared" si="11"/>
        <v>N+18</v>
      </c>
      <c r="U24" s="35" t="str">
        <f t="shared" si="11"/>
        <v>N+19</v>
      </c>
      <c r="V24" s="35" t="str">
        <f t="shared" si="11"/>
        <v>N+20</v>
      </c>
    </row>
    <row r="26" spans="1:256" x14ac:dyDescent="0.2">
      <c r="A26" s="33" t="s">
        <v>1477</v>
      </c>
      <c r="B26" s="36">
        <v>18700</v>
      </c>
      <c r="C26" s="37">
        <f t="shared" ref="C26:V26" si="12">+B26+C14</f>
        <v>17700</v>
      </c>
      <c r="D26" s="37">
        <f t="shared" si="12"/>
        <v>16700</v>
      </c>
      <c r="E26" s="37">
        <f t="shared" si="12"/>
        <v>15700</v>
      </c>
      <c r="F26" s="37">
        <f t="shared" si="12"/>
        <v>14700</v>
      </c>
      <c r="G26" s="37">
        <f t="shared" si="12"/>
        <v>13700</v>
      </c>
      <c r="H26" s="37">
        <f t="shared" si="12"/>
        <v>12700</v>
      </c>
      <c r="I26" s="37">
        <f t="shared" si="12"/>
        <v>11700</v>
      </c>
      <c r="J26" s="37">
        <f t="shared" si="12"/>
        <v>10700</v>
      </c>
      <c r="K26" s="37">
        <f t="shared" si="12"/>
        <v>9700</v>
      </c>
      <c r="L26" s="37">
        <f t="shared" si="12"/>
        <v>8700</v>
      </c>
      <c r="M26" s="37">
        <f t="shared" si="12"/>
        <v>7700</v>
      </c>
      <c r="N26" s="37">
        <f t="shared" si="12"/>
        <v>6700</v>
      </c>
      <c r="O26" s="37">
        <f t="shared" si="12"/>
        <v>5700</v>
      </c>
      <c r="P26" s="37">
        <f t="shared" si="12"/>
        <v>4700</v>
      </c>
      <c r="Q26" s="37">
        <f t="shared" si="12"/>
        <v>3700</v>
      </c>
      <c r="R26" s="37">
        <f t="shared" si="12"/>
        <v>3700</v>
      </c>
      <c r="S26" s="37">
        <f t="shared" si="12"/>
        <v>3700</v>
      </c>
      <c r="T26" s="37">
        <f t="shared" si="12"/>
        <v>3700</v>
      </c>
      <c r="U26" s="37">
        <f t="shared" si="12"/>
        <v>3700</v>
      </c>
      <c r="V26" s="37">
        <f t="shared" si="12"/>
        <v>3700</v>
      </c>
    </row>
    <row r="27" spans="1:256" x14ac:dyDescent="0.2">
      <c r="A27" s="33" t="s">
        <v>1226</v>
      </c>
      <c r="B27" s="38">
        <v>0</v>
      </c>
      <c r="C27" s="39">
        <v>0</v>
      </c>
      <c r="D27" s="39">
        <v>0</v>
      </c>
      <c r="E27" s="39">
        <v>0</v>
      </c>
      <c r="F27" s="39">
        <v>0</v>
      </c>
      <c r="G27" s="39">
        <v>0</v>
      </c>
      <c r="H27" s="39">
        <v>0</v>
      </c>
      <c r="I27" s="39">
        <v>0</v>
      </c>
      <c r="J27" s="39">
        <v>0</v>
      </c>
      <c r="K27" s="39">
        <v>0</v>
      </c>
      <c r="L27" s="39">
        <v>0</v>
      </c>
      <c r="M27" s="39">
        <v>0</v>
      </c>
      <c r="N27" s="39">
        <v>0</v>
      </c>
      <c r="O27" s="39">
        <v>0</v>
      </c>
      <c r="P27" s="39">
        <v>0</v>
      </c>
      <c r="Q27" s="39">
        <v>0</v>
      </c>
      <c r="R27" s="39">
        <v>0</v>
      </c>
      <c r="S27" s="39">
        <v>0</v>
      </c>
      <c r="T27" s="39">
        <v>0</v>
      </c>
      <c r="U27" s="39">
        <v>0</v>
      </c>
      <c r="V27" s="39">
        <v>0</v>
      </c>
    </row>
    <row r="28" spans="1:256" x14ac:dyDescent="0.2">
      <c r="A28" s="40" t="s">
        <v>187</v>
      </c>
      <c r="B28" s="41">
        <f t="shared" ref="B28:V28" si="13">+B27+B26</f>
        <v>18700</v>
      </c>
      <c r="C28" s="42">
        <f t="shared" si="13"/>
        <v>17700</v>
      </c>
      <c r="D28" s="42">
        <f t="shared" si="13"/>
        <v>16700</v>
      </c>
      <c r="E28" s="42">
        <f t="shared" si="13"/>
        <v>15700</v>
      </c>
      <c r="F28" s="42">
        <f t="shared" si="13"/>
        <v>14700</v>
      </c>
      <c r="G28" s="42">
        <f t="shared" si="13"/>
        <v>13700</v>
      </c>
      <c r="H28" s="42">
        <f t="shared" si="13"/>
        <v>12700</v>
      </c>
      <c r="I28" s="42">
        <f t="shared" si="13"/>
        <v>11700</v>
      </c>
      <c r="J28" s="42">
        <f t="shared" si="13"/>
        <v>10700</v>
      </c>
      <c r="K28" s="42">
        <f t="shared" si="13"/>
        <v>9700</v>
      </c>
      <c r="L28" s="42">
        <f t="shared" si="13"/>
        <v>8700</v>
      </c>
      <c r="M28" s="42">
        <f t="shared" si="13"/>
        <v>7700</v>
      </c>
      <c r="N28" s="42">
        <f t="shared" si="13"/>
        <v>6700</v>
      </c>
      <c r="O28" s="42">
        <f t="shared" si="13"/>
        <v>5700</v>
      </c>
      <c r="P28" s="42">
        <f t="shared" si="13"/>
        <v>4700</v>
      </c>
      <c r="Q28" s="42">
        <f t="shared" si="13"/>
        <v>3700</v>
      </c>
      <c r="R28" s="42">
        <f t="shared" si="13"/>
        <v>3700</v>
      </c>
      <c r="S28" s="42">
        <f t="shared" si="13"/>
        <v>3700</v>
      </c>
      <c r="T28" s="42">
        <f t="shared" si="13"/>
        <v>3700</v>
      </c>
      <c r="U28" s="42">
        <f t="shared" si="13"/>
        <v>3700</v>
      </c>
      <c r="V28" s="42">
        <f t="shared" si="13"/>
        <v>3700</v>
      </c>
    </row>
    <row r="29" spans="1:256" x14ac:dyDescent="0.2">
      <c r="A29" s="33" t="s">
        <v>1189</v>
      </c>
      <c r="B29" s="38">
        <v>0</v>
      </c>
      <c r="C29" s="39">
        <f t="shared" ref="C29:V29" si="14">+B29+C18</f>
        <v>-401.5</v>
      </c>
      <c r="D29" s="39">
        <f t="shared" si="14"/>
        <v>372.125</v>
      </c>
      <c r="E29" s="39">
        <f t="shared" si="14"/>
        <v>1629.5</v>
      </c>
      <c r="F29" s="39">
        <f t="shared" si="14"/>
        <v>2985.875</v>
      </c>
      <c r="G29" s="39">
        <f t="shared" si="14"/>
        <v>4444.25</v>
      </c>
      <c r="H29" s="39">
        <f t="shared" si="14"/>
        <v>6000.875</v>
      </c>
      <c r="I29" s="39">
        <f t="shared" si="14"/>
        <v>7557.5</v>
      </c>
      <c r="J29" s="39">
        <f t="shared" si="14"/>
        <v>9114.125</v>
      </c>
      <c r="K29" s="39">
        <f t="shared" si="14"/>
        <v>10670.75</v>
      </c>
      <c r="L29" s="39">
        <f t="shared" si="14"/>
        <v>12227.375</v>
      </c>
      <c r="M29" s="39">
        <f t="shared" si="14"/>
        <v>14134.625</v>
      </c>
      <c r="N29" s="39">
        <f t="shared" si="14"/>
        <v>16041.875</v>
      </c>
      <c r="O29" s="39">
        <f t="shared" si="14"/>
        <v>17949.125</v>
      </c>
      <c r="P29" s="39">
        <f t="shared" si="14"/>
        <v>19856.375</v>
      </c>
      <c r="Q29" s="39">
        <f t="shared" si="14"/>
        <v>21763.625</v>
      </c>
      <c r="R29" s="39">
        <f t="shared" si="14"/>
        <v>24420.875</v>
      </c>
      <c r="S29" s="39">
        <f t="shared" si="14"/>
        <v>27078.125</v>
      </c>
      <c r="T29" s="39">
        <f t="shared" si="14"/>
        <v>29735.375</v>
      </c>
      <c r="U29" s="39">
        <f t="shared" si="14"/>
        <v>32392.625</v>
      </c>
      <c r="V29" s="39">
        <f t="shared" si="14"/>
        <v>35049.875</v>
      </c>
    </row>
    <row r="30" spans="1:256" x14ac:dyDescent="0.2">
      <c r="A30" s="33" t="s">
        <v>1478</v>
      </c>
      <c r="B30" s="38">
        <f>+B26</f>
        <v>18700</v>
      </c>
      <c r="C30" s="39">
        <f t="shared" ref="C30:V30" si="15">+B30+C46</f>
        <v>18101.5</v>
      </c>
      <c r="D30" s="39">
        <f t="shared" si="15"/>
        <v>16327.875</v>
      </c>
      <c r="E30" s="39">
        <f t="shared" si="15"/>
        <v>14070.5</v>
      </c>
      <c r="F30" s="39">
        <f t="shared" si="15"/>
        <v>11714.125</v>
      </c>
      <c r="G30" s="39">
        <f t="shared" si="15"/>
        <v>9255.75</v>
      </c>
      <c r="H30" s="39">
        <f t="shared" si="15"/>
        <v>6699.125</v>
      </c>
      <c r="I30" s="39">
        <f t="shared" si="15"/>
        <v>4142.5</v>
      </c>
      <c r="J30" s="39">
        <f t="shared" si="15"/>
        <v>1585.875</v>
      </c>
      <c r="K30" s="39">
        <f t="shared" si="15"/>
        <v>-970.75</v>
      </c>
      <c r="L30" s="39">
        <f t="shared" si="15"/>
        <v>-3527.375</v>
      </c>
      <c r="M30" s="39">
        <f t="shared" si="15"/>
        <v>-6434.625</v>
      </c>
      <c r="N30" s="39">
        <f t="shared" si="15"/>
        <v>-9341.875</v>
      </c>
      <c r="O30" s="39">
        <f t="shared" si="15"/>
        <v>-12249.125</v>
      </c>
      <c r="P30" s="39">
        <f t="shared" si="15"/>
        <v>-15156.375</v>
      </c>
      <c r="Q30" s="39">
        <f t="shared" si="15"/>
        <v>-18063.625</v>
      </c>
      <c r="R30" s="39">
        <f t="shared" si="15"/>
        <v>-20720.875</v>
      </c>
      <c r="S30" s="39">
        <f t="shared" si="15"/>
        <v>-23378.125</v>
      </c>
      <c r="T30" s="39">
        <f t="shared" si="15"/>
        <v>-26035.375</v>
      </c>
      <c r="U30" s="39">
        <f t="shared" si="15"/>
        <v>-28692.625</v>
      </c>
      <c r="V30" s="39">
        <f t="shared" si="15"/>
        <v>-31349.875</v>
      </c>
    </row>
    <row r="31" spans="1:256" x14ac:dyDescent="0.2">
      <c r="A31" s="40" t="s">
        <v>1479</v>
      </c>
      <c r="B31" s="41">
        <f t="shared" ref="B31:V31" si="16">+B30+B29</f>
        <v>18700</v>
      </c>
      <c r="C31" s="42">
        <f t="shared" si="16"/>
        <v>17700</v>
      </c>
      <c r="D31" s="42">
        <f t="shared" si="16"/>
        <v>16700</v>
      </c>
      <c r="E31" s="42">
        <f t="shared" si="16"/>
        <v>15700</v>
      </c>
      <c r="F31" s="42">
        <f t="shared" si="16"/>
        <v>14700</v>
      </c>
      <c r="G31" s="42">
        <f t="shared" si="16"/>
        <v>13700</v>
      </c>
      <c r="H31" s="42">
        <f t="shared" si="16"/>
        <v>12700</v>
      </c>
      <c r="I31" s="42">
        <f t="shared" si="16"/>
        <v>11700</v>
      </c>
      <c r="J31" s="42">
        <f t="shared" si="16"/>
        <v>10700</v>
      </c>
      <c r="K31" s="42">
        <f t="shared" si="16"/>
        <v>9700</v>
      </c>
      <c r="L31" s="42">
        <f t="shared" si="16"/>
        <v>8700</v>
      </c>
      <c r="M31" s="42">
        <f t="shared" si="16"/>
        <v>7700</v>
      </c>
      <c r="N31" s="42">
        <f t="shared" si="16"/>
        <v>6700</v>
      </c>
      <c r="O31" s="42">
        <f t="shared" si="16"/>
        <v>5700</v>
      </c>
      <c r="P31" s="42">
        <f t="shared" si="16"/>
        <v>4700</v>
      </c>
      <c r="Q31" s="42">
        <f t="shared" si="16"/>
        <v>3700</v>
      </c>
      <c r="R31" s="42">
        <f t="shared" si="16"/>
        <v>3700</v>
      </c>
      <c r="S31" s="42">
        <f t="shared" si="16"/>
        <v>3700</v>
      </c>
      <c r="T31" s="42">
        <f t="shared" si="16"/>
        <v>3700</v>
      </c>
      <c r="U31" s="42">
        <f t="shared" si="16"/>
        <v>3700</v>
      </c>
      <c r="V31" s="42">
        <f t="shared" si="16"/>
        <v>3700</v>
      </c>
      <c r="IV31" s="33">
        <f>+IV30+IV29</f>
        <v>0</v>
      </c>
    </row>
    <row r="37" spans="1:22" x14ac:dyDescent="0.2">
      <c r="A37" s="33" t="s">
        <v>1480</v>
      </c>
      <c r="B37" s="35" t="str">
        <f t="shared" ref="B37:V37" si="17">B6</f>
        <v>N</v>
      </c>
      <c r="C37" s="35" t="str">
        <f t="shared" si="17"/>
        <v>N+1</v>
      </c>
      <c r="D37" s="35" t="str">
        <f t="shared" si="17"/>
        <v>N+2</v>
      </c>
      <c r="E37" s="35" t="str">
        <f t="shared" si="17"/>
        <v>N+3</v>
      </c>
      <c r="F37" s="35" t="str">
        <f t="shared" si="17"/>
        <v>N+4</v>
      </c>
      <c r="G37" s="35" t="str">
        <f t="shared" si="17"/>
        <v>N+5</v>
      </c>
      <c r="H37" s="35" t="str">
        <f t="shared" si="17"/>
        <v>N+6</v>
      </c>
      <c r="I37" s="35" t="str">
        <f t="shared" si="17"/>
        <v>N+7</v>
      </c>
      <c r="J37" s="35" t="str">
        <f t="shared" si="17"/>
        <v>N+8</v>
      </c>
      <c r="K37" s="35" t="str">
        <f t="shared" si="17"/>
        <v>N+9</v>
      </c>
      <c r="L37" s="35" t="str">
        <f t="shared" si="17"/>
        <v>N+10</v>
      </c>
      <c r="M37" s="35" t="str">
        <f t="shared" si="17"/>
        <v>N+11</v>
      </c>
      <c r="N37" s="35" t="str">
        <f t="shared" si="17"/>
        <v>N+12</v>
      </c>
      <c r="O37" s="35" t="str">
        <f t="shared" si="17"/>
        <v>N+13</v>
      </c>
      <c r="P37" s="35" t="str">
        <f t="shared" si="17"/>
        <v>N+14</v>
      </c>
      <c r="Q37" s="35" t="str">
        <f t="shared" si="17"/>
        <v>N+15</v>
      </c>
      <c r="R37" s="35" t="str">
        <f t="shared" si="17"/>
        <v>N+16</v>
      </c>
      <c r="S37" s="35" t="str">
        <f t="shared" si="17"/>
        <v>N+17</v>
      </c>
      <c r="T37" s="35" t="str">
        <f t="shared" si="17"/>
        <v>N+18</v>
      </c>
      <c r="U37" s="35" t="str">
        <f t="shared" si="17"/>
        <v>N+19</v>
      </c>
      <c r="V37" s="35" t="str">
        <f t="shared" si="17"/>
        <v>N+20</v>
      </c>
    </row>
    <row r="39" spans="1:22" x14ac:dyDescent="0.2">
      <c r="A39" s="33" t="s">
        <v>1044</v>
      </c>
      <c r="B39" s="36">
        <v>0</v>
      </c>
      <c r="C39" s="37">
        <f t="shared" ref="C39:V39" si="18">+C18</f>
        <v>-401.5</v>
      </c>
      <c r="D39" s="37">
        <f t="shared" si="18"/>
        <v>773.625</v>
      </c>
      <c r="E39" s="37">
        <f t="shared" si="18"/>
        <v>1257.375</v>
      </c>
      <c r="F39" s="37">
        <f t="shared" si="18"/>
        <v>1356.375</v>
      </c>
      <c r="G39" s="37">
        <f t="shared" si="18"/>
        <v>1458.375</v>
      </c>
      <c r="H39" s="37">
        <f t="shared" si="18"/>
        <v>1556.625</v>
      </c>
      <c r="I39" s="37">
        <f t="shared" si="18"/>
        <v>1556.625</v>
      </c>
      <c r="J39" s="37">
        <f t="shared" si="18"/>
        <v>1556.625</v>
      </c>
      <c r="K39" s="37">
        <f t="shared" si="18"/>
        <v>1556.625</v>
      </c>
      <c r="L39" s="37">
        <f t="shared" si="18"/>
        <v>1556.625</v>
      </c>
      <c r="M39" s="37">
        <f t="shared" si="18"/>
        <v>1907.25</v>
      </c>
      <c r="N39" s="37">
        <f t="shared" si="18"/>
        <v>1907.25</v>
      </c>
      <c r="O39" s="37">
        <f t="shared" si="18"/>
        <v>1907.25</v>
      </c>
      <c r="P39" s="37">
        <f t="shared" si="18"/>
        <v>1907.25</v>
      </c>
      <c r="Q39" s="37">
        <f t="shared" si="18"/>
        <v>1907.25</v>
      </c>
      <c r="R39" s="37">
        <f t="shared" si="18"/>
        <v>2657.25</v>
      </c>
      <c r="S39" s="37">
        <f t="shared" si="18"/>
        <v>2657.25</v>
      </c>
      <c r="T39" s="37">
        <f t="shared" si="18"/>
        <v>2657.25</v>
      </c>
      <c r="U39" s="37">
        <f t="shared" si="18"/>
        <v>2657.25</v>
      </c>
      <c r="V39" s="37">
        <f t="shared" si="18"/>
        <v>2657.25</v>
      </c>
    </row>
    <row r="40" spans="1:22" x14ac:dyDescent="0.2">
      <c r="A40" s="33" t="s">
        <v>979</v>
      </c>
      <c r="B40" s="38">
        <v>0</v>
      </c>
      <c r="C40" s="39">
        <f t="shared" ref="C40:V40" si="19">-C14</f>
        <v>1000</v>
      </c>
      <c r="D40" s="39">
        <f t="shared" si="19"/>
        <v>1000</v>
      </c>
      <c r="E40" s="39">
        <f t="shared" si="19"/>
        <v>1000</v>
      </c>
      <c r="F40" s="39">
        <f t="shared" si="19"/>
        <v>1000</v>
      </c>
      <c r="G40" s="39">
        <f t="shared" si="19"/>
        <v>1000</v>
      </c>
      <c r="H40" s="39">
        <f t="shared" si="19"/>
        <v>1000</v>
      </c>
      <c r="I40" s="39">
        <f t="shared" si="19"/>
        <v>1000</v>
      </c>
      <c r="J40" s="39">
        <f t="shared" si="19"/>
        <v>1000</v>
      </c>
      <c r="K40" s="39">
        <f t="shared" si="19"/>
        <v>1000</v>
      </c>
      <c r="L40" s="39">
        <f t="shared" si="19"/>
        <v>1000</v>
      </c>
      <c r="M40" s="39">
        <f t="shared" si="19"/>
        <v>1000</v>
      </c>
      <c r="N40" s="39">
        <f t="shared" si="19"/>
        <v>1000</v>
      </c>
      <c r="O40" s="39">
        <f t="shared" si="19"/>
        <v>1000</v>
      </c>
      <c r="P40" s="39">
        <f t="shared" si="19"/>
        <v>1000</v>
      </c>
      <c r="Q40" s="39">
        <f t="shared" si="19"/>
        <v>1000</v>
      </c>
      <c r="R40" s="39">
        <f t="shared" si="19"/>
        <v>0</v>
      </c>
      <c r="S40" s="39">
        <f t="shared" si="19"/>
        <v>0</v>
      </c>
      <c r="T40" s="39">
        <f t="shared" si="19"/>
        <v>0</v>
      </c>
      <c r="U40" s="39">
        <f t="shared" si="19"/>
        <v>0</v>
      </c>
      <c r="V40" s="39">
        <f t="shared" si="19"/>
        <v>0</v>
      </c>
    </row>
    <row r="41" spans="1:22" x14ac:dyDescent="0.2">
      <c r="A41" s="40" t="s">
        <v>1158</v>
      </c>
      <c r="B41" s="41">
        <v>0</v>
      </c>
      <c r="C41" s="42">
        <f t="shared" ref="C41:V41" si="20">+C40+C39</f>
        <v>598.5</v>
      </c>
      <c r="D41" s="42">
        <f t="shared" si="20"/>
        <v>1773.625</v>
      </c>
      <c r="E41" s="42">
        <f t="shared" si="20"/>
        <v>2257.375</v>
      </c>
      <c r="F41" s="42">
        <f t="shared" si="20"/>
        <v>2356.375</v>
      </c>
      <c r="G41" s="42">
        <f t="shared" si="20"/>
        <v>2458.375</v>
      </c>
      <c r="H41" s="42">
        <f t="shared" si="20"/>
        <v>2556.625</v>
      </c>
      <c r="I41" s="42">
        <f t="shared" si="20"/>
        <v>2556.625</v>
      </c>
      <c r="J41" s="42">
        <f t="shared" si="20"/>
        <v>2556.625</v>
      </c>
      <c r="K41" s="42">
        <f t="shared" si="20"/>
        <v>2556.625</v>
      </c>
      <c r="L41" s="42">
        <f t="shared" si="20"/>
        <v>2556.625</v>
      </c>
      <c r="M41" s="42">
        <f t="shared" si="20"/>
        <v>2907.25</v>
      </c>
      <c r="N41" s="42">
        <f t="shared" si="20"/>
        <v>2907.25</v>
      </c>
      <c r="O41" s="42">
        <f t="shared" si="20"/>
        <v>2907.25</v>
      </c>
      <c r="P41" s="42">
        <f t="shared" si="20"/>
        <v>2907.25</v>
      </c>
      <c r="Q41" s="42">
        <f t="shared" si="20"/>
        <v>2907.25</v>
      </c>
      <c r="R41" s="42">
        <f t="shared" si="20"/>
        <v>2657.25</v>
      </c>
      <c r="S41" s="42">
        <f t="shared" si="20"/>
        <v>2657.25</v>
      </c>
      <c r="T41" s="42">
        <f t="shared" si="20"/>
        <v>2657.25</v>
      </c>
      <c r="U41" s="42">
        <f t="shared" si="20"/>
        <v>2657.25</v>
      </c>
      <c r="V41" s="42">
        <f t="shared" si="20"/>
        <v>2657.25</v>
      </c>
    </row>
    <row r="42" spans="1:22" x14ac:dyDescent="0.2">
      <c r="A42" s="33" t="s">
        <v>1481</v>
      </c>
      <c r="B42" s="38">
        <v>0</v>
      </c>
      <c r="C42" s="39">
        <f t="shared" ref="C42:V42" si="21">+B27-C27</f>
        <v>0</v>
      </c>
      <c r="D42" s="39">
        <f t="shared" si="21"/>
        <v>0</v>
      </c>
      <c r="E42" s="39">
        <f t="shared" si="21"/>
        <v>0</v>
      </c>
      <c r="F42" s="39">
        <f t="shared" si="21"/>
        <v>0</v>
      </c>
      <c r="G42" s="39">
        <f t="shared" si="21"/>
        <v>0</v>
      </c>
      <c r="H42" s="39">
        <f t="shared" si="21"/>
        <v>0</v>
      </c>
      <c r="I42" s="39">
        <f t="shared" si="21"/>
        <v>0</v>
      </c>
      <c r="J42" s="39">
        <f t="shared" si="21"/>
        <v>0</v>
      </c>
      <c r="K42" s="39">
        <f t="shared" si="21"/>
        <v>0</v>
      </c>
      <c r="L42" s="39">
        <f t="shared" si="21"/>
        <v>0</v>
      </c>
      <c r="M42" s="39">
        <f t="shared" si="21"/>
        <v>0</v>
      </c>
      <c r="N42" s="39">
        <f t="shared" si="21"/>
        <v>0</v>
      </c>
      <c r="O42" s="39">
        <f t="shared" si="21"/>
        <v>0</v>
      </c>
      <c r="P42" s="39">
        <f t="shared" si="21"/>
        <v>0</v>
      </c>
      <c r="Q42" s="39">
        <f t="shared" si="21"/>
        <v>0</v>
      </c>
      <c r="R42" s="39">
        <f t="shared" si="21"/>
        <v>0</v>
      </c>
      <c r="S42" s="39">
        <f t="shared" si="21"/>
        <v>0</v>
      </c>
      <c r="T42" s="39">
        <f t="shared" si="21"/>
        <v>0</v>
      </c>
      <c r="U42" s="39">
        <f t="shared" si="21"/>
        <v>0</v>
      </c>
      <c r="V42" s="39">
        <f t="shared" si="21"/>
        <v>0</v>
      </c>
    </row>
    <row r="43" spans="1:22" x14ac:dyDescent="0.2">
      <c r="A43" s="40" t="s">
        <v>1482</v>
      </c>
      <c r="B43" s="41">
        <v>0</v>
      </c>
      <c r="C43" s="42">
        <f t="shared" ref="C43:V43" si="22">+SUM(C41:C42)</f>
        <v>598.5</v>
      </c>
      <c r="D43" s="42">
        <f t="shared" si="22"/>
        <v>1773.625</v>
      </c>
      <c r="E43" s="42">
        <f t="shared" si="22"/>
        <v>2257.375</v>
      </c>
      <c r="F43" s="42">
        <f t="shared" si="22"/>
        <v>2356.375</v>
      </c>
      <c r="G43" s="42">
        <f t="shared" si="22"/>
        <v>2458.375</v>
      </c>
      <c r="H43" s="42">
        <f t="shared" si="22"/>
        <v>2556.625</v>
      </c>
      <c r="I43" s="42">
        <f t="shared" si="22"/>
        <v>2556.625</v>
      </c>
      <c r="J43" s="42">
        <f t="shared" si="22"/>
        <v>2556.625</v>
      </c>
      <c r="K43" s="42">
        <f t="shared" si="22"/>
        <v>2556.625</v>
      </c>
      <c r="L43" s="42">
        <f t="shared" si="22"/>
        <v>2556.625</v>
      </c>
      <c r="M43" s="42">
        <f t="shared" si="22"/>
        <v>2907.25</v>
      </c>
      <c r="N43" s="42">
        <f t="shared" si="22"/>
        <v>2907.25</v>
      </c>
      <c r="O43" s="42">
        <f t="shared" si="22"/>
        <v>2907.25</v>
      </c>
      <c r="P43" s="42">
        <f t="shared" si="22"/>
        <v>2907.25</v>
      </c>
      <c r="Q43" s="42">
        <f t="shared" si="22"/>
        <v>2907.25</v>
      </c>
      <c r="R43" s="42">
        <f t="shared" si="22"/>
        <v>2657.25</v>
      </c>
      <c r="S43" s="42">
        <f t="shared" si="22"/>
        <v>2657.25</v>
      </c>
      <c r="T43" s="42">
        <f t="shared" si="22"/>
        <v>2657.25</v>
      </c>
      <c r="U43" s="42">
        <f t="shared" si="22"/>
        <v>2657.25</v>
      </c>
      <c r="V43" s="42">
        <f t="shared" si="22"/>
        <v>2657.25</v>
      </c>
    </row>
    <row r="44" spans="1:22" x14ac:dyDescent="0.2">
      <c r="A44" s="33" t="s">
        <v>1483</v>
      </c>
      <c r="B44" s="38">
        <f>-B26</f>
        <v>-18700</v>
      </c>
      <c r="C44" s="39">
        <v>0</v>
      </c>
      <c r="D44" s="39">
        <v>0</v>
      </c>
      <c r="E44" s="39">
        <v>0</v>
      </c>
      <c r="F44" s="39">
        <v>0</v>
      </c>
      <c r="G44" s="39">
        <v>0</v>
      </c>
      <c r="H44" s="39">
        <v>0</v>
      </c>
      <c r="I44" s="39">
        <v>0</v>
      </c>
      <c r="J44" s="39">
        <v>0</v>
      </c>
      <c r="K44" s="39">
        <v>0</v>
      </c>
      <c r="L44" s="39">
        <v>0</v>
      </c>
      <c r="M44" s="39">
        <v>0</v>
      </c>
      <c r="N44" s="39">
        <v>0</v>
      </c>
      <c r="O44" s="39">
        <v>0</v>
      </c>
      <c r="P44" s="39">
        <v>0</v>
      </c>
      <c r="Q44" s="39">
        <v>0</v>
      </c>
      <c r="R44" s="39">
        <v>0</v>
      </c>
      <c r="S44" s="39">
        <v>0</v>
      </c>
      <c r="T44" s="39">
        <v>0</v>
      </c>
      <c r="U44" s="39">
        <v>0</v>
      </c>
      <c r="V44" s="39">
        <v>0</v>
      </c>
    </row>
    <row r="45" spans="1:22" x14ac:dyDescent="0.2">
      <c r="A45" s="40" t="s">
        <v>201</v>
      </c>
      <c r="B45" s="41">
        <f t="shared" ref="B45:V45" si="23">+B43+B44</f>
        <v>-18700</v>
      </c>
      <c r="C45" s="42">
        <f t="shared" si="23"/>
        <v>598.5</v>
      </c>
      <c r="D45" s="42">
        <f t="shared" si="23"/>
        <v>1773.625</v>
      </c>
      <c r="E45" s="42">
        <f t="shared" si="23"/>
        <v>2257.375</v>
      </c>
      <c r="F45" s="42">
        <f t="shared" si="23"/>
        <v>2356.375</v>
      </c>
      <c r="G45" s="42">
        <f t="shared" si="23"/>
        <v>2458.375</v>
      </c>
      <c r="H45" s="42">
        <f t="shared" si="23"/>
        <v>2556.625</v>
      </c>
      <c r="I45" s="42">
        <f t="shared" si="23"/>
        <v>2556.625</v>
      </c>
      <c r="J45" s="42">
        <f t="shared" si="23"/>
        <v>2556.625</v>
      </c>
      <c r="K45" s="42">
        <f t="shared" si="23"/>
        <v>2556.625</v>
      </c>
      <c r="L45" s="42">
        <f t="shared" si="23"/>
        <v>2556.625</v>
      </c>
      <c r="M45" s="42">
        <f t="shared" si="23"/>
        <v>2907.25</v>
      </c>
      <c r="N45" s="42">
        <f t="shared" si="23"/>
        <v>2907.25</v>
      </c>
      <c r="O45" s="42">
        <f t="shared" si="23"/>
        <v>2907.25</v>
      </c>
      <c r="P45" s="42">
        <f t="shared" si="23"/>
        <v>2907.25</v>
      </c>
      <c r="Q45" s="42">
        <f t="shared" si="23"/>
        <v>2907.25</v>
      </c>
      <c r="R45" s="42">
        <f t="shared" si="23"/>
        <v>2657.25</v>
      </c>
      <c r="S45" s="42">
        <f t="shared" si="23"/>
        <v>2657.25</v>
      </c>
      <c r="T45" s="42">
        <f t="shared" si="23"/>
        <v>2657.25</v>
      </c>
      <c r="U45" s="42">
        <f t="shared" si="23"/>
        <v>2657.25</v>
      </c>
      <c r="V45" s="42">
        <f t="shared" si="23"/>
        <v>2657.25</v>
      </c>
    </row>
    <row r="46" spans="1:22" ht="15" x14ac:dyDescent="0.2">
      <c r="A46" s="44" t="s">
        <v>1484</v>
      </c>
      <c r="B46" s="41">
        <f t="shared" ref="B46:V46" si="24">-B45</f>
        <v>18700</v>
      </c>
      <c r="C46" s="42">
        <f t="shared" si="24"/>
        <v>-598.5</v>
      </c>
      <c r="D46" s="42">
        <f t="shared" si="24"/>
        <v>-1773.625</v>
      </c>
      <c r="E46" s="42">
        <f t="shared" si="24"/>
        <v>-2257.375</v>
      </c>
      <c r="F46" s="42">
        <f t="shared" si="24"/>
        <v>-2356.375</v>
      </c>
      <c r="G46" s="42">
        <f t="shared" si="24"/>
        <v>-2458.375</v>
      </c>
      <c r="H46" s="42">
        <f t="shared" si="24"/>
        <v>-2556.625</v>
      </c>
      <c r="I46" s="42">
        <f t="shared" si="24"/>
        <v>-2556.625</v>
      </c>
      <c r="J46" s="42">
        <f t="shared" si="24"/>
        <v>-2556.625</v>
      </c>
      <c r="K46" s="42">
        <f t="shared" si="24"/>
        <v>-2556.625</v>
      </c>
      <c r="L46" s="42">
        <f t="shared" si="24"/>
        <v>-2556.625</v>
      </c>
      <c r="M46" s="42">
        <f t="shared" si="24"/>
        <v>-2907.25</v>
      </c>
      <c r="N46" s="42">
        <f t="shared" si="24"/>
        <v>-2907.25</v>
      </c>
      <c r="O46" s="42">
        <f t="shared" si="24"/>
        <v>-2907.25</v>
      </c>
      <c r="P46" s="42">
        <f t="shared" si="24"/>
        <v>-2907.25</v>
      </c>
      <c r="Q46" s="42">
        <f t="shared" si="24"/>
        <v>-2907.25</v>
      </c>
      <c r="R46" s="42">
        <f t="shared" si="24"/>
        <v>-2657.25</v>
      </c>
      <c r="S46" s="42">
        <f t="shared" si="24"/>
        <v>-2657.25</v>
      </c>
      <c r="T46" s="42">
        <f t="shared" si="24"/>
        <v>-2657.25</v>
      </c>
      <c r="U46" s="42">
        <f t="shared" si="24"/>
        <v>-2657.25</v>
      </c>
      <c r="V46" s="42">
        <f t="shared" si="24"/>
        <v>-2657.25</v>
      </c>
    </row>
    <row r="48" spans="1:22" ht="5.25" customHeight="1" x14ac:dyDescent="0.2">
      <c r="D48" s="45"/>
    </row>
    <row r="49" spans="1:22" ht="5.25" customHeight="1" x14ac:dyDescent="0.2"/>
    <row r="50" spans="1:22" x14ac:dyDescent="0.2">
      <c r="A50" s="33" t="s">
        <v>1485</v>
      </c>
      <c r="D50" s="45"/>
    </row>
    <row r="51" spans="1:22" x14ac:dyDescent="0.2">
      <c r="A51" s="33" t="s">
        <v>1486</v>
      </c>
      <c r="B51" s="46">
        <v>2.5000000000000001E-2</v>
      </c>
    </row>
    <row r="52" spans="1:22" x14ac:dyDescent="0.2">
      <c r="D52" s="45"/>
    </row>
    <row r="54" spans="1:22" x14ac:dyDescent="0.2">
      <c r="A54" s="33" t="s">
        <v>1487</v>
      </c>
      <c r="D54" s="45"/>
    </row>
    <row r="57" spans="1:22" x14ac:dyDescent="0.2">
      <c r="A57" s="33" t="s">
        <v>201</v>
      </c>
      <c r="B57" s="47">
        <f t="shared" ref="B57:U57" si="25">B15*(1-$B$20)+B44+B40+B42</f>
        <v>-18700</v>
      </c>
      <c r="C57" s="47">
        <f t="shared" si="25"/>
        <v>1049.5</v>
      </c>
      <c r="D57" s="47">
        <f t="shared" si="25"/>
        <v>2124.25</v>
      </c>
      <c r="E57" s="47">
        <f t="shared" si="25"/>
        <v>2608</v>
      </c>
      <c r="F57" s="47">
        <f t="shared" si="25"/>
        <v>2707</v>
      </c>
      <c r="G57" s="47">
        <f t="shared" si="25"/>
        <v>2809</v>
      </c>
      <c r="H57" s="47">
        <f t="shared" si="25"/>
        <v>2907.25</v>
      </c>
      <c r="I57" s="47">
        <f t="shared" si="25"/>
        <v>2907.25</v>
      </c>
      <c r="J57" s="47">
        <f t="shared" si="25"/>
        <v>2907.25</v>
      </c>
      <c r="K57" s="47">
        <f t="shared" si="25"/>
        <v>2907.25</v>
      </c>
      <c r="L57" s="47">
        <f t="shared" si="25"/>
        <v>2907.25</v>
      </c>
      <c r="M57" s="47">
        <f t="shared" si="25"/>
        <v>2907.25</v>
      </c>
      <c r="N57" s="47">
        <f t="shared" si="25"/>
        <v>2907.25</v>
      </c>
      <c r="O57" s="47">
        <f t="shared" si="25"/>
        <v>2907.25</v>
      </c>
      <c r="P57" s="47">
        <f t="shared" si="25"/>
        <v>2907.25</v>
      </c>
      <c r="Q57" s="47">
        <f t="shared" si="25"/>
        <v>2907.25</v>
      </c>
      <c r="R57" s="47">
        <f t="shared" si="25"/>
        <v>2657.25</v>
      </c>
      <c r="S57" s="47">
        <f t="shared" si="25"/>
        <v>2657.25</v>
      </c>
      <c r="T57" s="47">
        <f t="shared" si="25"/>
        <v>2657.25</v>
      </c>
      <c r="U57" s="47">
        <f t="shared" si="25"/>
        <v>2657.25</v>
      </c>
      <c r="V57" s="47">
        <f>V15*(1-$B$20)+V44+V40+V42+V26</f>
        <v>6357.25</v>
      </c>
    </row>
    <row r="58" spans="1:22" x14ac:dyDescent="0.2">
      <c r="A58" s="33" t="s">
        <v>598</v>
      </c>
      <c r="B58" s="48">
        <v>7.0000000000000007E-2</v>
      </c>
      <c r="D58" s="45"/>
    </row>
    <row r="59" spans="1:22" x14ac:dyDescent="0.2">
      <c r="A59" s="33" t="s">
        <v>396</v>
      </c>
      <c r="B59" s="47">
        <f>NPV(B58,B57:V57)</f>
        <v>9155.9419533374567</v>
      </c>
    </row>
    <row r="60" spans="1:22" x14ac:dyDescent="0.2">
      <c r="B60" s="48"/>
      <c r="D60" s="45"/>
    </row>
    <row r="63" spans="1:22" x14ac:dyDescent="0.2">
      <c r="A63" s="33" t="s">
        <v>1488</v>
      </c>
      <c r="B63" s="39">
        <f>B46-18700</f>
        <v>0</v>
      </c>
      <c r="C63" s="39">
        <f>-C46</f>
        <v>598.5</v>
      </c>
      <c r="D63" s="39">
        <f t="shared" ref="D63:U63" si="26">-D46</f>
        <v>1773.625</v>
      </c>
      <c r="E63" s="39">
        <f t="shared" si="26"/>
        <v>2257.375</v>
      </c>
      <c r="F63" s="39">
        <f t="shared" si="26"/>
        <v>2356.375</v>
      </c>
      <c r="G63" s="39">
        <f t="shared" si="26"/>
        <v>2458.375</v>
      </c>
      <c r="H63" s="39">
        <f t="shared" si="26"/>
        <v>2556.625</v>
      </c>
      <c r="I63" s="39">
        <f t="shared" si="26"/>
        <v>2556.625</v>
      </c>
      <c r="J63" s="39">
        <f t="shared" si="26"/>
        <v>2556.625</v>
      </c>
      <c r="K63" s="39">
        <f t="shared" si="26"/>
        <v>2556.625</v>
      </c>
      <c r="L63" s="39">
        <f t="shared" si="26"/>
        <v>2556.625</v>
      </c>
      <c r="M63" s="39">
        <f t="shared" si="26"/>
        <v>2907.25</v>
      </c>
      <c r="N63" s="39">
        <f t="shared" si="26"/>
        <v>2907.25</v>
      </c>
      <c r="O63" s="39">
        <f t="shared" si="26"/>
        <v>2907.25</v>
      </c>
      <c r="P63" s="39">
        <f t="shared" si="26"/>
        <v>2907.25</v>
      </c>
      <c r="Q63" s="39">
        <f>-Q46-18700</f>
        <v>-15792.75</v>
      </c>
      <c r="R63" s="39">
        <f t="shared" si="26"/>
        <v>2657.25</v>
      </c>
      <c r="S63" s="39">
        <f t="shared" si="26"/>
        <v>2657.25</v>
      </c>
      <c r="T63" s="39">
        <f t="shared" si="26"/>
        <v>2657.25</v>
      </c>
      <c r="U63" s="39">
        <f t="shared" si="26"/>
        <v>2657.25</v>
      </c>
      <c r="V63" s="39">
        <f>-V46+V26</f>
        <v>6357.25</v>
      </c>
    </row>
    <row r="64" spans="1:22" x14ac:dyDescent="0.2">
      <c r="A64" s="33" t="s">
        <v>598</v>
      </c>
      <c r="B64" s="48">
        <v>7.0000000000000007E-2</v>
      </c>
    </row>
    <row r="65" spans="1:22" x14ac:dyDescent="0.2">
      <c r="A65" s="33" t="s">
        <v>396</v>
      </c>
      <c r="B65" s="47">
        <f>NPV(B64,B63:V63)</f>
        <v>17909.033302574306</v>
      </c>
    </row>
    <row r="73" spans="1:22" x14ac:dyDescent="0.2">
      <c r="A73" s="524" t="s">
        <v>1489</v>
      </c>
      <c r="B73" s="524"/>
      <c r="C73" s="524"/>
      <c r="D73" s="524"/>
      <c r="E73" s="524"/>
      <c r="F73" s="524"/>
      <c r="G73" s="524"/>
      <c r="H73" s="524"/>
    </row>
    <row r="75" spans="1:22" x14ac:dyDescent="0.2">
      <c r="A75" s="525"/>
      <c r="B75" s="525"/>
      <c r="C75" s="525"/>
      <c r="D75" s="525"/>
      <c r="E75" s="525"/>
      <c r="F75" s="525"/>
      <c r="G75" s="525"/>
      <c r="H75" s="525"/>
    </row>
    <row r="77" spans="1:22" x14ac:dyDescent="0.2">
      <c r="A77" s="33" t="s">
        <v>1450</v>
      </c>
      <c r="H77" s="35"/>
      <c r="I77" s="35"/>
      <c r="J77" s="35"/>
      <c r="K77" s="35"/>
      <c r="L77" s="35"/>
      <c r="M77" s="35"/>
      <c r="N77" s="35"/>
      <c r="O77" s="35"/>
      <c r="P77" s="35"/>
      <c r="Q77" s="35"/>
      <c r="R77" s="35"/>
      <c r="S77" s="35"/>
      <c r="T77" s="35"/>
      <c r="U77" s="35"/>
      <c r="V77" s="35"/>
    </row>
    <row r="79" spans="1:22" x14ac:dyDescent="0.2">
      <c r="B79" s="35" t="s">
        <v>1451</v>
      </c>
      <c r="C79" s="35" t="s">
        <v>1452</v>
      </c>
      <c r="D79" s="35" t="s">
        <v>1453</v>
      </c>
      <c r="E79" s="35" t="s">
        <v>1454</v>
      </c>
      <c r="F79" s="35" t="s">
        <v>1455</v>
      </c>
      <c r="G79" s="35" t="s">
        <v>1456</v>
      </c>
      <c r="H79" s="35" t="s">
        <v>1457</v>
      </c>
      <c r="I79" s="35" t="s">
        <v>1458</v>
      </c>
      <c r="J79" s="35" t="s">
        <v>1459</v>
      </c>
      <c r="K79" s="35" t="s">
        <v>1460</v>
      </c>
      <c r="L79" s="35" t="s">
        <v>1461</v>
      </c>
      <c r="M79" s="35" t="s">
        <v>1462</v>
      </c>
      <c r="N79" s="35" t="s">
        <v>1463</v>
      </c>
      <c r="O79" s="35" t="s">
        <v>1464</v>
      </c>
      <c r="P79" s="35" t="s">
        <v>1465</v>
      </c>
      <c r="Q79" s="35" t="s">
        <v>1466</v>
      </c>
      <c r="R79" s="35" t="s">
        <v>1467</v>
      </c>
      <c r="S79" s="35" t="s">
        <v>1468</v>
      </c>
      <c r="T79" s="35" t="s">
        <v>1469</v>
      </c>
      <c r="U79" s="35" t="s">
        <v>1470</v>
      </c>
      <c r="V79" s="35" t="s">
        <v>1471</v>
      </c>
    </row>
    <row r="81" spans="1:22" x14ac:dyDescent="0.2">
      <c r="A81" s="33" t="s">
        <v>1171</v>
      </c>
      <c r="B81" s="36">
        <v>0</v>
      </c>
      <c r="C81" s="37">
        <v>3429</v>
      </c>
      <c r="D81" s="37">
        <v>5988</v>
      </c>
      <c r="E81" s="37">
        <v>6800</v>
      </c>
      <c r="F81" s="37">
        <v>7088</v>
      </c>
      <c r="G81" s="37">
        <v>7390</v>
      </c>
      <c r="H81" s="37">
        <v>7635</v>
      </c>
      <c r="I81" s="37">
        <f>H81</f>
        <v>7635</v>
      </c>
      <c r="J81" s="37">
        <f t="shared" ref="J81:V81" si="27">I81</f>
        <v>7635</v>
      </c>
      <c r="K81" s="37">
        <f t="shared" si="27"/>
        <v>7635</v>
      </c>
      <c r="L81" s="37">
        <f t="shared" si="27"/>
        <v>7635</v>
      </c>
      <c r="M81" s="37">
        <f t="shared" si="27"/>
        <v>7635</v>
      </c>
      <c r="N81" s="37">
        <f t="shared" si="27"/>
        <v>7635</v>
      </c>
      <c r="O81" s="37">
        <f t="shared" si="27"/>
        <v>7635</v>
      </c>
      <c r="P81" s="37">
        <f t="shared" si="27"/>
        <v>7635</v>
      </c>
      <c r="Q81" s="37">
        <f t="shared" si="27"/>
        <v>7635</v>
      </c>
      <c r="R81" s="37">
        <f t="shared" si="27"/>
        <v>7635</v>
      </c>
      <c r="S81" s="37">
        <f t="shared" si="27"/>
        <v>7635</v>
      </c>
      <c r="T81" s="37">
        <f t="shared" si="27"/>
        <v>7635</v>
      </c>
      <c r="U81" s="37">
        <f t="shared" si="27"/>
        <v>7635</v>
      </c>
      <c r="V81" s="37">
        <f t="shared" si="27"/>
        <v>7635</v>
      </c>
    </row>
    <row r="82" spans="1:22" x14ac:dyDescent="0.2">
      <c r="A82" s="33" t="s">
        <v>1148</v>
      </c>
      <c r="B82" s="38">
        <v>0</v>
      </c>
      <c r="C82" s="39">
        <v>-1484</v>
      </c>
      <c r="D82" s="39">
        <v>-2551</v>
      </c>
      <c r="E82" s="39">
        <v>-2912</v>
      </c>
      <c r="F82" s="39">
        <v>-3047</v>
      </c>
      <c r="G82" s="39">
        <v>-3190</v>
      </c>
      <c r="H82" s="39">
        <v>-3301</v>
      </c>
      <c r="I82" s="39">
        <f>H82</f>
        <v>-3301</v>
      </c>
      <c r="J82" s="39">
        <f t="shared" ref="J82:V82" si="28">I82</f>
        <v>-3301</v>
      </c>
      <c r="K82" s="39">
        <f t="shared" si="28"/>
        <v>-3301</v>
      </c>
      <c r="L82" s="39">
        <f t="shared" si="28"/>
        <v>-3301</v>
      </c>
      <c r="M82" s="39">
        <f t="shared" si="28"/>
        <v>-3301</v>
      </c>
      <c r="N82" s="39">
        <f t="shared" si="28"/>
        <v>-3301</v>
      </c>
      <c r="O82" s="39">
        <f t="shared" si="28"/>
        <v>-3301</v>
      </c>
      <c r="P82" s="39">
        <f t="shared" si="28"/>
        <v>-3301</v>
      </c>
      <c r="Q82" s="39">
        <f t="shared" si="28"/>
        <v>-3301</v>
      </c>
      <c r="R82" s="39">
        <f t="shared" si="28"/>
        <v>-3301</v>
      </c>
      <c r="S82" s="39">
        <f t="shared" si="28"/>
        <v>-3301</v>
      </c>
      <c r="T82" s="39">
        <f t="shared" si="28"/>
        <v>-3301</v>
      </c>
      <c r="U82" s="39">
        <f t="shared" si="28"/>
        <v>-3301</v>
      </c>
      <c r="V82" s="39">
        <f t="shared" si="28"/>
        <v>-3301</v>
      </c>
    </row>
    <row r="83" spans="1:22" x14ac:dyDescent="0.2">
      <c r="A83" s="33" t="s">
        <v>53</v>
      </c>
      <c r="B83" s="38">
        <v>0</v>
      </c>
      <c r="C83" s="39">
        <v>-667</v>
      </c>
      <c r="D83" s="39">
        <v>-887</v>
      </c>
      <c r="E83" s="39">
        <v>-913</v>
      </c>
      <c r="F83" s="39">
        <v>-941</v>
      </c>
      <c r="G83" s="39">
        <v>-969</v>
      </c>
      <c r="H83" s="39">
        <v>-988</v>
      </c>
      <c r="I83" s="39">
        <f>H83</f>
        <v>-988</v>
      </c>
      <c r="J83" s="39">
        <f t="shared" ref="J83:V83" si="29">I83</f>
        <v>-988</v>
      </c>
      <c r="K83" s="39">
        <f t="shared" si="29"/>
        <v>-988</v>
      </c>
      <c r="L83" s="39">
        <f t="shared" si="29"/>
        <v>-988</v>
      </c>
      <c r="M83" s="39">
        <f t="shared" si="29"/>
        <v>-988</v>
      </c>
      <c r="N83" s="39">
        <f t="shared" si="29"/>
        <v>-988</v>
      </c>
      <c r="O83" s="39">
        <f t="shared" si="29"/>
        <v>-988</v>
      </c>
      <c r="P83" s="39">
        <f t="shared" si="29"/>
        <v>-988</v>
      </c>
      <c r="Q83" s="39">
        <f t="shared" si="29"/>
        <v>-988</v>
      </c>
      <c r="R83" s="39">
        <f t="shared" si="29"/>
        <v>-988</v>
      </c>
      <c r="S83" s="39">
        <f t="shared" si="29"/>
        <v>-988</v>
      </c>
      <c r="T83" s="39">
        <f t="shared" si="29"/>
        <v>-988</v>
      </c>
      <c r="U83" s="39">
        <f t="shared" si="29"/>
        <v>-988</v>
      </c>
      <c r="V83" s="39">
        <f t="shared" si="29"/>
        <v>-988</v>
      </c>
    </row>
    <row r="84" spans="1:22" x14ac:dyDescent="0.2">
      <c r="A84" s="33" t="s">
        <v>1472</v>
      </c>
      <c r="B84" s="38">
        <v>0</v>
      </c>
      <c r="C84" s="39">
        <f>-1152+667+273</f>
        <v>-212</v>
      </c>
      <c r="D84" s="39">
        <v>-51</v>
      </c>
      <c r="E84" s="39">
        <v>169</v>
      </c>
      <c r="F84" s="39">
        <v>176</v>
      </c>
      <c r="G84" s="39">
        <v>181</v>
      </c>
      <c r="H84" s="39">
        <v>197</v>
      </c>
      <c r="I84" s="39">
        <f>H84</f>
        <v>197</v>
      </c>
      <c r="J84" s="39">
        <f t="shared" ref="J84:V84" si="30">I84</f>
        <v>197</v>
      </c>
      <c r="K84" s="39">
        <f t="shared" si="30"/>
        <v>197</v>
      </c>
      <c r="L84" s="39">
        <f t="shared" si="30"/>
        <v>197</v>
      </c>
      <c r="M84" s="39">
        <f t="shared" si="30"/>
        <v>197</v>
      </c>
      <c r="N84" s="39">
        <f t="shared" si="30"/>
        <v>197</v>
      </c>
      <c r="O84" s="39">
        <f t="shared" si="30"/>
        <v>197</v>
      </c>
      <c r="P84" s="39">
        <f t="shared" si="30"/>
        <v>197</v>
      </c>
      <c r="Q84" s="39">
        <f t="shared" si="30"/>
        <v>197</v>
      </c>
      <c r="R84" s="39">
        <f t="shared" si="30"/>
        <v>197</v>
      </c>
      <c r="S84" s="39">
        <f t="shared" si="30"/>
        <v>197</v>
      </c>
      <c r="T84" s="39">
        <f t="shared" si="30"/>
        <v>197</v>
      </c>
      <c r="U84" s="39">
        <f t="shared" si="30"/>
        <v>197</v>
      </c>
      <c r="V84" s="39">
        <f t="shared" si="30"/>
        <v>197</v>
      </c>
    </row>
    <row r="85" spans="1:22" x14ac:dyDescent="0.2">
      <c r="A85" s="33" t="s">
        <v>1473</v>
      </c>
      <c r="B85" s="38">
        <v>0</v>
      </c>
      <c r="C85" s="39">
        <v>-1350</v>
      </c>
      <c r="D85" s="39">
        <v>-1350</v>
      </c>
      <c r="E85" s="39">
        <v>-1350</v>
      </c>
      <c r="F85" s="39">
        <v>-1350</v>
      </c>
      <c r="G85" s="39">
        <v>-1350</v>
      </c>
      <c r="H85" s="39">
        <v>-1350</v>
      </c>
      <c r="I85" s="39">
        <v>-1350</v>
      </c>
      <c r="J85" s="39">
        <v>-1350</v>
      </c>
      <c r="K85" s="39">
        <v>-1350</v>
      </c>
      <c r="L85" s="39">
        <v>-1350</v>
      </c>
      <c r="M85" s="39">
        <v>-1350</v>
      </c>
      <c r="N85" s="39">
        <v>-1350</v>
      </c>
      <c r="O85" s="39">
        <v>-1350</v>
      </c>
      <c r="P85" s="39">
        <v>-1350</v>
      </c>
      <c r="Q85" s="39">
        <v>-1350</v>
      </c>
      <c r="R85" s="39">
        <v>-1350</v>
      </c>
      <c r="S85" s="39">
        <v>-1350</v>
      </c>
      <c r="T85" s="39">
        <v>-1350</v>
      </c>
      <c r="U85" s="39">
        <v>-1350</v>
      </c>
      <c r="V85" s="39">
        <v>-1350</v>
      </c>
    </row>
    <row r="86" spans="1:22" x14ac:dyDescent="0.2">
      <c r="A86" s="40" t="s">
        <v>1104</v>
      </c>
      <c r="B86" s="41">
        <v>0</v>
      </c>
      <c r="C86" s="42">
        <f t="shared" ref="C86:V86" si="31">+SUM(C81:C85)</f>
        <v>-284</v>
      </c>
      <c r="D86" s="42">
        <f t="shared" si="31"/>
        <v>1149</v>
      </c>
      <c r="E86" s="42">
        <f t="shared" si="31"/>
        <v>1794</v>
      </c>
      <c r="F86" s="42">
        <f t="shared" si="31"/>
        <v>1926</v>
      </c>
      <c r="G86" s="42">
        <f t="shared" si="31"/>
        <v>2062</v>
      </c>
      <c r="H86" s="42">
        <f t="shared" si="31"/>
        <v>2193</v>
      </c>
      <c r="I86" s="42">
        <f t="shared" si="31"/>
        <v>2193</v>
      </c>
      <c r="J86" s="42">
        <f t="shared" si="31"/>
        <v>2193</v>
      </c>
      <c r="K86" s="42">
        <f t="shared" si="31"/>
        <v>2193</v>
      </c>
      <c r="L86" s="42">
        <f t="shared" si="31"/>
        <v>2193</v>
      </c>
      <c r="M86" s="42">
        <f t="shared" si="31"/>
        <v>2193</v>
      </c>
      <c r="N86" s="42">
        <f t="shared" si="31"/>
        <v>2193</v>
      </c>
      <c r="O86" s="42">
        <f t="shared" si="31"/>
        <v>2193</v>
      </c>
      <c r="P86" s="42">
        <f t="shared" si="31"/>
        <v>2193</v>
      </c>
      <c r="Q86" s="42">
        <f t="shared" si="31"/>
        <v>2193</v>
      </c>
      <c r="R86" s="42">
        <f t="shared" si="31"/>
        <v>2193</v>
      </c>
      <c r="S86" s="42">
        <f t="shared" si="31"/>
        <v>2193</v>
      </c>
      <c r="T86" s="42">
        <f t="shared" si="31"/>
        <v>2193</v>
      </c>
      <c r="U86" s="42">
        <f t="shared" si="31"/>
        <v>2193</v>
      </c>
      <c r="V86" s="42">
        <f t="shared" si="31"/>
        <v>2193</v>
      </c>
    </row>
    <row r="87" spans="1:22" x14ac:dyDescent="0.2">
      <c r="A87" s="33" t="s">
        <v>979</v>
      </c>
      <c r="B87" s="38">
        <v>0</v>
      </c>
      <c r="C87" s="39">
        <v>0</v>
      </c>
      <c r="D87" s="39">
        <f>C87</f>
        <v>0</v>
      </c>
      <c r="E87" s="39">
        <f t="shared" ref="E87:V87" si="32">D87</f>
        <v>0</v>
      </c>
      <c r="F87" s="39">
        <f t="shared" si="32"/>
        <v>0</v>
      </c>
      <c r="G87" s="39">
        <f t="shared" si="32"/>
        <v>0</v>
      </c>
      <c r="H87" s="39">
        <f t="shared" si="32"/>
        <v>0</v>
      </c>
      <c r="I87" s="39">
        <f t="shared" si="32"/>
        <v>0</v>
      </c>
      <c r="J87" s="39">
        <f t="shared" si="32"/>
        <v>0</v>
      </c>
      <c r="K87" s="39">
        <f t="shared" si="32"/>
        <v>0</v>
      </c>
      <c r="L87" s="39">
        <f t="shared" si="32"/>
        <v>0</v>
      </c>
      <c r="M87" s="39">
        <f t="shared" si="32"/>
        <v>0</v>
      </c>
      <c r="N87" s="39">
        <f t="shared" si="32"/>
        <v>0</v>
      </c>
      <c r="O87" s="39">
        <f t="shared" si="32"/>
        <v>0</v>
      </c>
      <c r="P87" s="39">
        <f t="shared" si="32"/>
        <v>0</v>
      </c>
      <c r="Q87" s="39">
        <f t="shared" si="32"/>
        <v>0</v>
      </c>
      <c r="R87" s="39">
        <v>0</v>
      </c>
      <c r="S87" s="39">
        <f t="shared" si="32"/>
        <v>0</v>
      </c>
      <c r="T87" s="39">
        <f t="shared" si="32"/>
        <v>0</v>
      </c>
      <c r="U87" s="39">
        <f t="shared" si="32"/>
        <v>0</v>
      </c>
      <c r="V87" s="39">
        <f t="shared" si="32"/>
        <v>0</v>
      </c>
    </row>
    <row r="88" spans="1:22" x14ac:dyDescent="0.2">
      <c r="A88" s="40" t="s">
        <v>1007</v>
      </c>
      <c r="B88" s="41">
        <v>0</v>
      </c>
      <c r="C88" s="42">
        <f t="shared" ref="C88:V88" si="33">+C86+C87</f>
        <v>-284</v>
      </c>
      <c r="D88" s="42">
        <f t="shared" si="33"/>
        <v>1149</v>
      </c>
      <c r="E88" s="42">
        <f t="shared" si="33"/>
        <v>1794</v>
      </c>
      <c r="F88" s="42">
        <f t="shared" si="33"/>
        <v>1926</v>
      </c>
      <c r="G88" s="42">
        <f t="shared" si="33"/>
        <v>2062</v>
      </c>
      <c r="H88" s="42">
        <f t="shared" si="33"/>
        <v>2193</v>
      </c>
      <c r="I88" s="42">
        <f t="shared" si="33"/>
        <v>2193</v>
      </c>
      <c r="J88" s="42">
        <f t="shared" si="33"/>
        <v>2193</v>
      </c>
      <c r="K88" s="42">
        <f t="shared" si="33"/>
        <v>2193</v>
      </c>
      <c r="L88" s="42">
        <f t="shared" si="33"/>
        <v>2193</v>
      </c>
      <c r="M88" s="42">
        <f t="shared" si="33"/>
        <v>2193</v>
      </c>
      <c r="N88" s="42">
        <f t="shared" si="33"/>
        <v>2193</v>
      </c>
      <c r="O88" s="42">
        <f t="shared" si="33"/>
        <v>2193</v>
      </c>
      <c r="P88" s="42">
        <f t="shared" si="33"/>
        <v>2193</v>
      </c>
      <c r="Q88" s="42">
        <f t="shared" si="33"/>
        <v>2193</v>
      </c>
      <c r="R88" s="42">
        <f t="shared" si="33"/>
        <v>2193</v>
      </c>
      <c r="S88" s="42">
        <f t="shared" si="33"/>
        <v>2193</v>
      </c>
      <c r="T88" s="42">
        <f t="shared" si="33"/>
        <v>2193</v>
      </c>
      <c r="U88" s="42">
        <f t="shared" si="33"/>
        <v>2193</v>
      </c>
      <c r="V88" s="42">
        <f t="shared" si="33"/>
        <v>2193</v>
      </c>
    </row>
    <row r="89" spans="1:22" x14ac:dyDescent="0.2">
      <c r="A89" s="33" t="s">
        <v>1175</v>
      </c>
      <c r="B89" s="38">
        <v>0</v>
      </c>
      <c r="C89" s="39">
        <f t="shared" ref="C89:L89" si="34">-$B$30*$B$51</f>
        <v>-467.5</v>
      </c>
      <c r="D89" s="39">
        <f t="shared" si="34"/>
        <v>-467.5</v>
      </c>
      <c r="E89" s="39">
        <f t="shared" si="34"/>
        <v>-467.5</v>
      </c>
      <c r="F89" s="39">
        <f t="shared" si="34"/>
        <v>-467.5</v>
      </c>
      <c r="G89" s="39">
        <f t="shared" si="34"/>
        <v>-467.5</v>
      </c>
      <c r="H89" s="39">
        <f t="shared" si="34"/>
        <v>-467.5</v>
      </c>
      <c r="I89" s="39">
        <f t="shared" si="34"/>
        <v>-467.5</v>
      </c>
      <c r="J89" s="39">
        <f t="shared" si="34"/>
        <v>-467.5</v>
      </c>
      <c r="K89" s="39">
        <f t="shared" si="34"/>
        <v>-467.5</v>
      </c>
      <c r="L89" s="39">
        <f t="shared" si="34"/>
        <v>-467.5</v>
      </c>
      <c r="M89" s="39">
        <v>0</v>
      </c>
      <c r="N89" s="39">
        <v>0</v>
      </c>
      <c r="O89" s="39">
        <v>0</v>
      </c>
      <c r="P89" s="39">
        <v>0</v>
      </c>
      <c r="Q89" s="39">
        <v>0</v>
      </c>
      <c r="R89" s="39">
        <v>0</v>
      </c>
      <c r="S89" s="39">
        <v>0</v>
      </c>
      <c r="T89" s="39">
        <v>0</v>
      </c>
      <c r="U89" s="39">
        <v>0</v>
      </c>
      <c r="V89" s="39">
        <v>0</v>
      </c>
    </row>
    <row r="90" spans="1:22" x14ac:dyDescent="0.2">
      <c r="A90" s="33" t="s">
        <v>1474</v>
      </c>
      <c r="B90" s="38">
        <v>0</v>
      </c>
      <c r="C90" s="39">
        <f>+IF((C88+C89)&lt;0,0,(C88+C89)*$B$20)</f>
        <v>0</v>
      </c>
      <c r="D90" s="39">
        <f t="shared" ref="D90:V90" si="35">+IF((D88+D89)&lt;0,0,-(D88+D89)*$B$20)</f>
        <v>-170.375</v>
      </c>
      <c r="E90" s="39">
        <f t="shared" si="35"/>
        <v>-331.625</v>
      </c>
      <c r="F90" s="39">
        <f t="shared" si="35"/>
        <v>-364.625</v>
      </c>
      <c r="G90" s="39">
        <f t="shared" si="35"/>
        <v>-398.625</v>
      </c>
      <c r="H90" s="39">
        <f t="shared" si="35"/>
        <v>-431.375</v>
      </c>
      <c r="I90" s="39">
        <f t="shared" si="35"/>
        <v>-431.375</v>
      </c>
      <c r="J90" s="39">
        <f t="shared" si="35"/>
        <v>-431.375</v>
      </c>
      <c r="K90" s="39">
        <f t="shared" si="35"/>
        <v>-431.375</v>
      </c>
      <c r="L90" s="39">
        <f t="shared" si="35"/>
        <v>-431.375</v>
      </c>
      <c r="M90" s="39">
        <f t="shared" si="35"/>
        <v>-548.25</v>
      </c>
      <c r="N90" s="39">
        <f t="shared" si="35"/>
        <v>-548.25</v>
      </c>
      <c r="O90" s="39">
        <f t="shared" si="35"/>
        <v>-548.25</v>
      </c>
      <c r="P90" s="39">
        <f t="shared" si="35"/>
        <v>-548.25</v>
      </c>
      <c r="Q90" s="39">
        <f t="shared" si="35"/>
        <v>-548.25</v>
      </c>
      <c r="R90" s="39">
        <f t="shared" si="35"/>
        <v>-548.25</v>
      </c>
      <c r="S90" s="39">
        <f t="shared" si="35"/>
        <v>-548.25</v>
      </c>
      <c r="T90" s="39">
        <f t="shared" si="35"/>
        <v>-548.25</v>
      </c>
      <c r="U90" s="39">
        <f t="shared" si="35"/>
        <v>-548.25</v>
      </c>
      <c r="V90" s="39">
        <f t="shared" si="35"/>
        <v>-548.25</v>
      </c>
    </row>
    <row r="91" spans="1:22" x14ac:dyDescent="0.2">
      <c r="A91" s="40" t="s">
        <v>1475</v>
      </c>
      <c r="B91" s="41">
        <v>0</v>
      </c>
      <c r="C91" s="42">
        <f t="shared" ref="C91:V91" si="36">+SUM(C88:C90)</f>
        <v>-751.5</v>
      </c>
      <c r="D91" s="42">
        <f t="shared" si="36"/>
        <v>511.125</v>
      </c>
      <c r="E91" s="42">
        <f t="shared" si="36"/>
        <v>994.875</v>
      </c>
      <c r="F91" s="42">
        <f t="shared" si="36"/>
        <v>1093.875</v>
      </c>
      <c r="G91" s="42">
        <f t="shared" si="36"/>
        <v>1195.875</v>
      </c>
      <c r="H91" s="42">
        <f t="shared" si="36"/>
        <v>1294.125</v>
      </c>
      <c r="I91" s="42">
        <f t="shared" si="36"/>
        <v>1294.125</v>
      </c>
      <c r="J91" s="42">
        <f t="shared" si="36"/>
        <v>1294.125</v>
      </c>
      <c r="K91" s="42">
        <f t="shared" si="36"/>
        <v>1294.125</v>
      </c>
      <c r="L91" s="42">
        <f t="shared" si="36"/>
        <v>1294.125</v>
      </c>
      <c r="M91" s="42">
        <f t="shared" si="36"/>
        <v>1644.75</v>
      </c>
      <c r="N91" s="42">
        <f t="shared" si="36"/>
        <v>1644.75</v>
      </c>
      <c r="O91" s="42">
        <f t="shared" si="36"/>
        <v>1644.75</v>
      </c>
      <c r="P91" s="42">
        <f t="shared" si="36"/>
        <v>1644.75</v>
      </c>
      <c r="Q91" s="42">
        <f t="shared" si="36"/>
        <v>1644.75</v>
      </c>
      <c r="R91" s="42">
        <f t="shared" si="36"/>
        <v>1644.75</v>
      </c>
      <c r="S91" s="42">
        <f t="shared" si="36"/>
        <v>1644.75</v>
      </c>
      <c r="T91" s="42">
        <f t="shared" si="36"/>
        <v>1644.75</v>
      </c>
      <c r="U91" s="42">
        <f t="shared" si="36"/>
        <v>1644.75</v>
      </c>
      <c r="V91" s="42">
        <f t="shared" si="36"/>
        <v>1644.75</v>
      </c>
    </row>
    <row r="93" spans="1:22" x14ac:dyDescent="0.2">
      <c r="A93" s="33" t="s">
        <v>629</v>
      </c>
      <c r="B93" s="43">
        <v>0.35</v>
      </c>
    </row>
    <row r="97" spans="1:22" x14ac:dyDescent="0.2">
      <c r="A97" s="33" t="s">
        <v>1476</v>
      </c>
      <c r="B97" s="35" t="str">
        <f t="shared" ref="B97:V97" si="37">B79</f>
        <v>N</v>
      </c>
      <c r="C97" s="35" t="str">
        <f t="shared" si="37"/>
        <v>N+1</v>
      </c>
      <c r="D97" s="35" t="str">
        <f t="shared" si="37"/>
        <v>N+2</v>
      </c>
      <c r="E97" s="35" t="str">
        <f t="shared" si="37"/>
        <v>N+3</v>
      </c>
      <c r="F97" s="35" t="str">
        <f t="shared" si="37"/>
        <v>N+4</v>
      </c>
      <c r="G97" s="35" t="str">
        <f t="shared" si="37"/>
        <v>N+5</v>
      </c>
      <c r="H97" s="35" t="str">
        <f t="shared" si="37"/>
        <v>N+6</v>
      </c>
      <c r="I97" s="35" t="str">
        <f t="shared" si="37"/>
        <v>N+7</v>
      </c>
      <c r="J97" s="35" t="str">
        <f t="shared" si="37"/>
        <v>N+8</v>
      </c>
      <c r="K97" s="35" t="str">
        <f t="shared" si="37"/>
        <v>N+9</v>
      </c>
      <c r="L97" s="35" t="str">
        <f t="shared" si="37"/>
        <v>N+10</v>
      </c>
      <c r="M97" s="35" t="str">
        <f t="shared" si="37"/>
        <v>N+11</v>
      </c>
      <c r="N97" s="35" t="str">
        <f t="shared" si="37"/>
        <v>N+12</v>
      </c>
      <c r="O97" s="35" t="str">
        <f t="shared" si="37"/>
        <v>N+13</v>
      </c>
      <c r="P97" s="35" t="str">
        <f t="shared" si="37"/>
        <v>N+14</v>
      </c>
      <c r="Q97" s="35" t="str">
        <f t="shared" si="37"/>
        <v>N+15</v>
      </c>
      <c r="R97" s="35" t="str">
        <f t="shared" si="37"/>
        <v>N+16</v>
      </c>
      <c r="S97" s="35" t="str">
        <f t="shared" si="37"/>
        <v>N+17</v>
      </c>
      <c r="T97" s="35" t="str">
        <f t="shared" si="37"/>
        <v>N+18</v>
      </c>
      <c r="U97" s="35" t="str">
        <f t="shared" si="37"/>
        <v>N+19</v>
      </c>
      <c r="V97" s="35" t="str">
        <f t="shared" si="37"/>
        <v>N+20</v>
      </c>
    </row>
    <row r="99" spans="1:22" x14ac:dyDescent="0.2">
      <c r="A99" s="33" t="s">
        <v>1477</v>
      </c>
      <c r="B99" s="36">
        <v>0</v>
      </c>
      <c r="C99" s="37">
        <f t="shared" ref="C99:V99" si="38">+B99+C87</f>
        <v>0</v>
      </c>
      <c r="D99" s="37">
        <f t="shared" si="38"/>
        <v>0</v>
      </c>
      <c r="E99" s="37">
        <f t="shared" si="38"/>
        <v>0</v>
      </c>
      <c r="F99" s="37">
        <f t="shared" si="38"/>
        <v>0</v>
      </c>
      <c r="G99" s="37">
        <f t="shared" si="38"/>
        <v>0</v>
      </c>
      <c r="H99" s="37">
        <f t="shared" si="38"/>
        <v>0</v>
      </c>
      <c r="I99" s="37">
        <f t="shared" si="38"/>
        <v>0</v>
      </c>
      <c r="J99" s="37">
        <f t="shared" si="38"/>
        <v>0</v>
      </c>
      <c r="K99" s="37">
        <f t="shared" si="38"/>
        <v>0</v>
      </c>
      <c r="L99" s="37">
        <f t="shared" si="38"/>
        <v>0</v>
      </c>
      <c r="M99" s="37">
        <f t="shared" si="38"/>
        <v>0</v>
      </c>
      <c r="N99" s="37">
        <f t="shared" si="38"/>
        <v>0</v>
      </c>
      <c r="O99" s="37">
        <f t="shared" si="38"/>
        <v>0</v>
      </c>
      <c r="P99" s="37">
        <f t="shared" si="38"/>
        <v>0</v>
      </c>
      <c r="Q99" s="37">
        <f t="shared" si="38"/>
        <v>0</v>
      </c>
      <c r="R99" s="37">
        <f t="shared" si="38"/>
        <v>0</v>
      </c>
      <c r="S99" s="37">
        <f t="shared" si="38"/>
        <v>0</v>
      </c>
      <c r="T99" s="37">
        <f t="shared" si="38"/>
        <v>0</v>
      </c>
      <c r="U99" s="37">
        <f t="shared" si="38"/>
        <v>0</v>
      </c>
      <c r="V99" s="37">
        <f t="shared" si="38"/>
        <v>0</v>
      </c>
    </row>
    <row r="100" spans="1:22" x14ac:dyDescent="0.2">
      <c r="A100" s="33" t="s">
        <v>1226</v>
      </c>
      <c r="B100" s="38">
        <v>0</v>
      </c>
      <c r="C100" s="39">
        <v>0</v>
      </c>
      <c r="D100" s="39">
        <v>0</v>
      </c>
      <c r="E100" s="39">
        <v>0</v>
      </c>
      <c r="F100" s="39">
        <v>0</v>
      </c>
      <c r="G100" s="39">
        <v>0</v>
      </c>
      <c r="H100" s="39">
        <v>0</v>
      </c>
      <c r="I100" s="39">
        <v>0</v>
      </c>
      <c r="J100" s="39">
        <v>0</v>
      </c>
      <c r="K100" s="39">
        <v>0</v>
      </c>
      <c r="L100" s="39">
        <v>0</v>
      </c>
      <c r="M100" s="39">
        <v>0</v>
      </c>
      <c r="N100" s="39">
        <v>0</v>
      </c>
      <c r="O100" s="39">
        <v>0</v>
      </c>
      <c r="P100" s="39">
        <v>0</v>
      </c>
      <c r="Q100" s="39">
        <v>0</v>
      </c>
      <c r="R100" s="39">
        <v>0</v>
      </c>
      <c r="S100" s="39">
        <v>0</v>
      </c>
      <c r="T100" s="39">
        <v>0</v>
      </c>
      <c r="U100" s="39">
        <v>0</v>
      </c>
      <c r="V100" s="39">
        <v>0</v>
      </c>
    </row>
    <row r="101" spans="1:22" x14ac:dyDescent="0.2">
      <c r="A101" s="40" t="s">
        <v>187</v>
      </c>
      <c r="B101" s="41">
        <f t="shared" ref="B101:V101" si="39">+B100+B99</f>
        <v>0</v>
      </c>
      <c r="C101" s="42">
        <f t="shared" si="39"/>
        <v>0</v>
      </c>
      <c r="D101" s="42">
        <f t="shared" si="39"/>
        <v>0</v>
      </c>
      <c r="E101" s="42">
        <f t="shared" si="39"/>
        <v>0</v>
      </c>
      <c r="F101" s="42">
        <f t="shared" si="39"/>
        <v>0</v>
      </c>
      <c r="G101" s="42">
        <f t="shared" si="39"/>
        <v>0</v>
      </c>
      <c r="H101" s="42">
        <f t="shared" si="39"/>
        <v>0</v>
      </c>
      <c r="I101" s="42">
        <f t="shared" si="39"/>
        <v>0</v>
      </c>
      <c r="J101" s="42">
        <f t="shared" si="39"/>
        <v>0</v>
      </c>
      <c r="K101" s="42">
        <f t="shared" si="39"/>
        <v>0</v>
      </c>
      <c r="L101" s="42">
        <f t="shared" si="39"/>
        <v>0</v>
      </c>
      <c r="M101" s="42">
        <f t="shared" si="39"/>
        <v>0</v>
      </c>
      <c r="N101" s="42">
        <f t="shared" si="39"/>
        <v>0</v>
      </c>
      <c r="O101" s="42">
        <f t="shared" si="39"/>
        <v>0</v>
      </c>
      <c r="P101" s="42">
        <f t="shared" si="39"/>
        <v>0</v>
      </c>
      <c r="Q101" s="42">
        <f t="shared" si="39"/>
        <v>0</v>
      </c>
      <c r="R101" s="42">
        <f t="shared" si="39"/>
        <v>0</v>
      </c>
      <c r="S101" s="42">
        <f t="shared" si="39"/>
        <v>0</v>
      </c>
      <c r="T101" s="42">
        <f t="shared" si="39"/>
        <v>0</v>
      </c>
      <c r="U101" s="42">
        <f t="shared" si="39"/>
        <v>0</v>
      </c>
      <c r="V101" s="42">
        <f t="shared" si="39"/>
        <v>0</v>
      </c>
    </row>
    <row r="102" spans="1:22" x14ac:dyDescent="0.2">
      <c r="A102" s="33" t="s">
        <v>1189</v>
      </c>
      <c r="B102" s="38">
        <v>0</v>
      </c>
      <c r="C102" s="39">
        <f t="shared" ref="C102:V102" si="40">+B102+C91</f>
        <v>-751.5</v>
      </c>
      <c r="D102" s="39">
        <f t="shared" si="40"/>
        <v>-240.375</v>
      </c>
      <c r="E102" s="39">
        <f t="shared" si="40"/>
        <v>754.5</v>
      </c>
      <c r="F102" s="39">
        <f t="shared" si="40"/>
        <v>1848.375</v>
      </c>
      <c r="G102" s="39">
        <f t="shared" si="40"/>
        <v>3044.25</v>
      </c>
      <c r="H102" s="39">
        <f t="shared" si="40"/>
        <v>4338.375</v>
      </c>
      <c r="I102" s="39">
        <f t="shared" si="40"/>
        <v>5632.5</v>
      </c>
      <c r="J102" s="39">
        <f t="shared" si="40"/>
        <v>6926.625</v>
      </c>
      <c r="K102" s="39">
        <f t="shared" si="40"/>
        <v>8220.75</v>
      </c>
      <c r="L102" s="39">
        <f t="shared" si="40"/>
        <v>9514.875</v>
      </c>
      <c r="M102" s="39">
        <f t="shared" si="40"/>
        <v>11159.625</v>
      </c>
      <c r="N102" s="39">
        <f t="shared" si="40"/>
        <v>12804.375</v>
      </c>
      <c r="O102" s="39">
        <f t="shared" si="40"/>
        <v>14449.125</v>
      </c>
      <c r="P102" s="39">
        <f t="shared" si="40"/>
        <v>16093.875</v>
      </c>
      <c r="Q102" s="39">
        <f t="shared" si="40"/>
        <v>17738.625</v>
      </c>
      <c r="R102" s="39">
        <f t="shared" si="40"/>
        <v>19383.375</v>
      </c>
      <c r="S102" s="39">
        <f t="shared" si="40"/>
        <v>21028.125</v>
      </c>
      <c r="T102" s="39">
        <f t="shared" si="40"/>
        <v>22672.875</v>
      </c>
      <c r="U102" s="39">
        <f t="shared" si="40"/>
        <v>24317.625</v>
      </c>
      <c r="V102" s="39">
        <f t="shared" si="40"/>
        <v>25962.375</v>
      </c>
    </row>
    <row r="103" spans="1:22" x14ac:dyDescent="0.2">
      <c r="A103" s="33" t="s">
        <v>1478</v>
      </c>
      <c r="B103" s="38">
        <f>+B99</f>
        <v>0</v>
      </c>
      <c r="C103" s="39">
        <f t="shared" ref="C103:V103" si="41">+B103+C119</f>
        <v>751.5</v>
      </c>
      <c r="D103" s="39">
        <f t="shared" si="41"/>
        <v>240.375</v>
      </c>
      <c r="E103" s="39">
        <f t="shared" si="41"/>
        <v>-754.5</v>
      </c>
      <c r="F103" s="39">
        <f t="shared" si="41"/>
        <v>-1848.375</v>
      </c>
      <c r="G103" s="39">
        <f t="shared" si="41"/>
        <v>-3044.25</v>
      </c>
      <c r="H103" s="39">
        <f t="shared" si="41"/>
        <v>-4338.375</v>
      </c>
      <c r="I103" s="39">
        <f t="shared" si="41"/>
        <v>-5632.5</v>
      </c>
      <c r="J103" s="39">
        <f t="shared" si="41"/>
        <v>-6926.625</v>
      </c>
      <c r="K103" s="39">
        <f t="shared" si="41"/>
        <v>-8220.75</v>
      </c>
      <c r="L103" s="39">
        <f t="shared" si="41"/>
        <v>-9514.875</v>
      </c>
      <c r="M103" s="39">
        <f t="shared" si="41"/>
        <v>-11159.625</v>
      </c>
      <c r="N103" s="39">
        <f t="shared" si="41"/>
        <v>-12804.375</v>
      </c>
      <c r="O103" s="39">
        <f t="shared" si="41"/>
        <v>-14449.125</v>
      </c>
      <c r="P103" s="39">
        <f t="shared" si="41"/>
        <v>-16093.875</v>
      </c>
      <c r="Q103" s="39">
        <f t="shared" si="41"/>
        <v>-17738.625</v>
      </c>
      <c r="R103" s="39">
        <f t="shared" si="41"/>
        <v>-19383.375</v>
      </c>
      <c r="S103" s="39">
        <f t="shared" si="41"/>
        <v>-21028.125</v>
      </c>
      <c r="T103" s="39">
        <f t="shared" si="41"/>
        <v>-22672.875</v>
      </c>
      <c r="U103" s="39">
        <f t="shared" si="41"/>
        <v>-24317.625</v>
      </c>
      <c r="V103" s="39">
        <f t="shared" si="41"/>
        <v>-25962.375</v>
      </c>
    </row>
    <row r="104" spans="1:22" x14ac:dyDescent="0.2">
      <c r="A104" s="40" t="s">
        <v>1479</v>
      </c>
      <c r="B104" s="41">
        <f t="shared" ref="B104:V104" si="42">+B103+B102</f>
        <v>0</v>
      </c>
      <c r="C104" s="42">
        <f t="shared" si="42"/>
        <v>0</v>
      </c>
      <c r="D104" s="42">
        <f t="shared" si="42"/>
        <v>0</v>
      </c>
      <c r="E104" s="42">
        <f t="shared" si="42"/>
        <v>0</v>
      </c>
      <c r="F104" s="42">
        <f t="shared" si="42"/>
        <v>0</v>
      </c>
      <c r="G104" s="42">
        <f t="shared" si="42"/>
        <v>0</v>
      </c>
      <c r="H104" s="42">
        <f t="shared" si="42"/>
        <v>0</v>
      </c>
      <c r="I104" s="42">
        <f t="shared" si="42"/>
        <v>0</v>
      </c>
      <c r="J104" s="42">
        <f t="shared" si="42"/>
        <v>0</v>
      </c>
      <c r="K104" s="42">
        <f t="shared" si="42"/>
        <v>0</v>
      </c>
      <c r="L104" s="42">
        <f t="shared" si="42"/>
        <v>0</v>
      </c>
      <c r="M104" s="42">
        <f t="shared" si="42"/>
        <v>0</v>
      </c>
      <c r="N104" s="42">
        <f t="shared" si="42"/>
        <v>0</v>
      </c>
      <c r="O104" s="42">
        <f t="shared" si="42"/>
        <v>0</v>
      </c>
      <c r="P104" s="42">
        <f t="shared" si="42"/>
        <v>0</v>
      </c>
      <c r="Q104" s="42">
        <f t="shared" si="42"/>
        <v>0</v>
      </c>
      <c r="R104" s="42">
        <f t="shared" si="42"/>
        <v>0</v>
      </c>
      <c r="S104" s="42">
        <f t="shared" si="42"/>
        <v>0</v>
      </c>
      <c r="T104" s="42">
        <f t="shared" si="42"/>
        <v>0</v>
      </c>
      <c r="U104" s="42">
        <f t="shared" si="42"/>
        <v>0</v>
      </c>
      <c r="V104" s="42">
        <f t="shared" si="42"/>
        <v>0</v>
      </c>
    </row>
    <row r="110" spans="1:22" x14ac:dyDescent="0.2">
      <c r="A110" s="33" t="s">
        <v>1480</v>
      </c>
      <c r="B110" s="35" t="str">
        <f t="shared" ref="B110:V110" si="43">B79</f>
        <v>N</v>
      </c>
      <c r="C110" s="35" t="str">
        <f t="shared" si="43"/>
        <v>N+1</v>
      </c>
      <c r="D110" s="35" t="str">
        <f t="shared" si="43"/>
        <v>N+2</v>
      </c>
      <c r="E110" s="35" t="str">
        <f t="shared" si="43"/>
        <v>N+3</v>
      </c>
      <c r="F110" s="35" t="str">
        <f t="shared" si="43"/>
        <v>N+4</v>
      </c>
      <c r="G110" s="35" t="str">
        <f t="shared" si="43"/>
        <v>N+5</v>
      </c>
      <c r="H110" s="35" t="str">
        <f t="shared" si="43"/>
        <v>N+6</v>
      </c>
      <c r="I110" s="35" t="str">
        <f t="shared" si="43"/>
        <v>N+7</v>
      </c>
      <c r="J110" s="35" t="str">
        <f t="shared" si="43"/>
        <v>N+8</v>
      </c>
      <c r="K110" s="35" t="str">
        <f t="shared" si="43"/>
        <v>N+9</v>
      </c>
      <c r="L110" s="35" t="str">
        <f t="shared" si="43"/>
        <v>N+10</v>
      </c>
      <c r="M110" s="35" t="str">
        <f t="shared" si="43"/>
        <v>N+11</v>
      </c>
      <c r="N110" s="35" t="str">
        <f t="shared" si="43"/>
        <v>N+12</v>
      </c>
      <c r="O110" s="35" t="str">
        <f t="shared" si="43"/>
        <v>N+13</v>
      </c>
      <c r="P110" s="35" t="str">
        <f t="shared" si="43"/>
        <v>N+14</v>
      </c>
      <c r="Q110" s="35" t="str">
        <f t="shared" si="43"/>
        <v>N+15</v>
      </c>
      <c r="R110" s="35" t="str">
        <f t="shared" si="43"/>
        <v>N+16</v>
      </c>
      <c r="S110" s="35" t="str">
        <f t="shared" si="43"/>
        <v>N+17</v>
      </c>
      <c r="T110" s="35" t="str">
        <f t="shared" si="43"/>
        <v>N+18</v>
      </c>
      <c r="U110" s="35" t="str">
        <f t="shared" si="43"/>
        <v>N+19</v>
      </c>
      <c r="V110" s="35" t="str">
        <f t="shared" si="43"/>
        <v>N+20</v>
      </c>
    </row>
    <row r="112" spans="1:22" x14ac:dyDescent="0.2">
      <c r="A112" s="33" t="s">
        <v>1044</v>
      </c>
      <c r="B112" s="36">
        <v>0</v>
      </c>
      <c r="C112" s="37">
        <f t="shared" ref="C112:V112" si="44">+C91</f>
        <v>-751.5</v>
      </c>
      <c r="D112" s="37">
        <f t="shared" si="44"/>
        <v>511.125</v>
      </c>
      <c r="E112" s="37">
        <f t="shared" si="44"/>
        <v>994.875</v>
      </c>
      <c r="F112" s="37">
        <f t="shared" si="44"/>
        <v>1093.875</v>
      </c>
      <c r="G112" s="37">
        <f t="shared" si="44"/>
        <v>1195.875</v>
      </c>
      <c r="H112" s="37">
        <f t="shared" si="44"/>
        <v>1294.125</v>
      </c>
      <c r="I112" s="37">
        <f t="shared" si="44"/>
        <v>1294.125</v>
      </c>
      <c r="J112" s="37">
        <f t="shared" si="44"/>
        <v>1294.125</v>
      </c>
      <c r="K112" s="37">
        <f t="shared" si="44"/>
        <v>1294.125</v>
      </c>
      <c r="L112" s="37">
        <f t="shared" si="44"/>
        <v>1294.125</v>
      </c>
      <c r="M112" s="37">
        <f t="shared" si="44"/>
        <v>1644.75</v>
      </c>
      <c r="N112" s="37">
        <f t="shared" si="44"/>
        <v>1644.75</v>
      </c>
      <c r="O112" s="37">
        <f t="shared" si="44"/>
        <v>1644.75</v>
      </c>
      <c r="P112" s="37">
        <f t="shared" si="44"/>
        <v>1644.75</v>
      </c>
      <c r="Q112" s="37">
        <f t="shared" si="44"/>
        <v>1644.75</v>
      </c>
      <c r="R112" s="37">
        <f t="shared" si="44"/>
        <v>1644.75</v>
      </c>
      <c r="S112" s="37">
        <f t="shared" si="44"/>
        <v>1644.75</v>
      </c>
      <c r="T112" s="37">
        <f t="shared" si="44"/>
        <v>1644.75</v>
      </c>
      <c r="U112" s="37">
        <f t="shared" si="44"/>
        <v>1644.75</v>
      </c>
      <c r="V112" s="37">
        <f t="shared" si="44"/>
        <v>1644.75</v>
      </c>
    </row>
    <row r="113" spans="1:22" x14ac:dyDescent="0.2">
      <c r="A113" s="33" t="s">
        <v>979</v>
      </c>
      <c r="B113" s="38">
        <v>0</v>
      </c>
      <c r="C113" s="39">
        <f t="shared" ref="C113:V113" si="45">-C87</f>
        <v>0</v>
      </c>
      <c r="D113" s="39">
        <f t="shared" si="45"/>
        <v>0</v>
      </c>
      <c r="E113" s="39">
        <f t="shared" si="45"/>
        <v>0</v>
      </c>
      <c r="F113" s="39">
        <f t="shared" si="45"/>
        <v>0</v>
      </c>
      <c r="G113" s="39">
        <f t="shared" si="45"/>
        <v>0</v>
      </c>
      <c r="H113" s="39">
        <f t="shared" si="45"/>
        <v>0</v>
      </c>
      <c r="I113" s="39">
        <f t="shared" si="45"/>
        <v>0</v>
      </c>
      <c r="J113" s="39">
        <f t="shared" si="45"/>
        <v>0</v>
      </c>
      <c r="K113" s="39">
        <f t="shared" si="45"/>
        <v>0</v>
      </c>
      <c r="L113" s="39">
        <f t="shared" si="45"/>
        <v>0</v>
      </c>
      <c r="M113" s="39">
        <f t="shared" si="45"/>
        <v>0</v>
      </c>
      <c r="N113" s="39">
        <f t="shared" si="45"/>
        <v>0</v>
      </c>
      <c r="O113" s="39">
        <f t="shared" si="45"/>
        <v>0</v>
      </c>
      <c r="P113" s="39">
        <f t="shared" si="45"/>
        <v>0</v>
      </c>
      <c r="Q113" s="39">
        <f t="shared" si="45"/>
        <v>0</v>
      </c>
      <c r="R113" s="39">
        <f t="shared" si="45"/>
        <v>0</v>
      </c>
      <c r="S113" s="39">
        <f t="shared" si="45"/>
        <v>0</v>
      </c>
      <c r="T113" s="39">
        <f t="shared" si="45"/>
        <v>0</v>
      </c>
      <c r="U113" s="39">
        <f t="shared" si="45"/>
        <v>0</v>
      </c>
      <c r="V113" s="39">
        <f t="shared" si="45"/>
        <v>0</v>
      </c>
    </row>
    <row r="114" spans="1:22" x14ac:dyDescent="0.2">
      <c r="A114" s="40" t="s">
        <v>1158</v>
      </c>
      <c r="B114" s="41">
        <v>0</v>
      </c>
      <c r="C114" s="42">
        <f t="shared" ref="C114:V114" si="46">+C113+C112</f>
        <v>-751.5</v>
      </c>
      <c r="D114" s="42">
        <f t="shared" si="46"/>
        <v>511.125</v>
      </c>
      <c r="E114" s="42">
        <f t="shared" si="46"/>
        <v>994.875</v>
      </c>
      <c r="F114" s="42">
        <f t="shared" si="46"/>
        <v>1093.875</v>
      </c>
      <c r="G114" s="42">
        <f t="shared" si="46"/>
        <v>1195.875</v>
      </c>
      <c r="H114" s="42">
        <f t="shared" si="46"/>
        <v>1294.125</v>
      </c>
      <c r="I114" s="42">
        <f t="shared" si="46"/>
        <v>1294.125</v>
      </c>
      <c r="J114" s="42">
        <f t="shared" si="46"/>
        <v>1294.125</v>
      </c>
      <c r="K114" s="42">
        <f t="shared" si="46"/>
        <v>1294.125</v>
      </c>
      <c r="L114" s="42">
        <f t="shared" si="46"/>
        <v>1294.125</v>
      </c>
      <c r="M114" s="42">
        <f t="shared" si="46"/>
        <v>1644.75</v>
      </c>
      <c r="N114" s="42">
        <f t="shared" si="46"/>
        <v>1644.75</v>
      </c>
      <c r="O114" s="42">
        <f t="shared" si="46"/>
        <v>1644.75</v>
      </c>
      <c r="P114" s="42">
        <f t="shared" si="46"/>
        <v>1644.75</v>
      </c>
      <c r="Q114" s="42">
        <f t="shared" si="46"/>
        <v>1644.75</v>
      </c>
      <c r="R114" s="42">
        <f t="shared" si="46"/>
        <v>1644.75</v>
      </c>
      <c r="S114" s="42">
        <f t="shared" si="46"/>
        <v>1644.75</v>
      </c>
      <c r="T114" s="42">
        <f t="shared" si="46"/>
        <v>1644.75</v>
      </c>
      <c r="U114" s="42">
        <f t="shared" si="46"/>
        <v>1644.75</v>
      </c>
      <c r="V114" s="42">
        <f t="shared" si="46"/>
        <v>1644.75</v>
      </c>
    </row>
    <row r="115" spans="1:22" x14ac:dyDescent="0.2">
      <c r="A115" s="33" t="s">
        <v>1481</v>
      </c>
      <c r="B115" s="38">
        <v>0</v>
      </c>
      <c r="C115" s="39">
        <f t="shared" ref="C115:V115" si="47">+B100-C100</f>
        <v>0</v>
      </c>
      <c r="D115" s="39">
        <f t="shared" si="47"/>
        <v>0</v>
      </c>
      <c r="E115" s="39">
        <f t="shared" si="47"/>
        <v>0</v>
      </c>
      <c r="F115" s="39">
        <f t="shared" si="47"/>
        <v>0</v>
      </c>
      <c r="G115" s="39">
        <f t="shared" si="47"/>
        <v>0</v>
      </c>
      <c r="H115" s="39">
        <f t="shared" si="47"/>
        <v>0</v>
      </c>
      <c r="I115" s="39">
        <f t="shared" si="47"/>
        <v>0</v>
      </c>
      <c r="J115" s="39">
        <f t="shared" si="47"/>
        <v>0</v>
      </c>
      <c r="K115" s="39">
        <f t="shared" si="47"/>
        <v>0</v>
      </c>
      <c r="L115" s="39">
        <f t="shared" si="47"/>
        <v>0</v>
      </c>
      <c r="M115" s="39">
        <f t="shared" si="47"/>
        <v>0</v>
      </c>
      <c r="N115" s="39">
        <f t="shared" si="47"/>
        <v>0</v>
      </c>
      <c r="O115" s="39">
        <f t="shared" si="47"/>
        <v>0</v>
      </c>
      <c r="P115" s="39">
        <f t="shared" si="47"/>
        <v>0</v>
      </c>
      <c r="Q115" s="39">
        <f t="shared" si="47"/>
        <v>0</v>
      </c>
      <c r="R115" s="39">
        <f t="shared" si="47"/>
        <v>0</v>
      </c>
      <c r="S115" s="39">
        <f t="shared" si="47"/>
        <v>0</v>
      </c>
      <c r="T115" s="39">
        <f t="shared" si="47"/>
        <v>0</v>
      </c>
      <c r="U115" s="39">
        <f t="shared" si="47"/>
        <v>0</v>
      </c>
      <c r="V115" s="39">
        <f t="shared" si="47"/>
        <v>0</v>
      </c>
    </row>
    <row r="116" spans="1:22" x14ac:dyDescent="0.2">
      <c r="A116" s="40" t="s">
        <v>1482</v>
      </c>
      <c r="B116" s="41">
        <v>0</v>
      </c>
      <c r="C116" s="42">
        <f t="shared" ref="C116:V116" si="48">+SUM(C114:C115)</f>
        <v>-751.5</v>
      </c>
      <c r="D116" s="42">
        <f t="shared" si="48"/>
        <v>511.125</v>
      </c>
      <c r="E116" s="42">
        <f t="shared" si="48"/>
        <v>994.875</v>
      </c>
      <c r="F116" s="42">
        <f t="shared" si="48"/>
        <v>1093.875</v>
      </c>
      <c r="G116" s="42">
        <f t="shared" si="48"/>
        <v>1195.875</v>
      </c>
      <c r="H116" s="42">
        <f t="shared" si="48"/>
        <v>1294.125</v>
      </c>
      <c r="I116" s="42">
        <f t="shared" si="48"/>
        <v>1294.125</v>
      </c>
      <c r="J116" s="42">
        <f t="shared" si="48"/>
        <v>1294.125</v>
      </c>
      <c r="K116" s="42">
        <f t="shared" si="48"/>
        <v>1294.125</v>
      </c>
      <c r="L116" s="42">
        <f t="shared" si="48"/>
        <v>1294.125</v>
      </c>
      <c r="M116" s="42">
        <f t="shared" si="48"/>
        <v>1644.75</v>
      </c>
      <c r="N116" s="42">
        <f t="shared" si="48"/>
        <v>1644.75</v>
      </c>
      <c r="O116" s="42">
        <f t="shared" si="48"/>
        <v>1644.75</v>
      </c>
      <c r="P116" s="42">
        <f t="shared" si="48"/>
        <v>1644.75</v>
      </c>
      <c r="Q116" s="42">
        <f t="shared" si="48"/>
        <v>1644.75</v>
      </c>
      <c r="R116" s="42">
        <f t="shared" si="48"/>
        <v>1644.75</v>
      </c>
      <c r="S116" s="42">
        <f t="shared" si="48"/>
        <v>1644.75</v>
      </c>
      <c r="T116" s="42">
        <f t="shared" si="48"/>
        <v>1644.75</v>
      </c>
      <c r="U116" s="42">
        <f t="shared" si="48"/>
        <v>1644.75</v>
      </c>
      <c r="V116" s="42">
        <f t="shared" si="48"/>
        <v>1644.75</v>
      </c>
    </row>
    <row r="117" spans="1:22" x14ac:dyDescent="0.2">
      <c r="A117" s="33" t="s">
        <v>1483</v>
      </c>
      <c r="B117" s="38">
        <f>-B99</f>
        <v>0</v>
      </c>
      <c r="C117" s="39">
        <v>0</v>
      </c>
      <c r="D117" s="39">
        <v>0</v>
      </c>
      <c r="E117" s="39">
        <v>0</v>
      </c>
      <c r="F117" s="39">
        <v>0</v>
      </c>
      <c r="G117" s="39">
        <v>0</v>
      </c>
      <c r="H117" s="39">
        <v>0</v>
      </c>
      <c r="I117" s="39">
        <v>0</v>
      </c>
      <c r="J117" s="39">
        <v>0</v>
      </c>
      <c r="K117" s="39">
        <v>0</v>
      </c>
      <c r="L117" s="39">
        <v>0</v>
      </c>
      <c r="M117" s="39">
        <v>0</v>
      </c>
      <c r="N117" s="39">
        <v>0</v>
      </c>
      <c r="O117" s="39">
        <v>0</v>
      </c>
      <c r="P117" s="39">
        <v>0</v>
      </c>
      <c r="Q117" s="39">
        <v>0</v>
      </c>
      <c r="R117" s="39">
        <v>0</v>
      </c>
      <c r="S117" s="39">
        <v>0</v>
      </c>
      <c r="T117" s="39">
        <v>0</v>
      </c>
      <c r="U117" s="39">
        <v>0</v>
      </c>
      <c r="V117" s="39">
        <v>0</v>
      </c>
    </row>
    <row r="118" spans="1:22" x14ac:dyDescent="0.2">
      <c r="A118" s="40" t="s">
        <v>201</v>
      </c>
      <c r="B118" s="41">
        <f t="shared" ref="B118:V118" si="49">+B116+B117</f>
        <v>0</v>
      </c>
      <c r="C118" s="42">
        <f t="shared" si="49"/>
        <v>-751.5</v>
      </c>
      <c r="D118" s="42">
        <f t="shared" si="49"/>
        <v>511.125</v>
      </c>
      <c r="E118" s="42">
        <f t="shared" si="49"/>
        <v>994.875</v>
      </c>
      <c r="F118" s="42">
        <f t="shared" si="49"/>
        <v>1093.875</v>
      </c>
      <c r="G118" s="42">
        <f t="shared" si="49"/>
        <v>1195.875</v>
      </c>
      <c r="H118" s="42">
        <f t="shared" si="49"/>
        <v>1294.125</v>
      </c>
      <c r="I118" s="42">
        <f t="shared" si="49"/>
        <v>1294.125</v>
      </c>
      <c r="J118" s="42">
        <f t="shared" si="49"/>
        <v>1294.125</v>
      </c>
      <c r="K118" s="42">
        <f t="shared" si="49"/>
        <v>1294.125</v>
      </c>
      <c r="L118" s="42">
        <f t="shared" si="49"/>
        <v>1294.125</v>
      </c>
      <c r="M118" s="42">
        <f t="shared" si="49"/>
        <v>1644.75</v>
      </c>
      <c r="N118" s="42">
        <f t="shared" si="49"/>
        <v>1644.75</v>
      </c>
      <c r="O118" s="42">
        <f t="shared" si="49"/>
        <v>1644.75</v>
      </c>
      <c r="P118" s="42">
        <f t="shared" si="49"/>
        <v>1644.75</v>
      </c>
      <c r="Q118" s="42">
        <f t="shared" si="49"/>
        <v>1644.75</v>
      </c>
      <c r="R118" s="42">
        <f t="shared" si="49"/>
        <v>1644.75</v>
      </c>
      <c r="S118" s="42">
        <f t="shared" si="49"/>
        <v>1644.75</v>
      </c>
      <c r="T118" s="42">
        <f t="shared" si="49"/>
        <v>1644.75</v>
      </c>
      <c r="U118" s="42">
        <f t="shared" si="49"/>
        <v>1644.75</v>
      </c>
      <c r="V118" s="42">
        <f t="shared" si="49"/>
        <v>1644.75</v>
      </c>
    </row>
    <row r="119" spans="1:22" ht="15" x14ac:dyDescent="0.2">
      <c r="A119" s="44" t="s">
        <v>1484</v>
      </c>
      <c r="B119" s="41">
        <f t="shared" ref="B119:V119" si="50">-B118</f>
        <v>0</v>
      </c>
      <c r="C119" s="42">
        <f t="shared" si="50"/>
        <v>751.5</v>
      </c>
      <c r="D119" s="42">
        <f t="shared" si="50"/>
        <v>-511.125</v>
      </c>
      <c r="E119" s="42">
        <f t="shared" si="50"/>
        <v>-994.875</v>
      </c>
      <c r="F119" s="42">
        <f t="shared" si="50"/>
        <v>-1093.875</v>
      </c>
      <c r="G119" s="42">
        <f t="shared" si="50"/>
        <v>-1195.875</v>
      </c>
      <c r="H119" s="42">
        <f t="shared" si="50"/>
        <v>-1294.125</v>
      </c>
      <c r="I119" s="42">
        <f t="shared" si="50"/>
        <v>-1294.125</v>
      </c>
      <c r="J119" s="42">
        <f t="shared" si="50"/>
        <v>-1294.125</v>
      </c>
      <c r="K119" s="42">
        <f t="shared" si="50"/>
        <v>-1294.125</v>
      </c>
      <c r="L119" s="42">
        <f t="shared" si="50"/>
        <v>-1294.125</v>
      </c>
      <c r="M119" s="42">
        <f t="shared" si="50"/>
        <v>-1644.75</v>
      </c>
      <c r="N119" s="42">
        <f t="shared" si="50"/>
        <v>-1644.75</v>
      </c>
      <c r="O119" s="42">
        <f t="shared" si="50"/>
        <v>-1644.75</v>
      </c>
      <c r="P119" s="42">
        <f t="shared" si="50"/>
        <v>-1644.75</v>
      </c>
      <c r="Q119" s="42">
        <f t="shared" si="50"/>
        <v>-1644.75</v>
      </c>
      <c r="R119" s="42">
        <f t="shared" si="50"/>
        <v>-1644.75</v>
      </c>
      <c r="S119" s="42">
        <f t="shared" si="50"/>
        <v>-1644.75</v>
      </c>
      <c r="T119" s="42">
        <f t="shared" si="50"/>
        <v>-1644.75</v>
      </c>
      <c r="U119" s="42">
        <f t="shared" si="50"/>
        <v>-1644.75</v>
      </c>
      <c r="V119" s="42">
        <f t="shared" si="50"/>
        <v>-1644.75</v>
      </c>
    </row>
    <row r="121" spans="1:22" x14ac:dyDescent="0.2">
      <c r="D121" s="45"/>
    </row>
    <row r="123" spans="1:22" x14ac:dyDescent="0.2">
      <c r="A123" s="33" t="s">
        <v>1485</v>
      </c>
      <c r="D123" s="45"/>
    </row>
    <row r="124" spans="1:22" x14ac:dyDescent="0.2">
      <c r="A124" s="33" t="s">
        <v>1486</v>
      </c>
      <c r="B124" s="46">
        <v>2.5000000000000001E-2</v>
      </c>
    </row>
    <row r="125" spans="1:22" x14ac:dyDescent="0.2">
      <c r="D125" s="45"/>
    </row>
    <row r="127" spans="1:22" x14ac:dyDescent="0.2">
      <c r="A127" s="33" t="s">
        <v>1487</v>
      </c>
      <c r="D127" s="45"/>
    </row>
    <row r="130" spans="1:22" x14ac:dyDescent="0.2">
      <c r="A130" s="33" t="s">
        <v>201</v>
      </c>
      <c r="B130" s="47">
        <f t="shared" ref="B130:V130" si="51">B88*(1-$B$20)+B117+B113+B115</f>
        <v>0</v>
      </c>
      <c r="C130" s="47">
        <f t="shared" si="51"/>
        <v>-213</v>
      </c>
      <c r="D130" s="47">
        <f t="shared" si="51"/>
        <v>861.75</v>
      </c>
      <c r="E130" s="47">
        <f t="shared" si="51"/>
        <v>1345.5</v>
      </c>
      <c r="F130" s="47">
        <f t="shared" si="51"/>
        <v>1444.5</v>
      </c>
      <c r="G130" s="47">
        <f t="shared" si="51"/>
        <v>1546.5</v>
      </c>
      <c r="H130" s="47">
        <f t="shared" si="51"/>
        <v>1644.75</v>
      </c>
      <c r="I130" s="47">
        <f t="shared" si="51"/>
        <v>1644.75</v>
      </c>
      <c r="J130" s="47">
        <f t="shared" si="51"/>
        <v>1644.75</v>
      </c>
      <c r="K130" s="47">
        <f t="shared" si="51"/>
        <v>1644.75</v>
      </c>
      <c r="L130" s="47">
        <f t="shared" si="51"/>
        <v>1644.75</v>
      </c>
      <c r="M130" s="47">
        <f t="shared" si="51"/>
        <v>1644.75</v>
      </c>
      <c r="N130" s="47">
        <f t="shared" si="51"/>
        <v>1644.75</v>
      </c>
      <c r="O130" s="47">
        <f t="shared" si="51"/>
        <v>1644.75</v>
      </c>
      <c r="P130" s="47">
        <f t="shared" si="51"/>
        <v>1644.75</v>
      </c>
      <c r="Q130" s="47">
        <f t="shared" si="51"/>
        <v>1644.75</v>
      </c>
      <c r="R130" s="47">
        <f t="shared" si="51"/>
        <v>1644.75</v>
      </c>
      <c r="S130" s="47">
        <f t="shared" si="51"/>
        <v>1644.75</v>
      </c>
      <c r="T130" s="47">
        <f t="shared" si="51"/>
        <v>1644.75</v>
      </c>
      <c r="U130" s="47">
        <f t="shared" si="51"/>
        <v>1644.75</v>
      </c>
      <c r="V130" s="47">
        <f t="shared" si="51"/>
        <v>1644.75</v>
      </c>
    </row>
    <row r="131" spans="1:22" x14ac:dyDescent="0.2">
      <c r="A131" s="33" t="s">
        <v>598</v>
      </c>
      <c r="B131" s="48">
        <v>7.0000000000000007E-2</v>
      </c>
      <c r="D131" s="45"/>
    </row>
    <row r="132" spans="1:22" x14ac:dyDescent="0.2">
      <c r="A132" s="33" t="s">
        <v>396</v>
      </c>
      <c r="B132" s="47">
        <f>NPV(B131,B130:V130)</f>
        <v>13586.252013829318</v>
      </c>
    </row>
  </sheetData>
  <mergeCells count="3">
    <mergeCell ref="A1:H1"/>
    <mergeCell ref="A75:H75"/>
    <mergeCell ref="A73:H73"/>
  </mergeCells>
  <pageMargins left="0.7" right="0.7" top="0.75" bottom="0.75" header="0.3" footer="0.3"/>
  <pageSetup paperSize="9" orientation="portrait" r:id="rId1"/>
  <headerFooter>
    <oddFooter>&amp;L&amp;1#&amp;"Calibri"&amp;1&amp;KFFFFFFC1 - Public Natixis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6">
    <pageSetUpPr fitToPage="1"/>
  </sheetPr>
  <dimension ref="A1:I66"/>
  <sheetViews>
    <sheetView showGridLines="0" workbookViewId="0">
      <selection activeCell="E30" sqref="E30"/>
    </sheetView>
  </sheetViews>
  <sheetFormatPr baseColWidth="10" defaultColWidth="11" defaultRowHeight="14" x14ac:dyDescent="0.15"/>
  <cols>
    <col min="1" max="1" width="27.83203125" style="3" customWidth="1"/>
    <col min="2" max="4" width="5.83203125" style="3" customWidth="1"/>
    <col min="5" max="5" width="1.1640625" style="3" customWidth="1"/>
    <col min="6" max="6" width="24.83203125" style="3" customWidth="1"/>
    <col min="7" max="9" width="5.83203125" style="3" customWidth="1"/>
    <col min="10" max="16384" width="11" style="3"/>
  </cols>
  <sheetData>
    <row r="1" spans="1:8" ht="15" x14ac:dyDescent="0.15">
      <c r="A1" s="1" t="s">
        <v>1225</v>
      </c>
    </row>
    <row r="2" spans="1:8" x14ac:dyDescent="0.15">
      <c r="A2" s="317" t="s">
        <v>1200</v>
      </c>
      <c r="B2" s="343" t="s">
        <v>1206</v>
      </c>
      <c r="C2" s="343" t="s">
        <v>1433</v>
      </c>
      <c r="D2" s="5"/>
      <c r="E2" s="5"/>
      <c r="F2" s="317" t="s">
        <v>1207</v>
      </c>
      <c r="G2" s="343" t="s">
        <v>1206</v>
      </c>
      <c r="H2" s="343" t="s">
        <v>1433</v>
      </c>
    </row>
    <row r="3" spans="1:8" ht="30" x14ac:dyDescent="0.15">
      <c r="A3" s="6" t="s">
        <v>1201</v>
      </c>
      <c r="B3" s="3">
        <v>100</v>
      </c>
      <c r="C3" s="3">
        <v>30</v>
      </c>
      <c r="F3" s="3" t="s">
        <v>1208</v>
      </c>
      <c r="G3" s="3">
        <v>40</v>
      </c>
      <c r="H3" s="3">
        <v>10</v>
      </c>
    </row>
    <row r="4" spans="1:8" ht="15" x14ac:dyDescent="0.15">
      <c r="A4" s="6" t="s">
        <v>1202</v>
      </c>
      <c r="F4" s="3" t="s">
        <v>1209</v>
      </c>
      <c r="G4" s="3">
        <v>80</v>
      </c>
      <c r="H4" s="3">
        <v>10</v>
      </c>
    </row>
    <row r="5" spans="1:8" x14ac:dyDescent="0.15">
      <c r="A5" s="17" t="s">
        <v>1203</v>
      </c>
      <c r="B5" s="3">
        <v>16</v>
      </c>
      <c r="F5" s="3" t="s">
        <v>1044</v>
      </c>
      <c r="G5" s="3">
        <v>10</v>
      </c>
      <c r="H5" s="3">
        <v>5</v>
      </c>
    </row>
    <row r="6" spans="1:8" x14ac:dyDescent="0.15">
      <c r="A6" s="17" t="s">
        <v>1204</v>
      </c>
      <c r="B6" s="3">
        <v>5</v>
      </c>
      <c r="F6" s="3" t="s">
        <v>1210</v>
      </c>
      <c r="G6" s="3">
        <v>191</v>
      </c>
      <c r="H6" s="3">
        <v>75</v>
      </c>
    </row>
    <row r="7" spans="1:8" ht="15" x14ac:dyDescent="0.15">
      <c r="A7" s="6" t="s">
        <v>1205</v>
      </c>
      <c r="B7" s="3">
        <v>200</v>
      </c>
      <c r="C7" s="3">
        <v>70</v>
      </c>
    </row>
    <row r="8" spans="1:8" x14ac:dyDescent="0.15">
      <c r="A8" s="265" t="s">
        <v>936</v>
      </c>
      <c r="B8" s="265">
        <f>SUM(B3:B7)</f>
        <v>321</v>
      </c>
      <c r="C8" s="265">
        <f>SUM(C3:C7)</f>
        <v>100</v>
      </c>
      <c r="D8" s="7"/>
      <c r="E8" s="7"/>
      <c r="F8" s="265" t="s">
        <v>936</v>
      </c>
      <c r="G8" s="265">
        <f>SUM(G3:G7)</f>
        <v>321</v>
      </c>
      <c r="H8" s="265">
        <f>SUM(H3:H7)</f>
        <v>100</v>
      </c>
    </row>
    <row r="10" spans="1:8" x14ac:dyDescent="0.15">
      <c r="A10" s="317" t="s">
        <v>1211</v>
      </c>
      <c r="B10" s="343" t="s">
        <v>1206</v>
      </c>
      <c r="C10" s="343" t="s">
        <v>1433</v>
      </c>
      <c r="D10" s="5"/>
      <c r="E10" s="5"/>
    </row>
    <row r="11" spans="1:8" x14ac:dyDescent="0.15">
      <c r="A11" s="86" t="s">
        <v>1212</v>
      </c>
      <c r="B11" s="3">
        <v>200</v>
      </c>
      <c r="C11" s="3">
        <v>90</v>
      </c>
    </row>
    <row r="12" spans="1:8" x14ac:dyDescent="0.15">
      <c r="A12" s="86" t="s">
        <v>1222</v>
      </c>
      <c r="B12" s="3">
        <v>100</v>
      </c>
      <c r="C12" s="3">
        <v>50</v>
      </c>
    </row>
    <row r="13" spans="1:8" x14ac:dyDescent="0.15">
      <c r="A13" s="86" t="s">
        <v>1221</v>
      </c>
      <c r="C13" s="3">
        <v>2</v>
      </c>
    </row>
    <row r="14" spans="1:8" x14ac:dyDescent="0.15">
      <c r="A14" s="86" t="s">
        <v>1220</v>
      </c>
      <c r="B14" s="3">
        <v>25</v>
      </c>
      <c r="C14" s="3">
        <v>20</v>
      </c>
    </row>
    <row r="15" spans="1:8" x14ac:dyDescent="0.15">
      <c r="A15" s="86" t="s">
        <v>1219</v>
      </c>
      <c r="B15" s="3">
        <v>40</v>
      </c>
      <c r="C15" s="3">
        <v>8</v>
      </c>
    </row>
    <row r="16" spans="1:8" x14ac:dyDescent="0.15">
      <c r="A16" s="86" t="s">
        <v>1218</v>
      </c>
      <c r="B16" s="3">
        <v>10</v>
      </c>
      <c r="C16" s="3">
        <v>1</v>
      </c>
    </row>
    <row r="17" spans="1:9" x14ac:dyDescent="0.15">
      <c r="A17" s="86" t="s">
        <v>1213</v>
      </c>
      <c r="B17" s="3">
        <v>3</v>
      </c>
    </row>
    <row r="18" spans="1:9" x14ac:dyDescent="0.15">
      <c r="A18" s="86" t="s">
        <v>1217</v>
      </c>
      <c r="B18" s="3">
        <v>9</v>
      </c>
    </row>
    <row r="19" spans="1:9" x14ac:dyDescent="0.15">
      <c r="A19" s="86" t="s">
        <v>1214</v>
      </c>
      <c r="B19" s="3">
        <v>2</v>
      </c>
    </row>
    <row r="20" spans="1:9" x14ac:dyDescent="0.15">
      <c r="A20" s="86" t="s">
        <v>1216</v>
      </c>
      <c r="B20" s="3">
        <v>11</v>
      </c>
      <c r="C20" s="3">
        <v>4</v>
      </c>
    </row>
    <row r="21" spans="1:9" x14ac:dyDescent="0.15">
      <c r="A21" s="293" t="s">
        <v>1215</v>
      </c>
      <c r="B21" s="265">
        <f>B11-B12-B13-B14-B15-B16+B17-B18+B19-B20</f>
        <v>10</v>
      </c>
      <c r="C21" s="265">
        <f>C11-C12-C13-C14-C15-C16+C17-C18+C19-C20</f>
        <v>5</v>
      </c>
      <c r="D21" s="7"/>
      <c r="E21" s="7"/>
    </row>
    <row r="24" spans="1:9" x14ac:dyDescent="0.15">
      <c r="A24" s="5" t="s">
        <v>1434</v>
      </c>
    </row>
    <row r="25" spans="1:9" x14ac:dyDescent="0.15">
      <c r="A25" s="317" t="s">
        <v>1200</v>
      </c>
      <c r="B25" s="344">
        <v>0.8</v>
      </c>
      <c r="C25" s="344">
        <v>0.5</v>
      </c>
      <c r="D25" s="344">
        <v>0.2</v>
      </c>
      <c r="E25" s="397"/>
      <c r="F25" s="317" t="s">
        <v>1207</v>
      </c>
      <c r="G25" s="344">
        <v>0.8</v>
      </c>
      <c r="H25" s="344">
        <v>0.5</v>
      </c>
      <c r="I25" s="344">
        <v>0.2</v>
      </c>
    </row>
    <row r="26" spans="1:9" ht="30" x14ac:dyDescent="0.15">
      <c r="A26" s="6" t="s">
        <v>1201</v>
      </c>
      <c r="B26" s="3">
        <f>B3+C3</f>
        <v>130</v>
      </c>
      <c r="C26" s="3">
        <f>B3+$C$25*C3</f>
        <v>115</v>
      </c>
      <c r="D26" s="3">
        <f>B3</f>
        <v>100</v>
      </c>
      <c r="F26" s="3" t="s">
        <v>1208</v>
      </c>
      <c r="G26" s="3">
        <f>G3</f>
        <v>40</v>
      </c>
      <c r="H26" s="3">
        <f>G3</f>
        <v>40</v>
      </c>
      <c r="I26" s="3">
        <f>G3</f>
        <v>40</v>
      </c>
    </row>
    <row r="27" spans="1:9" ht="15" x14ac:dyDescent="0.15">
      <c r="A27" s="6" t="s">
        <v>1202</v>
      </c>
      <c r="B27" s="3">
        <f>B28+B29</f>
        <v>5</v>
      </c>
      <c r="C27" s="3">
        <f>C28+C29</f>
        <v>5</v>
      </c>
      <c r="D27" s="3">
        <f>D28+D29</f>
        <v>10</v>
      </c>
      <c r="F27" s="3" t="s">
        <v>1209</v>
      </c>
    </row>
    <row r="28" spans="1:9" x14ac:dyDescent="0.15">
      <c r="A28" s="17" t="s">
        <v>322</v>
      </c>
      <c r="B28" s="22"/>
      <c r="C28" s="22"/>
      <c r="D28" s="22">
        <f>SUM(H3:H5)*D25</f>
        <v>5</v>
      </c>
      <c r="E28" s="22"/>
      <c r="F28" s="17" t="s">
        <v>1223</v>
      </c>
      <c r="G28" s="3">
        <f>G4+H4+H3-B5-G29</f>
        <v>80</v>
      </c>
      <c r="H28" s="3">
        <f>G4+H4*C25+H3*C25-B5</f>
        <v>74</v>
      </c>
      <c r="I28" s="3">
        <f>G4+D25*SUM(H3:H4)-B5</f>
        <v>68</v>
      </c>
    </row>
    <row r="29" spans="1:9" x14ac:dyDescent="0.15">
      <c r="A29" s="17" t="s">
        <v>1204</v>
      </c>
      <c r="B29" s="22">
        <f>B6</f>
        <v>5</v>
      </c>
      <c r="C29" s="22">
        <f>B6+$C$25*C6</f>
        <v>5</v>
      </c>
      <c r="D29" s="22">
        <f>B6</f>
        <v>5</v>
      </c>
      <c r="E29" s="22"/>
      <c r="F29" s="17" t="s">
        <v>1224</v>
      </c>
      <c r="G29" s="3">
        <f>(H4+H3)*(1-B25)</f>
        <v>3.9999999999999991</v>
      </c>
    </row>
    <row r="30" spans="1:9" ht="15" x14ac:dyDescent="0.15">
      <c r="A30" s="6" t="s">
        <v>1205</v>
      </c>
      <c r="B30" s="3">
        <f>B7+C7</f>
        <v>270</v>
      </c>
      <c r="C30" s="3">
        <f>B7+$C$25*C7</f>
        <v>235</v>
      </c>
      <c r="D30" s="3">
        <f>B7</f>
        <v>200</v>
      </c>
      <c r="F30" s="3" t="s">
        <v>1044</v>
      </c>
    </row>
    <row r="31" spans="1:9" x14ac:dyDescent="0.15">
      <c r="A31" s="6"/>
      <c r="F31" s="17" t="s">
        <v>1223</v>
      </c>
      <c r="G31" s="3">
        <f>G5+H5*B25</f>
        <v>14</v>
      </c>
      <c r="H31" s="3">
        <f>G5+H5*C25</f>
        <v>12.5</v>
      </c>
      <c r="I31" s="3">
        <f>G5+H5*D25</f>
        <v>11</v>
      </c>
    </row>
    <row r="32" spans="1:9" x14ac:dyDescent="0.15">
      <c r="E32" s="7"/>
      <c r="F32" s="17" t="s">
        <v>1224</v>
      </c>
      <c r="G32" s="3">
        <f>H5*(1-B25)</f>
        <v>0.99999999999999978</v>
      </c>
    </row>
    <row r="33" spans="1:9" x14ac:dyDescent="0.15">
      <c r="F33" s="3" t="s">
        <v>1210</v>
      </c>
      <c r="G33" s="3">
        <f>G6+H6</f>
        <v>266</v>
      </c>
      <c r="H33" s="3">
        <f>G6+H6*$C$25</f>
        <v>228.5</v>
      </c>
      <c r="I33" s="3">
        <f>G6</f>
        <v>191</v>
      </c>
    </row>
    <row r="34" spans="1:9" x14ac:dyDescent="0.15">
      <c r="A34" s="265" t="s">
        <v>936</v>
      </c>
      <c r="B34" s="265">
        <f>B26+B27+B30</f>
        <v>405</v>
      </c>
      <c r="C34" s="265">
        <f>C26+C27+C30</f>
        <v>355</v>
      </c>
      <c r="D34" s="265">
        <f>D26+D27+D30</f>
        <v>310</v>
      </c>
      <c r="F34" s="265" t="s">
        <v>936</v>
      </c>
      <c r="G34" s="265">
        <f>SUM(G26:G33)</f>
        <v>405</v>
      </c>
      <c r="H34" s="265">
        <f>SUM(H26:H33)</f>
        <v>355</v>
      </c>
      <c r="I34" s="265">
        <f>SUM(I26:I33)</f>
        <v>310</v>
      </c>
    </row>
    <row r="35" spans="1:9" x14ac:dyDescent="0.15">
      <c r="F35" s="7"/>
      <c r="G35" s="7"/>
      <c r="H35" s="7"/>
      <c r="I35" s="7"/>
    </row>
    <row r="36" spans="1:9" x14ac:dyDescent="0.15">
      <c r="F36" s="7"/>
      <c r="G36" s="7"/>
      <c r="H36" s="7"/>
      <c r="I36" s="7"/>
    </row>
    <row r="37" spans="1:9" x14ac:dyDescent="0.15">
      <c r="A37" s="317" t="s">
        <v>1211</v>
      </c>
      <c r="B37" s="344">
        <v>0.8</v>
      </c>
      <c r="C37" s="344">
        <v>0.5</v>
      </c>
      <c r="D37" s="344">
        <v>0.2</v>
      </c>
      <c r="E37" s="80"/>
    </row>
    <row r="38" spans="1:9" x14ac:dyDescent="0.15">
      <c r="A38" s="86" t="s">
        <v>1212</v>
      </c>
      <c r="B38" s="3">
        <f>B11+C11</f>
        <v>290</v>
      </c>
      <c r="C38" s="3">
        <f>B11+C11*$C$25</f>
        <v>245</v>
      </c>
      <c r="D38" s="3">
        <f t="shared" ref="D38:D44" si="0">B11</f>
        <v>200</v>
      </c>
    </row>
    <row r="39" spans="1:9" x14ac:dyDescent="0.15">
      <c r="A39" s="86" t="s">
        <v>1222</v>
      </c>
      <c r="B39" s="3">
        <f t="shared" ref="B39:B44" si="1">B12+C12</f>
        <v>150</v>
      </c>
      <c r="C39" s="3">
        <f t="shared" ref="C39:C44" si="2">B12+C12*$C$25</f>
        <v>125</v>
      </c>
      <c r="D39" s="3">
        <f t="shared" si="0"/>
        <v>100</v>
      </c>
    </row>
    <row r="40" spans="1:9" x14ac:dyDescent="0.15">
      <c r="A40" s="86" t="s">
        <v>1221</v>
      </c>
      <c r="B40" s="3">
        <f t="shared" si="1"/>
        <v>2</v>
      </c>
      <c r="C40" s="3">
        <f t="shared" si="2"/>
        <v>1</v>
      </c>
      <c r="D40" s="3">
        <f t="shared" si="0"/>
        <v>0</v>
      </c>
    </row>
    <row r="41" spans="1:9" x14ac:dyDescent="0.15">
      <c r="A41" s="86" t="s">
        <v>1220</v>
      </c>
      <c r="B41" s="3">
        <f t="shared" si="1"/>
        <v>45</v>
      </c>
      <c r="C41" s="3">
        <f t="shared" si="2"/>
        <v>35</v>
      </c>
      <c r="D41" s="3">
        <f t="shared" si="0"/>
        <v>25</v>
      </c>
    </row>
    <row r="42" spans="1:9" x14ac:dyDescent="0.15">
      <c r="A42" s="86" t="s">
        <v>1219</v>
      </c>
      <c r="B42" s="3">
        <f t="shared" si="1"/>
        <v>48</v>
      </c>
      <c r="C42" s="3">
        <f t="shared" si="2"/>
        <v>44</v>
      </c>
      <c r="D42" s="3">
        <f t="shared" si="0"/>
        <v>40</v>
      </c>
    </row>
    <row r="43" spans="1:9" x14ac:dyDescent="0.15">
      <c r="A43" s="86" t="s">
        <v>1218</v>
      </c>
      <c r="B43" s="3">
        <f t="shared" si="1"/>
        <v>11</v>
      </c>
      <c r="C43" s="3">
        <f t="shared" si="2"/>
        <v>10.5</v>
      </c>
      <c r="D43" s="3">
        <f t="shared" si="0"/>
        <v>10</v>
      </c>
    </row>
    <row r="44" spans="1:9" x14ac:dyDescent="0.15">
      <c r="A44" s="86" t="s">
        <v>1213</v>
      </c>
      <c r="B44" s="3">
        <f t="shared" si="1"/>
        <v>3</v>
      </c>
      <c r="C44" s="3">
        <f t="shared" si="2"/>
        <v>3</v>
      </c>
      <c r="D44" s="3">
        <f t="shared" si="0"/>
        <v>3</v>
      </c>
    </row>
    <row r="45" spans="1:9" ht="30" x14ac:dyDescent="0.15">
      <c r="A45" s="182" t="s">
        <v>323</v>
      </c>
      <c r="D45" s="3">
        <f>C21*D25</f>
        <v>1</v>
      </c>
    </row>
    <row r="46" spans="1:9" x14ac:dyDescent="0.15">
      <c r="A46" s="86" t="s">
        <v>1217</v>
      </c>
      <c r="B46" s="3">
        <f>B18+C18</f>
        <v>9</v>
      </c>
      <c r="C46" s="3">
        <f>B18+C18*$C$25</f>
        <v>9</v>
      </c>
      <c r="D46" s="3">
        <f>B18</f>
        <v>9</v>
      </c>
    </row>
    <row r="47" spans="1:9" x14ac:dyDescent="0.15">
      <c r="A47" s="86" t="s">
        <v>1214</v>
      </c>
      <c r="B47" s="3">
        <f>B19+C19</f>
        <v>2</v>
      </c>
      <c r="C47" s="3">
        <f>B19+C19*$C$25</f>
        <v>2</v>
      </c>
      <c r="D47" s="3">
        <f>B19</f>
        <v>2</v>
      </c>
    </row>
    <row r="48" spans="1:9" x14ac:dyDescent="0.15">
      <c r="A48" s="86" t="s">
        <v>1216</v>
      </c>
      <c r="B48" s="3">
        <f>B20+C20</f>
        <v>15</v>
      </c>
      <c r="C48" s="3">
        <f>B20+C20*$C$25</f>
        <v>13</v>
      </c>
      <c r="D48" s="3">
        <f>B20</f>
        <v>11</v>
      </c>
    </row>
    <row r="49" spans="1:6" x14ac:dyDescent="0.15">
      <c r="A49" s="294" t="s">
        <v>1215</v>
      </c>
      <c r="B49" s="7">
        <f>B38-B39-B40-B41-B42-B43+B44-B46+B47-B48</f>
        <v>15</v>
      </c>
      <c r="C49" s="7">
        <f>C38-C39-C40-C41-C42-C43+C44-C46+C47-C48</f>
        <v>12.5</v>
      </c>
      <c r="D49" s="7">
        <f>D38-D39-D40-D41-D42-D43+D44+D45-D46+D47-D48</f>
        <v>11</v>
      </c>
      <c r="E49" s="7"/>
    </row>
    <row r="50" spans="1:6" x14ac:dyDescent="0.15">
      <c r="A50" s="86" t="s">
        <v>349</v>
      </c>
      <c r="B50" s="3">
        <f>(1-B25)*C21</f>
        <v>0.99999999999999978</v>
      </c>
    </row>
    <row r="51" spans="1:6" x14ac:dyDescent="0.15">
      <c r="A51" s="293" t="s">
        <v>324</v>
      </c>
      <c r="B51" s="265">
        <f>B49-B50</f>
        <v>14</v>
      </c>
      <c r="C51" s="265"/>
      <c r="D51" s="265"/>
      <c r="E51" s="7"/>
    </row>
    <row r="52" spans="1:6" x14ac:dyDescent="0.15">
      <c r="A52" s="17"/>
    </row>
    <row r="54" spans="1:6" ht="15" x14ac:dyDescent="0.15">
      <c r="A54" s="8" t="s">
        <v>1227</v>
      </c>
    </row>
    <row r="56" spans="1:6" x14ac:dyDescent="0.15">
      <c r="A56" s="513" t="s">
        <v>1606</v>
      </c>
      <c r="B56" s="514"/>
      <c r="C56" s="514"/>
      <c r="D56" s="514"/>
      <c r="E56" s="514"/>
      <c r="F56" s="514"/>
    </row>
    <row r="57" spans="1:6" x14ac:dyDescent="0.15">
      <c r="A57" s="514"/>
      <c r="B57" s="514"/>
      <c r="C57" s="514"/>
      <c r="D57" s="514"/>
      <c r="E57" s="514"/>
      <c r="F57" s="514"/>
    </row>
    <row r="58" spans="1:6" x14ac:dyDescent="0.15">
      <c r="A58" s="514"/>
      <c r="B58" s="514"/>
      <c r="C58" s="514"/>
      <c r="D58" s="514"/>
      <c r="E58" s="514"/>
      <c r="F58" s="514"/>
    </row>
    <row r="59" spans="1:6" x14ac:dyDescent="0.15">
      <c r="A59" s="514"/>
      <c r="B59" s="514"/>
      <c r="C59" s="514"/>
      <c r="D59" s="514"/>
      <c r="E59" s="514"/>
      <c r="F59" s="514"/>
    </row>
    <row r="60" spans="1:6" x14ac:dyDescent="0.15">
      <c r="A60" s="514"/>
      <c r="B60" s="514"/>
      <c r="C60" s="514"/>
      <c r="D60" s="514"/>
      <c r="E60" s="514"/>
      <c r="F60" s="514"/>
    </row>
    <row r="61" spans="1:6" x14ac:dyDescent="0.15">
      <c r="A61" s="514"/>
      <c r="B61" s="514"/>
      <c r="C61" s="514"/>
      <c r="D61" s="514"/>
      <c r="E61" s="514"/>
      <c r="F61" s="514"/>
    </row>
    <row r="62" spans="1:6" x14ac:dyDescent="0.15">
      <c r="A62" s="514"/>
      <c r="B62" s="514"/>
      <c r="C62" s="514"/>
      <c r="D62" s="514"/>
      <c r="E62" s="514"/>
      <c r="F62" s="514"/>
    </row>
    <row r="63" spans="1:6" x14ac:dyDescent="0.15">
      <c r="A63" s="514"/>
      <c r="B63" s="514"/>
      <c r="C63" s="514"/>
      <c r="D63" s="514"/>
      <c r="E63" s="514"/>
      <c r="F63" s="514"/>
    </row>
    <row r="64" spans="1:6" x14ac:dyDescent="0.15">
      <c r="A64" s="514"/>
      <c r="B64" s="514"/>
      <c r="C64" s="514"/>
      <c r="D64" s="514"/>
      <c r="E64" s="514"/>
      <c r="F64" s="514"/>
    </row>
    <row r="65" spans="1:6" x14ac:dyDescent="0.15">
      <c r="A65" s="514"/>
      <c r="B65" s="514"/>
      <c r="C65" s="514"/>
      <c r="D65" s="514"/>
      <c r="E65" s="514"/>
      <c r="F65" s="514"/>
    </row>
    <row r="66" spans="1:6" x14ac:dyDescent="0.15">
      <c r="A66" s="514"/>
      <c r="B66" s="514"/>
      <c r="C66" s="514"/>
      <c r="D66" s="514"/>
      <c r="E66" s="514"/>
      <c r="F66" s="514"/>
    </row>
  </sheetData>
  <mergeCells count="1">
    <mergeCell ref="A56:F66"/>
  </mergeCells>
  <phoneticPr fontId="4" type="noConversion"/>
  <pageMargins left="0.78740157480314965" right="0.78740157480314965" top="0.98425196850393704" bottom="0.98425196850393704" header="0.51181102362204722" footer="0.51181102362204722"/>
  <pageSetup paperSize="9" fitToHeight="3"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7">
    <pageSetUpPr fitToPage="1"/>
  </sheetPr>
  <dimension ref="A1:H137"/>
  <sheetViews>
    <sheetView showGridLines="0" workbookViewId="0"/>
  </sheetViews>
  <sheetFormatPr baseColWidth="10" defaultColWidth="11" defaultRowHeight="14" x14ac:dyDescent="0.15"/>
  <cols>
    <col min="1" max="1" width="37.1640625" style="3" bestFit="1" customWidth="1"/>
    <col min="2" max="5" width="12.1640625" style="3" bestFit="1" customWidth="1"/>
    <col min="6" max="6" width="13.1640625" style="3" bestFit="1" customWidth="1"/>
    <col min="7" max="16384" width="11" style="3"/>
  </cols>
  <sheetData>
    <row r="1" spans="1:7" ht="15" x14ac:dyDescent="0.15">
      <c r="A1" s="1" t="s">
        <v>539</v>
      </c>
      <c r="F1" s="83"/>
      <c r="G1" s="83"/>
    </row>
    <row r="2" spans="1:7" x14ac:dyDescent="0.15">
      <c r="A2" s="342"/>
      <c r="B2" s="343">
        <v>2023</v>
      </c>
      <c r="C2" s="343">
        <v>2024</v>
      </c>
      <c r="D2" s="343">
        <v>2025</v>
      </c>
      <c r="F2" s="5"/>
      <c r="G2" s="5"/>
    </row>
    <row r="3" spans="1:7" x14ac:dyDescent="0.15">
      <c r="A3" s="3" t="s">
        <v>1171</v>
      </c>
      <c r="B3" s="166">
        <v>256</v>
      </c>
      <c r="C3" s="166">
        <v>326</v>
      </c>
      <c r="D3" s="166">
        <v>422</v>
      </c>
      <c r="E3" s="166"/>
      <c r="F3" s="166"/>
    </row>
    <row r="4" spans="1:7" x14ac:dyDescent="0.15">
      <c r="A4" s="3" t="s">
        <v>60</v>
      </c>
      <c r="B4" s="166">
        <v>78</v>
      </c>
      <c r="C4" s="166">
        <v>104</v>
      </c>
      <c r="D4" s="166">
        <v>143</v>
      </c>
      <c r="E4" s="80"/>
      <c r="F4" s="166"/>
      <c r="G4" s="166"/>
    </row>
    <row r="5" spans="1:7" x14ac:dyDescent="0.15">
      <c r="A5" s="3" t="s">
        <v>934</v>
      </c>
      <c r="B5" s="166">
        <v>102</v>
      </c>
      <c r="C5" s="166">
        <v>139</v>
      </c>
      <c r="D5" s="166">
        <v>190</v>
      </c>
      <c r="E5" s="166"/>
      <c r="F5" s="166"/>
      <c r="G5" s="166"/>
    </row>
    <row r="6" spans="1:7" x14ac:dyDescent="0.15">
      <c r="A6" s="3" t="s">
        <v>1007</v>
      </c>
      <c r="B6" s="166">
        <v>41</v>
      </c>
      <c r="C6" s="166">
        <v>52</v>
      </c>
      <c r="D6" s="166">
        <v>59</v>
      </c>
      <c r="E6" s="166"/>
      <c r="F6" s="166"/>
    </row>
    <row r="7" spans="1:7" x14ac:dyDescent="0.15">
      <c r="A7" s="3" t="s">
        <v>1044</v>
      </c>
      <c r="B7" s="166">
        <v>23</v>
      </c>
      <c r="C7" s="166">
        <v>27</v>
      </c>
      <c r="D7" s="166">
        <v>30</v>
      </c>
      <c r="E7" s="166"/>
      <c r="F7" s="166"/>
    </row>
    <row r="8" spans="1:7" x14ac:dyDescent="0.15">
      <c r="A8" s="3" t="s">
        <v>1189</v>
      </c>
      <c r="B8" s="166">
        <v>119</v>
      </c>
      <c r="C8" s="166">
        <v>129</v>
      </c>
      <c r="D8" s="166">
        <v>152</v>
      </c>
      <c r="E8" s="166"/>
      <c r="F8" s="166"/>
    </row>
    <row r="9" spans="1:7" x14ac:dyDescent="0.15">
      <c r="A9" s="3" t="s">
        <v>61</v>
      </c>
      <c r="B9" s="166">
        <v>42</v>
      </c>
      <c r="C9" s="166">
        <v>125</v>
      </c>
      <c r="D9" s="166">
        <v>150</v>
      </c>
      <c r="E9" s="166"/>
      <c r="F9" s="166"/>
    </row>
    <row r="11" spans="1:7" x14ac:dyDescent="0.15">
      <c r="A11" s="172" t="s">
        <v>62</v>
      </c>
    </row>
    <row r="12" spans="1:7" x14ac:dyDescent="0.15">
      <c r="A12" s="172"/>
    </row>
    <row r="13" spans="1:7" x14ac:dyDescent="0.15">
      <c r="A13" s="3" t="s">
        <v>327</v>
      </c>
      <c r="C13" s="80">
        <f>C3/B3-1</f>
        <v>0.2734375</v>
      </c>
      <c r="D13" s="80">
        <f>D3/C3-1</f>
        <v>0.29447852760736204</v>
      </c>
    </row>
    <row r="14" spans="1:7" x14ac:dyDescent="0.15">
      <c r="A14" s="3" t="s">
        <v>328</v>
      </c>
      <c r="B14" s="80">
        <f>B6/B3</f>
        <v>0.16015625</v>
      </c>
      <c r="C14" s="80">
        <f>C6/C3</f>
        <v>0.15950920245398773</v>
      </c>
      <c r="D14" s="80">
        <f>D6/D3</f>
        <v>0.13981042654028436</v>
      </c>
    </row>
    <row r="15" spans="1:7" x14ac:dyDescent="0.15">
      <c r="A15" s="3" t="s">
        <v>329</v>
      </c>
      <c r="B15" s="80">
        <f>B7/B3</f>
        <v>8.984375E-2</v>
      </c>
      <c r="C15" s="80">
        <f>C7/C3</f>
        <v>8.2822085889570546E-2</v>
      </c>
      <c r="D15" s="80">
        <f>D7/D3</f>
        <v>7.1090047393364927E-2</v>
      </c>
    </row>
    <row r="16" spans="1:7" x14ac:dyDescent="0.15">
      <c r="A16" s="3" t="s">
        <v>331</v>
      </c>
      <c r="B16" s="80">
        <f>B6*0.6/(B8+B9)</f>
        <v>0.15279503105590062</v>
      </c>
      <c r="C16" s="80">
        <f>C6*0.6/(C8+C9)</f>
        <v>0.12283464566929134</v>
      </c>
      <c r="D16" s="80">
        <f>D6*0.6/(D8+D9)</f>
        <v>0.11721854304635761</v>
      </c>
    </row>
    <row r="17" spans="1:8" x14ac:dyDescent="0.15">
      <c r="A17" s="3" t="s">
        <v>63</v>
      </c>
      <c r="B17" s="81">
        <f>B8/B9</f>
        <v>2.8333333333333335</v>
      </c>
      <c r="C17" s="81">
        <f>C8/C9</f>
        <v>1.032</v>
      </c>
      <c r="D17" s="81">
        <f>D8/D9</f>
        <v>1.0133333333333334</v>
      </c>
    </row>
    <row r="18" spans="1:8" x14ac:dyDescent="0.15">
      <c r="A18" s="3" t="s">
        <v>199</v>
      </c>
      <c r="B18" s="81">
        <f>B7/B8</f>
        <v>0.19327731092436976</v>
      </c>
      <c r="C18" s="81">
        <f>C7/C8</f>
        <v>0.20930232558139536</v>
      </c>
      <c r="D18" s="81">
        <f>D7/D8</f>
        <v>0.19736842105263158</v>
      </c>
    </row>
    <row r="19" spans="1:8" x14ac:dyDescent="0.15">
      <c r="B19" s="80"/>
      <c r="C19" s="80"/>
      <c r="D19" s="80"/>
    </row>
    <row r="20" spans="1:8" x14ac:dyDescent="0.15">
      <c r="B20" s="80"/>
      <c r="C20" s="80"/>
      <c r="D20" s="80"/>
    </row>
    <row r="21" spans="1:8" x14ac:dyDescent="0.15">
      <c r="A21" s="172" t="s">
        <v>335</v>
      </c>
      <c r="B21" s="80"/>
      <c r="C21" s="80"/>
      <c r="D21" s="80"/>
    </row>
    <row r="22" spans="1:8" x14ac:dyDescent="0.15">
      <c r="A22" s="7"/>
      <c r="B22" s="80"/>
      <c r="C22" s="80"/>
      <c r="D22" s="80"/>
    </row>
    <row r="23" spans="1:8" x14ac:dyDescent="0.15">
      <c r="A23" s="3" t="s">
        <v>332</v>
      </c>
      <c r="B23" s="166">
        <f>B4+B5</f>
        <v>180</v>
      </c>
      <c r="C23" s="166">
        <f>C4+C5</f>
        <v>243</v>
      </c>
      <c r="D23" s="166">
        <f>D4+D5</f>
        <v>333</v>
      </c>
    </row>
    <row r="24" spans="1:8" x14ac:dyDescent="0.15">
      <c r="A24" s="3" t="s">
        <v>333</v>
      </c>
      <c r="B24" s="80">
        <f>B23/(B3-B6)</f>
        <v>0.83720930232558144</v>
      </c>
      <c r="C24" s="80">
        <f>C23/(C3-C6)</f>
        <v>0.88686131386861311</v>
      </c>
      <c r="D24" s="80">
        <f>D23/(D3-D6)</f>
        <v>0.9173553719008265</v>
      </c>
    </row>
    <row r="25" spans="1:8" x14ac:dyDescent="0.15">
      <c r="A25" s="3" t="s">
        <v>334</v>
      </c>
      <c r="B25" s="80">
        <f>B23/B3</f>
        <v>0.703125</v>
      </c>
      <c r="C25" s="80">
        <f>C23/C3</f>
        <v>0.745398773006135</v>
      </c>
      <c r="D25" s="80">
        <f>D23/D3</f>
        <v>0.7890995260663507</v>
      </c>
    </row>
    <row r="26" spans="1:8" x14ac:dyDescent="0.15">
      <c r="B26" s="80"/>
      <c r="C26" s="80"/>
      <c r="D26" s="80"/>
    </row>
    <row r="27" spans="1:8" x14ac:dyDescent="0.15">
      <c r="B27" s="80"/>
      <c r="C27" s="80"/>
      <c r="D27" s="80"/>
    </row>
    <row r="28" spans="1:8" x14ac:dyDescent="0.15">
      <c r="A28" s="172" t="s">
        <v>1710</v>
      </c>
      <c r="F28" s="83"/>
      <c r="G28" s="83"/>
      <c r="H28" s="83"/>
    </row>
    <row r="29" spans="1:8" x14ac:dyDescent="0.15">
      <c r="A29" s="172"/>
      <c r="F29" s="83"/>
      <c r="G29" s="83"/>
      <c r="H29" s="83"/>
    </row>
    <row r="30" spans="1:8" x14ac:dyDescent="0.15">
      <c r="A30" s="3" t="s">
        <v>1711</v>
      </c>
      <c r="F30" s="83"/>
      <c r="G30" s="83"/>
      <c r="H30" s="83"/>
    </row>
    <row r="31" spans="1:8" x14ac:dyDescent="0.15">
      <c r="F31" s="83"/>
      <c r="G31" s="83"/>
      <c r="H31" s="83"/>
    </row>
    <row r="32" spans="1:8" x14ac:dyDescent="0.15">
      <c r="A32" s="3" t="s">
        <v>336</v>
      </c>
      <c r="B32" s="80">
        <v>0.4</v>
      </c>
      <c r="F32" s="83"/>
      <c r="G32" s="83"/>
      <c r="H32" s="83"/>
    </row>
    <row r="33" spans="1:8" x14ac:dyDescent="0.15">
      <c r="A33" s="3" t="s">
        <v>337</v>
      </c>
      <c r="B33" s="80">
        <v>0.11</v>
      </c>
      <c r="F33" s="83"/>
      <c r="G33" s="83"/>
      <c r="H33" s="83"/>
    </row>
    <row r="34" spans="1:8" x14ac:dyDescent="0.15">
      <c r="A34" s="7"/>
      <c r="F34" s="83"/>
      <c r="G34" s="83"/>
      <c r="H34" s="83"/>
    </row>
    <row r="35" spans="1:8" x14ac:dyDescent="0.15">
      <c r="A35" s="342"/>
      <c r="B35" s="343">
        <v>2025</v>
      </c>
      <c r="C35" s="343">
        <v>2026</v>
      </c>
      <c r="D35" s="343" t="s">
        <v>338</v>
      </c>
    </row>
    <row r="36" spans="1:8" x14ac:dyDescent="0.15">
      <c r="A36" s="3" t="s">
        <v>1171</v>
      </c>
      <c r="B36" s="166">
        <f>D3</f>
        <v>422</v>
      </c>
      <c r="C36" s="166">
        <f>B36</f>
        <v>422</v>
      </c>
      <c r="D36" s="80"/>
      <c r="E36" s="166"/>
    </row>
    <row r="37" spans="1:8" x14ac:dyDescent="0.15">
      <c r="A37" s="3" t="s">
        <v>60</v>
      </c>
      <c r="B37" s="166">
        <f>+D4</f>
        <v>143</v>
      </c>
      <c r="C37" s="166">
        <f>B37*(1+B32)</f>
        <v>200.2</v>
      </c>
      <c r="D37" s="80">
        <f>C37/B37-1</f>
        <v>0.39999999999999991</v>
      </c>
      <c r="E37" s="166"/>
    </row>
    <row r="38" spans="1:8" x14ac:dyDescent="0.15">
      <c r="A38" s="3" t="s">
        <v>934</v>
      </c>
      <c r="B38" s="166">
        <f>D5</f>
        <v>190</v>
      </c>
      <c r="C38" s="166">
        <f>B38*(1+B33)</f>
        <v>210.9</v>
      </c>
      <c r="D38" s="80">
        <f>C38/B38-1</f>
        <v>0.1100000000000001</v>
      </c>
      <c r="E38" s="166"/>
    </row>
    <row r="39" spans="1:8" x14ac:dyDescent="0.15">
      <c r="A39" s="3" t="s">
        <v>1007</v>
      </c>
      <c r="B39" s="166">
        <f>D6</f>
        <v>59</v>
      </c>
      <c r="C39" s="166">
        <f>C36-C37-C38-(B36-SUM(B37:B39))</f>
        <v>-19.099999999999994</v>
      </c>
      <c r="D39" s="80">
        <f>C39/B39-1</f>
        <v>-1.3237288135593219</v>
      </c>
      <c r="E39" s="166"/>
    </row>
    <row r="40" spans="1:8" x14ac:dyDescent="0.15">
      <c r="A40" s="3" t="s">
        <v>1044</v>
      </c>
      <c r="B40" s="166">
        <f>B39-(D6-D7)</f>
        <v>30</v>
      </c>
      <c r="C40" s="166">
        <f>C39-(B39-B40)</f>
        <v>-48.099999999999994</v>
      </c>
      <c r="D40" s="80">
        <f>C40/B40-1</f>
        <v>-2.6033333333333331</v>
      </c>
      <c r="E40" s="166"/>
    </row>
    <row r="43" spans="1:8" x14ac:dyDescent="0.15">
      <c r="A43" s="3" t="s">
        <v>328</v>
      </c>
      <c r="B43" s="80">
        <f>+B39/B36</f>
        <v>0.13981042654028436</v>
      </c>
      <c r="C43" s="80">
        <f>+C39/C36</f>
        <v>-4.5260663507108993E-2</v>
      </c>
    </row>
    <row r="44" spans="1:8" x14ac:dyDescent="0.15">
      <c r="A44" s="3" t="s">
        <v>329</v>
      </c>
      <c r="B44" s="80">
        <f>+B40/B36</f>
        <v>7.1090047393364927E-2</v>
      </c>
      <c r="C44" s="80">
        <f>+C40/C36</f>
        <v>-0.11398104265402842</v>
      </c>
    </row>
    <row r="45" spans="1:8" x14ac:dyDescent="0.15">
      <c r="A45" s="3" t="s">
        <v>330</v>
      </c>
      <c r="B45" s="80">
        <f>+B39*0.6/(B8+B9)</f>
        <v>0.21987577639751552</v>
      </c>
      <c r="C45" s="80">
        <f>+C39*0.6/(C8+C9)</f>
        <v>-4.5118110236220456E-2</v>
      </c>
    </row>
    <row r="46" spans="1:8" x14ac:dyDescent="0.15">
      <c r="A46" s="3" t="s">
        <v>339</v>
      </c>
      <c r="B46" s="80">
        <f>B40/B8</f>
        <v>0.25210084033613445</v>
      </c>
      <c r="C46" s="80">
        <f>C40/C8</f>
        <v>-0.37286821705426354</v>
      </c>
    </row>
    <row r="49" spans="1:6" ht="15" x14ac:dyDescent="0.15">
      <c r="A49" s="8" t="s">
        <v>540</v>
      </c>
    </row>
    <row r="50" spans="1:6" x14ac:dyDescent="0.15">
      <c r="A50" s="3" t="s">
        <v>1091</v>
      </c>
    </row>
    <row r="51" spans="1:6" s="7" customFormat="1" x14ac:dyDescent="0.15">
      <c r="A51" s="317"/>
      <c r="B51" s="317">
        <v>1996</v>
      </c>
      <c r="C51" s="317">
        <f>B51+1</f>
        <v>1997</v>
      </c>
      <c r="D51" s="317">
        <f>C51+1</f>
        <v>1998</v>
      </c>
      <c r="E51" s="317">
        <f>D51+1</f>
        <v>1999</v>
      </c>
      <c r="F51" s="317">
        <f>E51+1</f>
        <v>2000</v>
      </c>
    </row>
    <row r="52" spans="1:6" x14ac:dyDescent="0.15">
      <c r="A52" s="3" t="s">
        <v>1171</v>
      </c>
      <c r="B52" s="87">
        <v>13289</v>
      </c>
      <c r="C52" s="87">
        <v>20273</v>
      </c>
      <c r="D52" s="87">
        <v>31260</v>
      </c>
      <c r="E52" s="87">
        <v>40112</v>
      </c>
      <c r="F52" s="87">
        <v>100789</v>
      </c>
    </row>
    <row r="53" spans="1:6" x14ac:dyDescent="0.15">
      <c r="A53" s="3" t="s">
        <v>1044</v>
      </c>
    </row>
    <row r="54" spans="1:6" x14ac:dyDescent="0.15">
      <c r="A54" s="242" t="s">
        <v>56</v>
      </c>
      <c r="B54" s="145">
        <v>493</v>
      </c>
      <c r="C54" s="145">
        <v>515</v>
      </c>
      <c r="D54" s="145">
        <v>698</v>
      </c>
      <c r="E54" s="145">
        <v>957</v>
      </c>
      <c r="F54" s="145">
        <v>1266</v>
      </c>
    </row>
    <row r="55" spans="1:6" x14ac:dyDescent="0.15">
      <c r="A55" s="242" t="s">
        <v>1049</v>
      </c>
      <c r="B55" s="145">
        <v>91</v>
      </c>
      <c r="C55" s="145">
        <v>-410</v>
      </c>
      <c r="D55" s="145">
        <v>5</v>
      </c>
      <c r="E55" s="145">
        <v>-64</v>
      </c>
      <c r="F55" s="145">
        <v>-287</v>
      </c>
    </row>
    <row r="56" spans="1:6" x14ac:dyDescent="0.15">
      <c r="A56" s="291" t="s">
        <v>936</v>
      </c>
      <c r="B56" s="292">
        <f>B54+B55</f>
        <v>584</v>
      </c>
      <c r="C56" s="292">
        <f>C54+C55</f>
        <v>105</v>
      </c>
      <c r="D56" s="292">
        <f>D54+D55</f>
        <v>703</v>
      </c>
      <c r="E56" s="292">
        <f>E54+E55</f>
        <v>893</v>
      </c>
      <c r="F56" s="292">
        <f>F54+F55</f>
        <v>979</v>
      </c>
    </row>
    <row r="57" spans="1:6" x14ac:dyDescent="0.15">
      <c r="A57" s="3" t="s">
        <v>1050</v>
      </c>
    </row>
    <row r="58" spans="1:6" x14ac:dyDescent="0.15">
      <c r="A58" s="242" t="s">
        <v>1086</v>
      </c>
      <c r="B58" s="3">
        <v>0.91</v>
      </c>
      <c r="C58" s="3">
        <v>0.87</v>
      </c>
      <c r="D58" s="3">
        <v>0.48</v>
      </c>
      <c r="E58" s="3">
        <v>0.5</v>
      </c>
      <c r="F58" s="68">
        <v>0.5</v>
      </c>
    </row>
    <row r="59" spans="1:6" x14ac:dyDescent="0.15">
      <c r="A59" s="242" t="s">
        <v>1049</v>
      </c>
      <c r="B59" s="3">
        <v>0.17</v>
      </c>
      <c r="C59" s="3">
        <v>-0.71</v>
      </c>
      <c r="D59" s="3">
        <v>0.01</v>
      </c>
      <c r="E59" s="3">
        <v>-0.08</v>
      </c>
      <c r="F59" s="3">
        <v>0.35</v>
      </c>
    </row>
    <row r="60" spans="1:6" x14ac:dyDescent="0.15">
      <c r="A60" s="291" t="s">
        <v>936</v>
      </c>
      <c r="B60" s="291">
        <f>B58+B59</f>
        <v>1.08</v>
      </c>
      <c r="C60" s="291">
        <f>C58+C59</f>
        <v>0.16000000000000003</v>
      </c>
      <c r="D60" s="291">
        <f>D58+D59</f>
        <v>0.49</v>
      </c>
      <c r="E60" s="291">
        <f>E58+E59</f>
        <v>0.42</v>
      </c>
      <c r="F60" s="291">
        <f>F58+F59</f>
        <v>0.85</v>
      </c>
    </row>
    <row r="61" spans="1:6" x14ac:dyDescent="0.15">
      <c r="A61" s="3" t="s">
        <v>1087</v>
      </c>
      <c r="B61" s="3">
        <v>0.43</v>
      </c>
      <c r="C61" s="3">
        <v>0.46</v>
      </c>
      <c r="D61" s="3">
        <v>0.48</v>
      </c>
      <c r="E61" s="68">
        <v>0.5</v>
      </c>
      <c r="F61" s="68">
        <v>0.5</v>
      </c>
    </row>
    <row r="62" spans="1:6" x14ac:dyDescent="0.15">
      <c r="A62" s="3" t="s">
        <v>1088</v>
      </c>
      <c r="B62" s="105">
        <v>16137</v>
      </c>
      <c r="C62" s="105">
        <v>22552</v>
      </c>
      <c r="D62" s="105">
        <v>29350</v>
      </c>
      <c r="E62" s="105">
        <v>33381</v>
      </c>
      <c r="F62" s="105">
        <v>65503</v>
      </c>
    </row>
    <row r="63" spans="1:6" ht="30" x14ac:dyDescent="0.15">
      <c r="A63" s="6" t="s">
        <v>1089</v>
      </c>
      <c r="B63" s="105">
        <v>742</v>
      </c>
      <c r="C63" s="105">
        <v>276</v>
      </c>
      <c r="D63" s="105">
        <v>1873</v>
      </c>
      <c r="E63" s="105">
        <v>2228</v>
      </c>
      <c r="F63" s="105">
        <v>3010</v>
      </c>
    </row>
    <row r="64" spans="1:6" x14ac:dyDescent="0.15">
      <c r="A64" s="3" t="s">
        <v>929</v>
      </c>
      <c r="B64" s="105">
        <v>1483</v>
      </c>
      <c r="C64" s="105">
        <v>2092</v>
      </c>
      <c r="D64" s="105">
        <v>3564</v>
      </c>
      <c r="E64" s="105">
        <v>3085</v>
      </c>
      <c r="F64" s="105">
        <v>3314</v>
      </c>
    </row>
    <row r="65" spans="1:6" x14ac:dyDescent="0.15">
      <c r="A65" s="3" t="s">
        <v>1090</v>
      </c>
      <c r="B65" s="3">
        <v>22</v>
      </c>
      <c r="C65" s="3">
        <v>21</v>
      </c>
      <c r="D65" s="3">
        <v>29</v>
      </c>
      <c r="E65" s="3">
        <v>44</v>
      </c>
      <c r="F65" s="3">
        <v>83</v>
      </c>
    </row>
    <row r="69" spans="1:6" x14ac:dyDescent="0.15">
      <c r="A69" s="172" t="s">
        <v>1096</v>
      </c>
    </row>
    <row r="70" spans="1:6" x14ac:dyDescent="0.15">
      <c r="A70" s="172"/>
    </row>
    <row r="71" spans="1:6" x14ac:dyDescent="0.15">
      <c r="A71" s="3" t="s">
        <v>1092</v>
      </c>
    </row>
    <row r="72" spans="1:6" x14ac:dyDescent="0.15">
      <c r="A72" s="3" t="s">
        <v>1093</v>
      </c>
    </row>
    <row r="73" spans="1:6" x14ac:dyDescent="0.15">
      <c r="A73" s="3" t="s">
        <v>1094</v>
      </c>
    </row>
    <row r="74" spans="1:6" x14ac:dyDescent="0.15">
      <c r="A74" s="3" t="s">
        <v>1095</v>
      </c>
    </row>
    <row r="76" spans="1:6" x14ac:dyDescent="0.15">
      <c r="A76" s="3" t="s">
        <v>898</v>
      </c>
    </row>
    <row r="137" spans="1:1" x14ac:dyDescent="0.15">
      <c r="A137" s="3" t="s">
        <v>1097</v>
      </c>
    </row>
  </sheetData>
  <phoneticPr fontId="4" type="noConversion"/>
  <pageMargins left="0.78740157480314965" right="0.78740157480314965" top="0.98425196850393704" bottom="0.98425196850393704" header="0.51181102362204722" footer="0.51181102362204722"/>
  <pageSetup paperSize="9" scale="50" fitToHeight="2"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8">
    <pageSetUpPr fitToPage="1"/>
  </sheetPr>
  <dimension ref="A1:F58"/>
  <sheetViews>
    <sheetView showGridLines="0" workbookViewId="0"/>
  </sheetViews>
  <sheetFormatPr baseColWidth="10" defaultColWidth="11" defaultRowHeight="14" x14ac:dyDescent="0.15"/>
  <cols>
    <col min="1" max="1" width="55.83203125" style="3" customWidth="1"/>
    <col min="2" max="2" width="18.1640625" style="3" customWidth="1"/>
    <col min="3" max="3" width="19.83203125" style="3" bestFit="1" customWidth="1"/>
    <col min="4" max="4" width="20" style="3" bestFit="1" customWidth="1"/>
    <col min="5" max="5" width="20.1640625" style="3" bestFit="1" customWidth="1"/>
    <col min="6" max="6" width="18.1640625" style="3" customWidth="1"/>
    <col min="7" max="7" width="19.83203125" style="3" customWidth="1"/>
    <col min="8" max="16384" width="11" style="3"/>
  </cols>
  <sheetData>
    <row r="1" spans="1:6" ht="15" x14ac:dyDescent="0.15">
      <c r="A1" s="1" t="s">
        <v>1227</v>
      </c>
    </row>
    <row r="2" spans="1:6" ht="15" x14ac:dyDescent="0.15">
      <c r="A2" s="8"/>
    </row>
    <row r="3" spans="1:6" x14ac:dyDescent="0.15">
      <c r="A3" s="343" t="s">
        <v>599</v>
      </c>
      <c r="B3" s="343">
        <v>1</v>
      </c>
      <c r="C3" s="343">
        <f>B3+1</f>
        <v>2</v>
      </c>
      <c r="D3" s="343">
        <f>C3+1</f>
        <v>3</v>
      </c>
      <c r="E3" s="343">
        <f>D3+1</f>
        <v>4</v>
      </c>
      <c r="F3" s="343">
        <f>E3+1</f>
        <v>5</v>
      </c>
    </row>
    <row r="4" spans="1:6" x14ac:dyDescent="0.15">
      <c r="A4" s="3" t="s">
        <v>1171</v>
      </c>
      <c r="B4" s="92">
        <v>100</v>
      </c>
      <c r="C4" s="92">
        <v>100</v>
      </c>
      <c r="D4" s="92">
        <v>100</v>
      </c>
      <c r="E4" s="92">
        <v>100</v>
      </c>
      <c r="F4" s="92">
        <v>100</v>
      </c>
    </row>
    <row r="5" spans="1:6" x14ac:dyDescent="0.15">
      <c r="A5" s="3" t="s">
        <v>945</v>
      </c>
      <c r="B5" s="92">
        <v>100</v>
      </c>
      <c r="C5" s="92">
        <v>100</v>
      </c>
      <c r="D5" s="92">
        <v>104</v>
      </c>
      <c r="E5" s="92">
        <v>99</v>
      </c>
      <c r="F5" s="92">
        <v>0</v>
      </c>
    </row>
    <row r="6" spans="1:6" x14ac:dyDescent="0.15">
      <c r="A6" s="3" t="s">
        <v>1101</v>
      </c>
      <c r="B6" s="92">
        <v>23</v>
      </c>
      <c r="C6" s="92">
        <v>24.8</v>
      </c>
      <c r="D6" s="92">
        <v>0</v>
      </c>
      <c r="E6" s="92">
        <v>0</v>
      </c>
      <c r="F6" s="92">
        <v>0</v>
      </c>
    </row>
    <row r="7" spans="1:6" x14ac:dyDescent="0.15">
      <c r="A7" s="3" t="s">
        <v>1102</v>
      </c>
      <c r="B7" s="398">
        <v>0</v>
      </c>
      <c r="C7" s="398">
        <v>0</v>
      </c>
      <c r="D7" s="515">
        <v>46.6</v>
      </c>
      <c r="E7" s="92">
        <v>23.6</v>
      </c>
      <c r="F7" s="398">
        <v>0</v>
      </c>
    </row>
    <row r="8" spans="1:6" x14ac:dyDescent="0.15">
      <c r="A8" s="3" t="s">
        <v>1103</v>
      </c>
      <c r="B8" s="398">
        <v>7.8</v>
      </c>
      <c r="C8" s="398">
        <v>7</v>
      </c>
      <c r="D8" s="515"/>
      <c r="E8" s="92">
        <v>46.9</v>
      </c>
      <c r="F8" s="398">
        <v>14.1</v>
      </c>
    </row>
    <row r="9" spans="1:6" x14ac:dyDescent="0.15">
      <c r="A9" s="3" t="s">
        <v>934</v>
      </c>
      <c r="B9" s="398">
        <v>9.3000000000000007</v>
      </c>
      <c r="C9" s="398">
        <v>11.7</v>
      </c>
      <c r="D9" s="398">
        <v>21.5</v>
      </c>
      <c r="E9" s="92">
        <v>24.1</v>
      </c>
      <c r="F9" s="398">
        <v>88.2</v>
      </c>
    </row>
    <row r="10" spans="1:6" x14ac:dyDescent="0.15">
      <c r="A10" s="3" t="s">
        <v>1104</v>
      </c>
      <c r="B10" s="398">
        <v>6.8</v>
      </c>
      <c r="C10" s="398">
        <v>6.7</v>
      </c>
      <c r="D10" s="398">
        <v>28.1</v>
      </c>
      <c r="E10" s="92">
        <v>3.7</v>
      </c>
      <c r="F10" s="398">
        <v>4.5999999999999996</v>
      </c>
    </row>
    <row r="11" spans="1:6" x14ac:dyDescent="0.15">
      <c r="A11" s="3" t="s">
        <v>1041</v>
      </c>
      <c r="B11" s="398">
        <v>2.6</v>
      </c>
      <c r="C11" s="398">
        <v>0.9</v>
      </c>
      <c r="D11" s="398">
        <v>14.4</v>
      </c>
      <c r="E11" s="92">
        <v>1.2</v>
      </c>
      <c r="F11" s="398">
        <v>0.7</v>
      </c>
    </row>
    <row r="12" spans="1:6" x14ac:dyDescent="0.15">
      <c r="A12" s="3" t="s">
        <v>1007</v>
      </c>
      <c r="B12" s="398">
        <f>B10-B11</f>
        <v>4.1999999999999993</v>
      </c>
      <c r="C12" s="398">
        <v>5.8</v>
      </c>
      <c r="D12" s="398">
        <v>7.1</v>
      </c>
      <c r="E12" s="398">
        <v>2.9</v>
      </c>
      <c r="F12" s="398">
        <v>3.1</v>
      </c>
    </row>
    <row r="13" spans="1:6" x14ac:dyDescent="0.15">
      <c r="A13" s="7"/>
      <c r="B13" s="286"/>
      <c r="C13" s="286"/>
      <c r="D13" s="286"/>
      <c r="E13" s="286"/>
      <c r="F13" s="286"/>
    </row>
    <row r="14" spans="1:6" ht="15" x14ac:dyDescent="0.15">
      <c r="A14" s="8"/>
    </row>
    <row r="15" spans="1:6" ht="15" x14ac:dyDescent="0.15">
      <c r="A15" s="117" t="s">
        <v>1113</v>
      </c>
      <c r="B15" s="287" t="s">
        <v>1107</v>
      </c>
      <c r="C15" s="287" t="s">
        <v>1110</v>
      </c>
      <c r="D15" s="287" t="s">
        <v>1105</v>
      </c>
      <c r="E15" s="287" t="s">
        <v>1112</v>
      </c>
      <c r="F15" s="287" t="s">
        <v>1109</v>
      </c>
    </row>
    <row r="16" spans="1:6" ht="15" x14ac:dyDescent="0.15">
      <c r="A16" s="117" t="s">
        <v>1114</v>
      </c>
      <c r="B16" s="82" t="s">
        <v>1108</v>
      </c>
      <c r="C16" s="82" t="s">
        <v>1111</v>
      </c>
      <c r="D16" s="82" t="s">
        <v>1106</v>
      </c>
      <c r="E16" s="82" t="s">
        <v>120</v>
      </c>
      <c r="F16" s="82" t="s">
        <v>934</v>
      </c>
    </row>
    <row r="17" spans="1:6" ht="15" x14ac:dyDescent="0.15">
      <c r="A17" s="8"/>
    </row>
    <row r="18" spans="1:6" ht="15" x14ac:dyDescent="0.15">
      <c r="A18" s="8"/>
    </row>
    <row r="19" spans="1:6" ht="15" x14ac:dyDescent="0.15">
      <c r="A19" s="8" t="s">
        <v>193</v>
      </c>
    </row>
    <row r="20" spans="1:6" ht="15" x14ac:dyDescent="0.15">
      <c r="A20" s="8"/>
    </row>
    <row r="21" spans="1:6" x14ac:dyDescent="0.15">
      <c r="A21" s="343" t="s">
        <v>599</v>
      </c>
      <c r="B21" s="343">
        <v>1</v>
      </c>
      <c r="C21" s="343">
        <f>B21+1</f>
        <v>2</v>
      </c>
      <c r="D21" s="343">
        <f>C21+1</f>
        <v>3</v>
      </c>
      <c r="E21" s="343">
        <f>D21+1</f>
        <v>4</v>
      </c>
      <c r="F21" s="343">
        <f>E21+1</f>
        <v>5</v>
      </c>
    </row>
    <row r="22" spans="1:6" x14ac:dyDescent="0.15">
      <c r="A22" s="3" t="s">
        <v>1171</v>
      </c>
      <c r="B22" s="92">
        <v>100</v>
      </c>
      <c r="C22" s="92">
        <v>100</v>
      </c>
      <c r="D22" s="92">
        <v>100</v>
      </c>
      <c r="E22" s="92">
        <v>100</v>
      </c>
      <c r="F22" s="92">
        <v>100</v>
      </c>
    </row>
    <row r="23" spans="1:6" x14ac:dyDescent="0.15">
      <c r="A23" s="3" t="s">
        <v>1098</v>
      </c>
      <c r="B23" s="82">
        <v>35.9</v>
      </c>
      <c r="C23" s="82">
        <v>84</v>
      </c>
      <c r="D23" s="82">
        <v>67.7</v>
      </c>
      <c r="E23" s="92">
        <v>44.3</v>
      </c>
      <c r="F23" s="82">
        <v>52.2</v>
      </c>
    </row>
    <row r="24" spans="1:6" x14ac:dyDescent="0.15">
      <c r="A24" s="3" t="s">
        <v>1099</v>
      </c>
      <c r="B24" s="399">
        <v>37</v>
      </c>
      <c r="C24" s="399">
        <v>4.4000000000000004</v>
      </c>
      <c r="D24" s="398">
        <v>14</v>
      </c>
      <c r="E24" s="92">
        <v>23.1</v>
      </c>
      <c r="F24" s="399">
        <v>21.8</v>
      </c>
    </row>
    <row r="25" spans="1:6" x14ac:dyDescent="0.15">
      <c r="A25" s="3" t="s">
        <v>1100</v>
      </c>
      <c r="B25" s="399">
        <v>11</v>
      </c>
      <c r="C25" s="399">
        <v>10</v>
      </c>
      <c r="D25" s="398">
        <v>6.6</v>
      </c>
      <c r="E25" s="92">
        <v>10.7</v>
      </c>
      <c r="F25" s="399">
        <v>9.3000000000000007</v>
      </c>
    </row>
    <row r="26" spans="1:6" x14ac:dyDescent="0.15">
      <c r="A26" s="88" t="s">
        <v>1304</v>
      </c>
      <c r="B26" s="288">
        <v>0</v>
      </c>
      <c r="C26" s="288">
        <v>0</v>
      </c>
      <c r="D26" s="289">
        <v>20.100000000000001</v>
      </c>
      <c r="E26" s="290">
        <v>6.6</v>
      </c>
      <c r="F26" s="288">
        <v>2.1</v>
      </c>
    </row>
    <row r="27" spans="1:6" x14ac:dyDescent="0.15">
      <c r="A27" s="7" t="s">
        <v>70</v>
      </c>
      <c r="B27" s="286">
        <f>B22-B23-B24-B25-B26</f>
        <v>16.099999999999994</v>
      </c>
      <c r="C27" s="286">
        <f>C22-C23-C24-C25-C26</f>
        <v>1.5999999999999996</v>
      </c>
      <c r="D27" s="286">
        <f>D22-D23-D24-D25-D26</f>
        <v>-8.4000000000000039</v>
      </c>
      <c r="E27" s="286">
        <f>E22-E23-E24-E25-E26</f>
        <v>15.300000000000002</v>
      </c>
      <c r="F27" s="286">
        <f>F22-F23-F24-F25-F26</f>
        <v>14.599999999999996</v>
      </c>
    </row>
    <row r="29" spans="1:6" ht="15" x14ac:dyDescent="0.15">
      <c r="A29" s="117" t="s">
        <v>1113</v>
      </c>
      <c r="B29" s="287" t="s">
        <v>1307</v>
      </c>
      <c r="C29" s="287" t="s">
        <v>1305</v>
      </c>
      <c r="D29" s="287" t="s">
        <v>1308</v>
      </c>
      <c r="E29" s="287" t="s">
        <v>1309</v>
      </c>
      <c r="F29" s="287" t="s">
        <v>1311</v>
      </c>
    </row>
    <row r="30" spans="1:6" ht="30" x14ac:dyDescent="0.15">
      <c r="A30" s="117" t="s">
        <v>1114</v>
      </c>
      <c r="B30" s="6" t="s">
        <v>1314</v>
      </c>
      <c r="C30" s="132" t="s">
        <v>1306</v>
      </c>
      <c r="D30" s="82" t="s">
        <v>1313</v>
      </c>
      <c r="E30" s="132" t="s">
        <v>1310</v>
      </c>
      <c r="F30" s="82" t="s">
        <v>1312</v>
      </c>
    </row>
    <row r="31" spans="1:6" x14ac:dyDescent="0.15">
      <c r="B31" s="67"/>
      <c r="C31" s="67"/>
      <c r="D31" s="67"/>
      <c r="E31" s="67"/>
    </row>
    <row r="32" spans="1:6" x14ac:dyDescent="0.15">
      <c r="B32" s="67"/>
      <c r="C32" s="67"/>
      <c r="D32" s="67"/>
      <c r="E32" s="67"/>
    </row>
    <row r="33" spans="1:3" ht="15" x14ac:dyDescent="0.15">
      <c r="A33" s="8" t="s">
        <v>157</v>
      </c>
    </row>
    <row r="34" spans="1:3" x14ac:dyDescent="0.15">
      <c r="A34" s="7" t="s">
        <v>1343</v>
      </c>
    </row>
    <row r="36" spans="1:3" s="5" customFormat="1" x14ac:dyDescent="0.15">
      <c r="A36" s="343" t="s">
        <v>1211</v>
      </c>
      <c r="B36" s="343">
        <v>2025</v>
      </c>
    </row>
    <row r="37" spans="1:3" x14ac:dyDescent="0.15">
      <c r="A37" s="3" t="s">
        <v>1344</v>
      </c>
      <c r="B37" s="267">
        <f>1917.9-150</f>
        <v>1767.9</v>
      </c>
    </row>
    <row r="38" spans="1:3" x14ac:dyDescent="0.15">
      <c r="A38" s="3" t="s">
        <v>944</v>
      </c>
      <c r="B38" s="267">
        <v>-2</v>
      </c>
    </row>
    <row r="39" spans="1:3" x14ac:dyDescent="0.15">
      <c r="A39" s="3" t="s">
        <v>1345</v>
      </c>
      <c r="B39" s="267">
        <f>SUM(B37:B38)</f>
        <v>1765.9</v>
      </c>
    </row>
    <row r="40" spans="1:3" x14ac:dyDescent="0.15">
      <c r="A40" s="3" t="s">
        <v>1346</v>
      </c>
      <c r="B40" s="267">
        <v>1511.5</v>
      </c>
    </row>
    <row r="41" spans="1:3" x14ac:dyDescent="0.15">
      <c r="A41" s="3" t="s">
        <v>1265</v>
      </c>
      <c r="B41" s="267">
        <f>B39-B40</f>
        <v>254.40000000000009</v>
      </c>
    </row>
    <row r="42" spans="1:3" x14ac:dyDescent="0.15">
      <c r="A42" s="3" t="s">
        <v>1347</v>
      </c>
      <c r="B42" s="267">
        <f>97.2-10-12.3</f>
        <v>74.900000000000006</v>
      </c>
    </row>
    <row r="43" spans="1:3" x14ac:dyDescent="0.15">
      <c r="A43" s="3" t="s">
        <v>1266</v>
      </c>
      <c r="B43" s="267">
        <f>B41-B42</f>
        <v>179.50000000000009</v>
      </c>
      <c r="C43" s="29"/>
    </row>
    <row r="44" spans="1:3" x14ac:dyDescent="0.15">
      <c r="A44" s="3" t="s">
        <v>1348</v>
      </c>
      <c r="B44" s="267">
        <f>105.5+12.3+3.4</f>
        <v>121.2</v>
      </c>
      <c r="C44" s="29"/>
    </row>
    <row r="45" spans="1:3" x14ac:dyDescent="0.15">
      <c r="A45" s="3" t="s">
        <v>1349</v>
      </c>
      <c r="B45" s="267">
        <v>9.8000000000000007</v>
      </c>
      <c r="C45" s="29"/>
    </row>
    <row r="46" spans="1:3" x14ac:dyDescent="0.15">
      <c r="A46" s="3" t="s">
        <v>16</v>
      </c>
      <c r="B46" s="267">
        <v>0.4</v>
      </c>
    </row>
    <row r="47" spans="1:3" x14ac:dyDescent="0.15">
      <c r="A47" s="3" t="s">
        <v>17</v>
      </c>
      <c r="B47" s="267">
        <f>22+35.6</f>
        <v>57.6</v>
      </c>
      <c r="C47" s="29"/>
    </row>
    <row r="48" spans="1:3" x14ac:dyDescent="0.15">
      <c r="A48" s="3" t="s">
        <v>1268</v>
      </c>
      <c r="B48" s="267">
        <f>B43-B44-B45+B46+B47</f>
        <v>106.50000000000009</v>
      </c>
    </row>
    <row r="49" spans="1:2" x14ac:dyDescent="0.15">
      <c r="A49" s="3" t="s">
        <v>22</v>
      </c>
      <c r="B49" s="267">
        <f>26.8+4</f>
        <v>30.8</v>
      </c>
    </row>
    <row r="50" spans="1:2" x14ac:dyDescent="0.15">
      <c r="A50" s="3" t="s">
        <v>1269</v>
      </c>
      <c r="B50" s="267">
        <f>B48-B49</f>
        <v>75.700000000000088</v>
      </c>
    </row>
    <row r="51" spans="1:2" x14ac:dyDescent="0.15">
      <c r="A51" s="3" t="s">
        <v>18</v>
      </c>
      <c r="B51" s="267">
        <f>178.3+6-150</f>
        <v>34.300000000000011</v>
      </c>
    </row>
    <row r="52" spans="1:2" x14ac:dyDescent="0.15">
      <c r="A52" s="3" t="s">
        <v>19</v>
      </c>
      <c r="B52" s="267">
        <v>17.100000000000001</v>
      </c>
    </row>
    <row r="53" spans="1:2" x14ac:dyDescent="0.15">
      <c r="A53" s="3" t="s">
        <v>1270</v>
      </c>
      <c r="B53" s="267">
        <f>B52-B51</f>
        <v>-17.20000000000001</v>
      </c>
    </row>
    <row r="54" spans="1:2" x14ac:dyDescent="0.15">
      <c r="A54" s="3" t="s">
        <v>1271</v>
      </c>
      <c r="B54" s="267">
        <f>B50+B53</f>
        <v>58.500000000000078</v>
      </c>
    </row>
    <row r="55" spans="1:2" x14ac:dyDescent="0.15">
      <c r="A55" s="3" t="s">
        <v>20</v>
      </c>
      <c r="B55" s="267">
        <v>50.8</v>
      </c>
    </row>
    <row r="56" spans="1:2" x14ac:dyDescent="0.15">
      <c r="A56" s="3" t="s">
        <v>1272</v>
      </c>
      <c r="B56" s="267">
        <f>-15.2-35.6</f>
        <v>-50.8</v>
      </c>
    </row>
    <row r="57" spans="1:2" x14ac:dyDescent="0.15">
      <c r="A57" s="3" t="s">
        <v>21</v>
      </c>
      <c r="B57" s="267">
        <v>3</v>
      </c>
    </row>
    <row r="58" spans="1:2" x14ac:dyDescent="0.15">
      <c r="A58" s="88" t="s">
        <v>1274</v>
      </c>
      <c r="B58" s="268">
        <f>B54+B56-B57</f>
        <v>4.700000000000081</v>
      </c>
    </row>
  </sheetData>
  <mergeCells count="1">
    <mergeCell ref="D7:D8"/>
  </mergeCells>
  <phoneticPr fontId="4" type="noConversion"/>
  <pageMargins left="0.78740157480314965" right="0.78740157480314965" top="0.98425196850393704" bottom="0.98425196850393704" header="0.51181102362204722" footer="0.51181102362204722"/>
  <pageSetup paperSize="9" scale="75" fitToHeight="3"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9">
    <pageSetUpPr fitToPage="1"/>
  </sheetPr>
  <dimension ref="A1:H116"/>
  <sheetViews>
    <sheetView showGridLines="0" workbookViewId="0"/>
  </sheetViews>
  <sheetFormatPr baseColWidth="10" defaultColWidth="11" defaultRowHeight="14" x14ac:dyDescent="0.15"/>
  <cols>
    <col min="1" max="1" width="28" style="3" bestFit="1" customWidth="1"/>
    <col min="2" max="4" width="11" style="3"/>
    <col min="5" max="5" width="12.83203125" style="3" customWidth="1"/>
    <col min="6" max="7" width="7.1640625" style="3" customWidth="1"/>
    <col min="8" max="16384" width="11" style="3"/>
  </cols>
  <sheetData>
    <row r="1" spans="1:6" ht="15" x14ac:dyDescent="0.15">
      <c r="A1" s="1" t="s">
        <v>1225</v>
      </c>
    </row>
    <row r="2" spans="1:6" ht="15" x14ac:dyDescent="0.15">
      <c r="A2" s="8"/>
    </row>
    <row r="3" spans="1:6" x14ac:dyDescent="0.15">
      <c r="A3" s="343" t="s">
        <v>64</v>
      </c>
      <c r="B3" s="343" t="s">
        <v>72</v>
      </c>
      <c r="C3" s="343" t="s">
        <v>73</v>
      </c>
      <c r="D3" s="343" t="s">
        <v>74</v>
      </c>
      <c r="E3" s="343" t="s">
        <v>75</v>
      </c>
      <c r="F3" s="5"/>
    </row>
    <row r="4" spans="1:6" x14ac:dyDescent="0.15">
      <c r="A4" s="3" t="s">
        <v>1171</v>
      </c>
      <c r="B4" s="3">
        <v>100</v>
      </c>
      <c r="C4" s="3">
        <v>100</v>
      </c>
      <c r="D4" s="3">
        <v>100</v>
      </c>
      <c r="E4" s="3">
        <v>100</v>
      </c>
    </row>
    <row r="5" spans="1:6" x14ac:dyDescent="0.15">
      <c r="A5" s="3" t="s">
        <v>67</v>
      </c>
      <c r="B5" s="3">
        <v>65</v>
      </c>
      <c r="C5" s="3">
        <v>55</v>
      </c>
      <c r="D5" s="3">
        <v>36</v>
      </c>
      <c r="E5" s="3">
        <v>30</v>
      </c>
    </row>
    <row r="6" spans="1:6" x14ac:dyDescent="0.15">
      <c r="A6" s="88" t="s">
        <v>68</v>
      </c>
      <c r="B6" s="88">
        <v>25</v>
      </c>
      <c r="C6" s="88">
        <v>29</v>
      </c>
      <c r="D6" s="88">
        <v>50</v>
      </c>
      <c r="E6" s="88">
        <v>55</v>
      </c>
    </row>
    <row r="7" spans="1:6" x14ac:dyDescent="0.15">
      <c r="A7" s="7" t="s">
        <v>69</v>
      </c>
      <c r="B7" s="7">
        <f>B4-B5-B6</f>
        <v>10</v>
      </c>
      <c r="C7" s="7">
        <f>C4-C5-C6</f>
        <v>16</v>
      </c>
      <c r="D7" s="7">
        <f>D4-D5-D6</f>
        <v>14</v>
      </c>
      <c r="E7" s="7">
        <f>E4-E5-E6</f>
        <v>15</v>
      </c>
      <c r="F7" s="7"/>
    </row>
    <row r="8" spans="1:6" x14ac:dyDescent="0.15">
      <c r="A8" s="88" t="s">
        <v>979</v>
      </c>
      <c r="B8" s="88">
        <v>2</v>
      </c>
      <c r="C8" s="88">
        <v>8</v>
      </c>
      <c r="D8" s="88">
        <v>4</v>
      </c>
      <c r="E8" s="88">
        <v>6</v>
      </c>
    </row>
    <row r="9" spans="1:6" x14ac:dyDescent="0.15">
      <c r="A9" s="7" t="s">
        <v>70</v>
      </c>
      <c r="B9" s="7">
        <f>B7-B8</f>
        <v>8</v>
      </c>
      <c r="C9" s="7">
        <f>C7-C8</f>
        <v>8</v>
      </c>
      <c r="D9" s="7">
        <f>D7-D8</f>
        <v>10</v>
      </c>
      <c r="E9" s="7">
        <f>E7-E8</f>
        <v>9</v>
      </c>
      <c r="F9" s="7"/>
    </row>
    <row r="10" spans="1:6" x14ac:dyDescent="0.15">
      <c r="A10" s="88" t="s">
        <v>1175</v>
      </c>
      <c r="B10" s="88">
        <v>2</v>
      </c>
      <c r="C10" s="88">
        <v>6</v>
      </c>
      <c r="D10" s="88">
        <v>1.5</v>
      </c>
      <c r="E10" s="88">
        <v>6</v>
      </c>
    </row>
    <row r="11" spans="1:6" x14ac:dyDescent="0.15">
      <c r="A11" s="7" t="s">
        <v>71</v>
      </c>
      <c r="B11" s="7">
        <f>B9-B10</f>
        <v>6</v>
      </c>
      <c r="C11" s="7">
        <f>C9-C10</f>
        <v>2</v>
      </c>
      <c r="D11" s="7">
        <f>D9-D10</f>
        <v>8.5</v>
      </c>
      <c r="E11" s="7">
        <f>E9-E10</f>
        <v>3</v>
      </c>
      <c r="F11" s="7"/>
    </row>
    <row r="13" spans="1:6" x14ac:dyDescent="0.15">
      <c r="A13" s="3" t="s">
        <v>77</v>
      </c>
      <c r="B13" s="166">
        <f>(B6+B8)/(1-B5/B4)</f>
        <v>77.142857142857153</v>
      </c>
      <c r="C13" s="166">
        <f>(C6+C8)/(1-C5/C4)</f>
        <v>82.222222222222229</v>
      </c>
      <c r="D13" s="166">
        <f>(D6+D8)/(1-D5/D4)</f>
        <v>84.375</v>
      </c>
      <c r="E13" s="166">
        <f>(E6+E8)/(1-E5/E4)</f>
        <v>87.142857142857153</v>
      </c>
      <c r="F13" s="166"/>
    </row>
    <row r="14" spans="1:6" x14ac:dyDescent="0.15">
      <c r="A14" s="3" t="s">
        <v>78</v>
      </c>
      <c r="B14" s="81">
        <f>B$4/B13</f>
        <v>1.2962962962962961</v>
      </c>
      <c r="C14" s="81">
        <f>C$4/C13</f>
        <v>1.2162162162162162</v>
      </c>
      <c r="D14" s="81">
        <f>D$4/D13</f>
        <v>1.1851851851851851</v>
      </c>
      <c r="E14" s="81">
        <f>E$4/E13</f>
        <v>1.1475409836065573</v>
      </c>
      <c r="F14" s="67"/>
    </row>
    <row r="16" spans="1:6" x14ac:dyDescent="0.15">
      <c r="A16" s="3" t="s">
        <v>76</v>
      </c>
      <c r="B16" s="166">
        <f>(B6+B8+B10)/(1-B5/B4)</f>
        <v>82.857142857142861</v>
      </c>
      <c r="C16" s="166">
        <f>(C6+C8+C10)/(1-C5/C4)</f>
        <v>95.555555555555571</v>
      </c>
      <c r="D16" s="166">
        <f>(D6+D8+D10)/(1-D5/D4)</f>
        <v>86.71875</v>
      </c>
      <c r="E16" s="166">
        <f>(E6+E8+E10)/(1-E5/E4)</f>
        <v>95.714285714285722</v>
      </c>
      <c r="F16" s="166"/>
    </row>
    <row r="17" spans="1:8" x14ac:dyDescent="0.15">
      <c r="A17" s="3" t="s">
        <v>78</v>
      </c>
      <c r="B17" s="81">
        <f>B$4/B16</f>
        <v>1.2068965517241379</v>
      </c>
      <c r="C17" s="81">
        <f>C$4/C16</f>
        <v>1.0465116279069766</v>
      </c>
      <c r="D17" s="81">
        <f>D$4/D16</f>
        <v>1.1531531531531531</v>
      </c>
      <c r="E17" s="81">
        <f>E$4/E16</f>
        <v>1.044776119402985</v>
      </c>
      <c r="F17" s="67"/>
    </row>
    <row r="19" spans="1:8" ht="15" x14ac:dyDescent="0.15">
      <c r="A19" s="8" t="s">
        <v>1690</v>
      </c>
    </row>
    <row r="20" spans="1:8" ht="15" x14ac:dyDescent="0.15">
      <c r="A20" s="8"/>
    </row>
    <row r="21" spans="1:8" x14ac:dyDescent="0.15">
      <c r="A21" s="343" t="s">
        <v>939</v>
      </c>
      <c r="B21" s="343">
        <v>1</v>
      </c>
      <c r="C21" s="343">
        <v>2</v>
      </c>
      <c r="D21" s="343">
        <v>3</v>
      </c>
      <c r="E21" s="278"/>
    </row>
    <row r="22" spans="1:8" x14ac:dyDescent="0.15">
      <c r="A22" s="3" t="s">
        <v>1171</v>
      </c>
      <c r="B22" s="166">
        <v>82000</v>
      </c>
      <c r="C22" s="166">
        <v>92000</v>
      </c>
      <c r="D22" s="166">
        <v>97000</v>
      </c>
      <c r="E22" s="81"/>
      <c r="F22" s="81"/>
      <c r="H22" s="166"/>
    </row>
    <row r="23" spans="1:8" x14ac:dyDescent="0.15">
      <c r="A23" s="3" t="s">
        <v>944</v>
      </c>
      <c r="B23" s="166">
        <v>500</v>
      </c>
      <c r="C23" s="166">
        <v>1400</v>
      </c>
      <c r="D23" s="166">
        <v>2800</v>
      </c>
      <c r="E23" s="81"/>
      <c r="F23" s="81"/>
      <c r="H23" s="166"/>
    </row>
    <row r="24" spans="1:8" x14ac:dyDescent="0.15">
      <c r="A24" s="7" t="s">
        <v>49</v>
      </c>
      <c r="B24" s="166">
        <f>SUM(B22:B23)</f>
        <v>82500</v>
      </c>
      <c r="C24" s="166">
        <f>SUM(C22:C23)</f>
        <v>93400</v>
      </c>
      <c r="D24" s="166">
        <f>SUM(D22:D23)</f>
        <v>99800</v>
      </c>
      <c r="H24" s="166"/>
    </row>
    <row r="25" spans="1:8" x14ac:dyDescent="0.15">
      <c r="A25" s="3" t="s">
        <v>50</v>
      </c>
      <c r="B25" s="166">
        <v>24800</v>
      </c>
      <c r="C25" s="166">
        <v>27400</v>
      </c>
      <c r="D25" s="166">
        <v>29900</v>
      </c>
      <c r="E25" s="81"/>
      <c r="F25" s="81"/>
      <c r="H25" s="166"/>
    </row>
    <row r="26" spans="1:8" x14ac:dyDescent="0.15">
      <c r="A26" s="3" t="s">
        <v>51</v>
      </c>
      <c r="B26" s="166">
        <v>-1700</v>
      </c>
      <c r="C26" s="166">
        <v>-500</v>
      </c>
      <c r="D26" s="166">
        <v>-1600</v>
      </c>
      <c r="E26" s="81"/>
      <c r="F26" s="81"/>
      <c r="H26" s="166"/>
    </row>
    <row r="27" spans="1:8" x14ac:dyDescent="0.15">
      <c r="A27" s="3" t="s">
        <v>52</v>
      </c>
      <c r="B27" s="166">
        <v>20200</v>
      </c>
      <c r="C27" s="166">
        <v>23000</v>
      </c>
      <c r="D27" s="166">
        <v>23500</v>
      </c>
      <c r="E27" s="81"/>
      <c r="F27" s="81"/>
      <c r="H27" s="166"/>
    </row>
    <row r="28" spans="1:8" x14ac:dyDescent="0.15">
      <c r="A28" s="3" t="s">
        <v>1267</v>
      </c>
      <c r="B28" s="166">
        <v>1200</v>
      </c>
      <c r="C28" s="166">
        <v>1400</v>
      </c>
      <c r="D28" s="166">
        <v>1500</v>
      </c>
      <c r="E28" s="81"/>
      <c r="F28" s="81"/>
      <c r="H28" s="166"/>
    </row>
    <row r="29" spans="1:8" x14ac:dyDescent="0.15">
      <c r="A29" s="3" t="s">
        <v>53</v>
      </c>
      <c r="B29" s="166">
        <v>29000</v>
      </c>
      <c r="C29" s="166">
        <v>33000</v>
      </c>
      <c r="D29" s="166">
        <v>37000</v>
      </c>
      <c r="E29" s="81"/>
      <c r="F29" s="81"/>
      <c r="H29" s="166"/>
    </row>
    <row r="30" spans="1:8" x14ac:dyDescent="0.15">
      <c r="A30" s="3" t="s">
        <v>979</v>
      </c>
      <c r="B30" s="166">
        <v>5200</v>
      </c>
      <c r="C30" s="166">
        <v>4900</v>
      </c>
      <c r="D30" s="166">
        <v>4800</v>
      </c>
      <c r="E30" s="81"/>
      <c r="F30" s="81"/>
      <c r="H30" s="166"/>
    </row>
    <row r="31" spans="1:8" x14ac:dyDescent="0.15">
      <c r="A31" s="3" t="s">
        <v>79</v>
      </c>
      <c r="B31" s="166">
        <v>100</v>
      </c>
      <c r="C31" s="166">
        <v>200</v>
      </c>
      <c r="D31" s="166">
        <v>0</v>
      </c>
      <c r="E31" s="81"/>
      <c r="F31" s="81"/>
      <c r="H31" s="166"/>
    </row>
    <row r="32" spans="1:8" x14ac:dyDescent="0.15">
      <c r="A32" s="7" t="s">
        <v>54</v>
      </c>
      <c r="B32" s="166">
        <f>SUM(B25:B31)</f>
        <v>78800</v>
      </c>
      <c r="C32" s="166">
        <f>SUM(C25:C31)</f>
        <v>89400</v>
      </c>
      <c r="D32" s="166">
        <f>SUM(D25:D31)</f>
        <v>95100</v>
      </c>
    </row>
    <row r="33" spans="1:7" x14ac:dyDescent="0.15">
      <c r="A33" s="265" t="s">
        <v>1007</v>
      </c>
      <c r="B33" s="279">
        <f>B24-B32</f>
        <v>3700</v>
      </c>
      <c r="C33" s="279">
        <f>C24-C32</f>
        <v>4000</v>
      </c>
      <c r="D33" s="279">
        <f>D24-D32</f>
        <v>4700</v>
      </c>
    </row>
    <row r="34" spans="1:7" x14ac:dyDescent="0.15">
      <c r="A34" s="3" t="s">
        <v>1195</v>
      </c>
      <c r="B34" s="166">
        <v>300</v>
      </c>
      <c r="C34" s="166">
        <v>400</v>
      </c>
      <c r="D34" s="166">
        <v>300</v>
      </c>
      <c r="F34" s="81"/>
    </row>
    <row r="35" spans="1:7" x14ac:dyDescent="0.15">
      <c r="A35" s="3" t="s">
        <v>1042</v>
      </c>
      <c r="B35" s="166">
        <v>2300</v>
      </c>
      <c r="C35" s="166">
        <v>2900</v>
      </c>
      <c r="D35" s="166">
        <v>3900</v>
      </c>
      <c r="E35" s="81"/>
      <c r="F35" s="81"/>
    </row>
    <row r="36" spans="1:7" x14ac:dyDescent="0.15">
      <c r="A36" s="265" t="s">
        <v>55</v>
      </c>
      <c r="B36" s="279">
        <f>B34-B35</f>
        <v>-2000</v>
      </c>
      <c r="C36" s="279">
        <f>C34-C35</f>
        <v>-2500</v>
      </c>
      <c r="D36" s="279">
        <f>D34-D35</f>
        <v>-3600</v>
      </c>
      <c r="E36" s="81"/>
      <c r="F36" s="81"/>
    </row>
    <row r="37" spans="1:7" x14ac:dyDescent="0.15">
      <c r="A37" s="3" t="s">
        <v>56</v>
      </c>
      <c r="B37" s="166">
        <v>-100</v>
      </c>
      <c r="C37" s="166">
        <v>-100</v>
      </c>
      <c r="D37" s="166">
        <v>100</v>
      </c>
    </row>
    <row r="38" spans="1:7" x14ac:dyDescent="0.15">
      <c r="A38" s="3" t="s">
        <v>80</v>
      </c>
      <c r="B38" s="166">
        <v>800</v>
      </c>
      <c r="C38" s="166">
        <v>700</v>
      </c>
      <c r="D38" s="166">
        <v>600</v>
      </c>
    </row>
    <row r="39" spans="1:7" x14ac:dyDescent="0.15">
      <c r="A39" s="265" t="s">
        <v>1044</v>
      </c>
      <c r="B39" s="279">
        <f>B33+B36+B37-B38</f>
        <v>800</v>
      </c>
      <c r="C39" s="279">
        <f>C33+C36+C37-C38</f>
        <v>700</v>
      </c>
      <c r="D39" s="279">
        <f>D33+D36+D37-D38</f>
        <v>600</v>
      </c>
      <c r="E39" s="81"/>
    </row>
    <row r="40" spans="1:7" x14ac:dyDescent="0.15">
      <c r="A40" s="7"/>
      <c r="B40" s="147"/>
      <c r="C40" s="147"/>
      <c r="D40" s="147"/>
      <c r="E40" s="81"/>
      <c r="G40" s="387"/>
    </row>
    <row r="41" spans="1:7" x14ac:dyDescent="0.15">
      <c r="A41" s="7" t="s">
        <v>344</v>
      </c>
      <c r="B41" s="147"/>
      <c r="C41" s="147"/>
      <c r="D41" s="147"/>
      <c r="E41" s="81"/>
      <c r="F41" s="516" t="s">
        <v>411</v>
      </c>
      <c r="G41" s="516"/>
    </row>
    <row r="42" spans="1:7" x14ac:dyDescent="0.15">
      <c r="A42" s="317"/>
      <c r="B42" s="400">
        <v>1</v>
      </c>
      <c r="C42" s="400">
        <v>2</v>
      </c>
      <c r="D42" s="400">
        <v>3</v>
      </c>
      <c r="E42" s="345"/>
      <c r="F42" s="343">
        <v>2</v>
      </c>
      <c r="G42" s="343">
        <v>3</v>
      </c>
    </row>
    <row r="43" spans="1:7" s="7" customFormat="1" x14ac:dyDescent="0.15">
      <c r="A43" s="265" t="s">
        <v>1171</v>
      </c>
      <c r="B43" s="279">
        <f>B22</f>
        <v>82000</v>
      </c>
      <c r="C43" s="279">
        <f>C22</f>
        <v>92000</v>
      </c>
      <c r="D43" s="279">
        <f>D22</f>
        <v>97000</v>
      </c>
      <c r="E43" s="280"/>
      <c r="F43" s="280">
        <f t="shared" ref="F43:G56" si="0">C43/B43-1</f>
        <v>0.12195121951219523</v>
      </c>
      <c r="G43" s="280">
        <f t="shared" si="0"/>
        <v>5.4347826086956541E-2</v>
      </c>
    </row>
    <row r="44" spans="1:7" x14ac:dyDescent="0.15">
      <c r="A44" s="3" t="s">
        <v>922</v>
      </c>
      <c r="B44" s="166">
        <f>B25+B26-B23</f>
        <v>22600</v>
      </c>
      <c r="C44" s="166">
        <f>C25+C26-C23</f>
        <v>25500</v>
      </c>
      <c r="D44" s="166">
        <f>D25+D26-D23</f>
        <v>25500</v>
      </c>
      <c r="E44" s="81"/>
      <c r="F44" s="81">
        <f t="shared" si="0"/>
        <v>0.12831858407079655</v>
      </c>
      <c r="G44" s="81">
        <f t="shared" si="0"/>
        <v>0</v>
      </c>
    </row>
    <row r="45" spans="1:7" x14ac:dyDescent="0.15">
      <c r="A45" s="265" t="s">
        <v>340</v>
      </c>
      <c r="B45" s="279">
        <f>B43-B44</f>
        <v>59400</v>
      </c>
      <c r="C45" s="279">
        <f>C43-C44</f>
        <v>66500</v>
      </c>
      <c r="D45" s="279">
        <f>D43-D44</f>
        <v>71500</v>
      </c>
      <c r="E45" s="280"/>
      <c r="F45" s="280">
        <f t="shared" si="0"/>
        <v>0.1195286195286196</v>
      </c>
      <c r="G45" s="280">
        <f t="shared" si="0"/>
        <v>7.5187969924812137E-2</v>
      </c>
    </row>
    <row r="46" spans="1:7" x14ac:dyDescent="0.15">
      <c r="A46" s="3" t="s">
        <v>52</v>
      </c>
      <c r="B46" s="166">
        <f t="shared" ref="B46:D48" si="1">B27</f>
        <v>20200</v>
      </c>
      <c r="C46" s="166">
        <f t="shared" si="1"/>
        <v>23000</v>
      </c>
      <c r="D46" s="166">
        <f t="shared" si="1"/>
        <v>23500</v>
      </c>
      <c r="E46" s="81"/>
      <c r="F46" s="81">
        <f t="shared" si="0"/>
        <v>0.13861386138613851</v>
      </c>
      <c r="G46" s="81">
        <f t="shared" si="0"/>
        <v>2.1739130434782705E-2</v>
      </c>
    </row>
    <row r="47" spans="1:7" x14ac:dyDescent="0.15">
      <c r="A47" s="3" t="s">
        <v>1267</v>
      </c>
      <c r="B47" s="166">
        <f t="shared" si="1"/>
        <v>1200</v>
      </c>
      <c r="C47" s="166">
        <f t="shared" si="1"/>
        <v>1400</v>
      </c>
      <c r="D47" s="166">
        <f t="shared" si="1"/>
        <v>1500</v>
      </c>
      <c r="E47" s="81"/>
      <c r="F47" s="81">
        <f t="shared" si="0"/>
        <v>0.16666666666666674</v>
      </c>
      <c r="G47" s="81">
        <f t="shared" si="0"/>
        <v>7.1428571428571397E-2</v>
      </c>
    </row>
    <row r="48" spans="1:7" x14ac:dyDescent="0.15">
      <c r="A48" s="3" t="s">
        <v>53</v>
      </c>
      <c r="B48" s="166">
        <f t="shared" si="1"/>
        <v>29000</v>
      </c>
      <c r="C48" s="166">
        <f t="shared" si="1"/>
        <v>33000</v>
      </c>
      <c r="D48" s="166">
        <f t="shared" si="1"/>
        <v>37000</v>
      </c>
      <c r="E48" s="81"/>
      <c r="F48" s="81">
        <f t="shared" si="0"/>
        <v>0.13793103448275867</v>
      </c>
      <c r="G48" s="81">
        <f t="shared" si="0"/>
        <v>0.1212121212121211</v>
      </c>
    </row>
    <row r="49" spans="1:7" x14ac:dyDescent="0.15">
      <c r="A49" s="3" t="s">
        <v>79</v>
      </c>
      <c r="B49" s="166">
        <f>B31</f>
        <v>100</v>
      </c>
      <c r="C49" s="166">
        <f>C31</f>
        <v>200</v>
      </c>
      <c r="D49" s="166">
        <f>D31</f>
        <v>0</v>
      </c>
      <c r="E49" s="81"/>
      <c r="F49" s="81">
        <f t="shared" si="0"/>
        <v>1</v>
      </c>
      <c r="G49" s="81">
        <f t="shared" si="0"/>
        <v>-1</v>
      </c>
    </row>
    <row r="50" spans="1:7" x14ac:dyDescent="0.15">
      <c r="A50" s="265" t="s">
        <v>69</v>
      </c>
      <c r="B50" s="279">
        <f>B45-B46-B47-B48-B49</f>
        <v>8900</v>
      </c>
      <c r="C50" s="279">
        <f>C45-C46-C47-C48-C49</f>
        <v>8900</v>
      </c>
      <c r="D50" s="279">
        <f>D45-D46-D47-D48-D49</f>
        <v>9500</v>
      </c>
      <c r="E50" s="280"/>
      <c r="F50" s="280">
        <f t="shared" si="0"/>
        <v>0</v>
      </c>
      <c r="G50" s="280">
        <f t="shared" si="0"/>
        <v>6.7415730337078594E-2</v>
      </c>
    </row>
    <row r="51" spans="1:7" x14ac:dyDescent="0.15">
      <c r="A51" s="3" t="s">
        <v>979</v>
      </c>
      <c r="B51" s="166">
        <f>B30</f>
        <v>5200</v>
      </c>
      <c r="C51" s="166">
        <f>C30</f>
        <v>4900</v>
      </c>
      <c r="D51" s="166">
        <f>D30</f>
        <v>4800</v>
      </c>
      <c r="E51" s="81"/>
      <c r="F51" s="81">
        <f t="shared" si="0"/>
        <v>-5.7692307692307709E-2</v>
      </c>
      <c r="G51" s="81">
        <f t="shared" si="0"/>
        <v>-2.0408163265306145E-2</v>
      </c>
    </row>
    <row r="52" spans="1:7" x14ac:dyDescent="0.15">
      <c r="A52" s="265" t="s">
        <v>1007</v>
      </c>
      <c r="B52" s="279">
        <f>B50-B51</f>
        <v>3700</v>
      </c>
      <c r="C52" s="279">
        <f>C50-C51</f>
        <v>4000</v>
      </c>
      <c r="D52" s="279">
        <f>D50-D51</f>
        <v>4700</v>
      </c>
      <c r="E52" s="280"/>
      <c r="F52" s="280">
        <f t="shared" si="0"/>
        <v>8.1081081081081141E-2</v>
      </c>
      <c r="G52" s="280">
        <f t="shared" si="0"/>
        <v>0.17500000000000004</v>
      </c>
    </row>
    <row r="53" spans="1:7" s="7" customFormat="1" x14ac:dyDescent="0.15">
      <c r="A53" s="246" t="s">
        <v>342</v>
      </c>
      <c r="B53" s="281">
        <f>B35-B34</f>
        <v>2000</v>
      </c>
      <c r="C53" s="281">
        <f>C35-C34</f>
        <v>2500</v>
      </c>
      <c r="D53" s="281">
        <f>D35-D34</f>
        <v>3600</v>
      </c>
      <c r="E53" s="282"/>
      <c r="F53" s="282">
        <f t="shared" si="0"/>
        <v>0.25</v>
      </c>
      <c r="G53" s="282">
        <f t="shared" si="0"/>
        <v>0.43999999999999995</v>
      </c>
    </row>
    <row r="54" spans="1:7" x14ac:dyDescent="0.15">
      <c r="A54" s="3" t="s">
        <v>56</v>
      </c>
      <c r="B54" s="166">
        <f t="shared" ref="B54:D55" si="2">B37</f>
        <v>-100</v>
      </c>
      <c r="C54" s="166">
        <f t="shared" si="2"/>
        <v>-100</v>
      </c>
      <c r="D54" s="166">
        <f t="shared" si="2"/>
        <v>100</v>
      </c>
      <c r="E54" s="81"/>
      <c r="F54" s="81">
        <f t="shared" si="0"/>
        <v>0</v>
      </c>
      <c r="G54" s="81">
        <f t="shared" si="0"/>
        <v>-2</v>
      </c>
    </row>
    <row r="55" spans="1:7" x14ac:dyDescent="0.15">
      <c r="A55" s="3" t="s">
        <v>80</v>
      </c>
      <c r="B55" s="166">
        <f t="shared" si="2"/>
        <v>800</v>
      </c>
      <c r="C55" s="166">
        <f t="shared" si="2"/>
        <v>700</v>
      </c>
      <c r="D55" s="166">
        <f t="shared" si="2"/>
        <v>600</v>
      </c>
      <c r="E55" s="81"/>
      <c r="F55" s="81">
        <f t="shared" si="0"/>
        <v>-0.125</v>
      </c>
      <c r="G55" s="81">
        <f t="shared" si="0"/>
        <v>-0.1428571428571429</v>
      </c>
    </row>
    <row r="56" spans="1:7" x14ac:dyDescent="0.15">
      <c r="A56" s="265" t="s">
        <v>1044</v>
      </c>
      <c r="B56" s="279">
        <f>B52-B53+B54-B55</f>
        <v>800</v>
      </c>
      <c r="C56" s="279">
        <f>C52-C53+C54-C55</f>
        <v>700</v>
      </c>
      <c r="D56" s="279">
        <f>D52-D53+D54-D55</f>
        <v>600</v>
      </c>
      <c r="E56" s="280"/>
      <c r="F56" s="280">
        <f t="shared" si="0"/>
        <v>-0.125</v>
      </c>
      <c r="G56" s="280">
        <f t="shared" si="0"/>
        <v>-0.1428571428571429</v>
      </c>
    </row>
    <row r="57" spans="1:7" x14ac:dyDescent="0.15">
      <c r="A57" s="7"/>
      <c r="B57" s="147"/>
      <c r="C57" s="147"/>
      <c r="D57" s="147"/>
      <c r="E57" s="81"/>
    </row>
    <row r="58" spans="1:7" x14ac:dyDescent="0.15">
      <c r="A58" s="172" t="s">
        <v>343</v>
      </c>
      <c r="B58" s="147"/>
      <c r="C58" s="147"/>
      <c r="D58" s="147"/>
      <c r="E58" s="81"/>
    </row>
    <row r="59" spans="1:7" x14ac:dyDescent="0.15">
      <c r="A59" s="7"/>
      <c r="B59" s="147"/>
      <c r="C59" s="147"/>
      <c r="D59" s="147"/>
      <c r="E59" s="81"/>
    </row>
    <row r="60" spans="1:7" x14ac:dyDescent="0.15">
      <c r="A60" s="265" t="s">
        <v>1171</v>
      </c>
      <c r="B60" s="283">
        <f t="shared" ref="B60:D73" si="3">B43/B$43</f>
        <v>1</v>
      </c>
      <c r="C60" s="283">
        <f t="shared" si="3"/>
        <v>1</v>
      </c>
      <c r="D60" s="283">
        <f t="shared" si="3"/>
        <v>1</v>
      </c>
      <c r="E60" s="81"/>
    </row>
    <row r="61" spans="1:7" x14ac:dyDescent="0.15">
      <c r="A61" s="3" t="s">
        <v>922</v>
      </c>
      <c r="B61" s="104">
        <f t="shared" si="3"/>
        <v>0.275609756097561</v>
      </c>
      <c r="C61" s="104">
        <f t="shared" si="3"/>
        <v>0.27717391304347827</v>
      </c>
      <c r="D61" s="104">
        <f t="shared" si="3"/>
        <v>0.26288659793814434</v>
      </c>
      <c r="E61" s="81"/>
    </row>
    <row r="62" spans="1:7" x14ac:dyDescent="0.15">
      <c r="A62" s="265" t="s">
        <v>210</v>
      </c>
      <c r="B62" s="283">
        <f t="shared" si="3"/>
        <v>0.724390243902439</v>
      </c>
      <c r="C62" s="283">
        <f t="shared" si="3"/>
        <v>0.72282608695652173</v>
      </c>
      <c r="D62" s="283">
        <f t="shared" si="3"/>
        <v>0.73711340206185572</v>
      </c>
      <c r="E62" s="81"/>
    </row>
    <row r="63" spans="1:7" x14ac:dyDescent="0.15">
      <c r="A63" s="3" t="s">
        <v>52</v>
      </c>
      <c r="B63" s="104">
        <f t="shared" si="3"/>
        <v>0.24634146341463414</v>
      </c>
      <c r="C63" s="104">
        <f t="shared" si="3"/>
        <v>0.25</v>
      </c>
      <c r="D63" s="104">
        <f t="shared" si="3"/>
        <v>0.2422680412371134</v>
      </c>
      <c r="E63" s="81"/>
    </row>
    <row r="64" spans="1:7" x14ac:dyDescent="0.15">
      <c r="A64" s="3" t="s">
        <v>1267</v>
      </c>
      <c r="B64" s="104">
        <f t="shared" si="3"/>
        <v>1.4634146341463415E-2</v>
      </c>
      <c r="C64" s="104">
        <f t="shared" si="3"/>
        <v>1.5217391304347827E-2</v>
      </c>
      <c r="D64" s="104">
        <f t="shared" si="3"/>
        <v>1.5463917525773196E-2</v>
      </c>
      <c r="E64" s="81"/>
    </row>
    <row r="65" spans="1:6" x14ac:dyDescent="0.15">
      <c r="A65" s="3" t="s">
        <v>53</v>
      </c>
      <c r="B65" s="104">
        <f t="shared" si="3"/>
        <v>0.35365853658536583</v>
      </c>
      <c r="C65" s="104">
        <f t="shared" si="3"/>
        <v>0.35869565217391303</v>
      </c>
      <c r="D65" s="104">
        <f t="shared" si="3"/>
        <v>0.38144329896907214</v>
      </c>
      <c r="E65" s="81"/>
    </row>
    <row r="66" spans="1:6" x14ac:dyDescent="0.15">
      <c r="A66" s="3" t="s">
        <v>79</v>
      </c>
      <c r="B66" s="104">
        <f t="shared" si="3"/>
        <v>1.2195121951219512E-3</v>
      </c>
      <c r="C66" s="104">
        <f t="shared" si="3"/>
        <v>2.1739130434782609E-3</v>
      </c>
      <c r="D66" s="104">
        <f t="shared" si="3"/>
        <v>0</v>
      </c>
      <c r="E66" s="81"/>
    </row>
    <row r="67" spans="1:6" x14ac:dyDescent="0.15">
      <c r="A67" s="265" t="s">
        <v>69</v>
      </c>
      <c r="B67" s="283">
        <f t="shared" si="3"/>
        <v>0.10853658536585366</v>
      </c>
      <c r="C67" s="283">
        <f t="shared" si="3"/>
        <v>9.6739130434782605E-2</v>
      </c>
      <c r="D67" s="283">
        <f t="shared" si="3"/>
        <v>9.7938144329896906E-2</v>
      </c>
      <c r="E67" s="81"/>
    </row>
    <row r="68" spans="1:6" x14ac:dyDescent="0.15">
      <c r="A68" s="3" t="s">
        <v>979</v>
      </c>
      <c r="B68" s="104">
        <f t="shared" si="3"/>
        <v>6.3414634146341464E-2</v>
      </c>
      <c r="C68" s="104">
        <f t="shared" si="3"/>
        <v>5.3260869565217389E-2</v>
      </c>
      <c r="D68" s="104">
        <f t="shared" si="3"/>
        <v>4.9484536082474224E-2</v>
      </c>
      <c r="E68" s="81"/>
    </row>
    <row r="69" spans="1:6" x14ac:dyDescent="0.15">
      <c r="A69" s="265" t="s">
        <v>1007</v>
      </c>
      <c r="B69" s="283">
        <f t="shared" si="3"/>
        <v>4.5121951219512194E-2</v>
      </c>
      <c r="C69" s="283">
        <f t="shared" si="3"/>
        <v>4.3478260869565216E-2</v>
      </c>
      <c r="D69" s="283">
        <f t="shared" si="3"/>
        <v>4.8453608247422682E-2</v>
      </c>
      <c r="E69" s="81"/>
    </row>
    <row r="70" spans="1:6" x14ac:dyDescent="0.15">
      <c r="A70" s="265" t="s">
        <v>342</v>
      </c>
      <c r="B70" s="283">
        <f t="shared" si="3"/>
        <v>2.4390243902439025E-2</v>
      </c>
      <c r="C70" s="283">
        <f t="shared" si="3"/>
        <v>2.717391304347826E-2</v>
      </c>
      <c r="D70" s="283">
        <f t="shared" si="3"/>
        <v>3.711340206185567E-2</v>
      </c>
      <c r="E70" s="81"/>
    </row>
    <row r="71" spans="1:6" x14ac:dyDescent="0.15">
      <c r="A71" s="3" t="s">
        <v>56</v>
      </c>
      <c r="B71" s="104">
        <f t="shared" si="3"/>
        <v>-1.2195121951219512E-3</v>
      </c>
      <c r="C71" s="104">
        <f t="shared" si="3"/>
        <v>-1.0869565217391304E-3</v>
      </c>
      <c r="D71" s="104">
        <f t="shared" si="3"/>
        <v>1.0309278350515464E-3</v>
      </c>
      <c r="E71" s="81"/>
    </row>
    <row r="72" spans="1:6" x14ac:dyDescent="0.15">
      <c r="A72" s="3" t="s">
        <v>80</v>
      </c>
      <c r="B72" s="104">
        <f t="shared" si="3"/>
        <v>9.7560975609756097E-3</v>
      </c>
      <c r="C72" s="104">
        <f t="shared" si="3"/>
        <v>7.6086956521739134E-3</v>
      </c>
      <c r="D72" s="104">
        <f t="shared" si="3"/>
        <v>6.1855670103092781E-3</v>
      </c>
      <c r="E72" s="81"/>
    </row>
    <row r="73" spans="1:6" x14ac:dyDescent="0.15">
      <c r="A73" s="265" t="s">
        <v>1044</v>
      </c>
      <c r="B73" s="283">
        <f t="shared" si="3"/>
        <v>9.7560975609756097E-3</v>
      </c>
      <c r="C73" s="283">
        <f t="shared" si="3"/>
        <v>7.6086956521739134E-3</v>
      </c>
      <c r="D73" s="283">
        <f t="shared" si="3"/>
        <v>6.1855670103092781E-3</v>
      </c>
      <c r="E73" s="81"/>
    </row>
    <row r="74" spans="1:6" x14ac:dyDescent="0.15">
      <c r="A74" s="7"/>
      <c r="B74" s="147"/>
      <c r="C74" s="147"/>
      <c r="D74" s="147"/>
      <c r="E74" s="81"/>
    </row>
    <row r="75" spans="1:6" x14ac:dyDescent="0.15">
      <c r="B75" s="147"/>
      <c r="C75" s="147"/>
      <c r="D75" s="147"/>
      <c r="E75" s="81"/>
    </row>
    <row r="76" spans="1:6" ht="15" x14ac:dyDescent="0.15">
      <c r="A76" s="8" t="s">
        <v>1691</v>
      </c>
      <c r="B76" s="147"/>
      <c r="C76" s="147"/>
      <c r="D76" s="147"/>
      <c r="E76" s="81"/>
      <c r="F76" s="81"/>
    </row>
    <row r="77" spans="1:6" ht="15" x14ac:dyDescent="0.15">
      <c r="A77" s="8"/>
      <c r="F77" s="81"/>
    </row>
    <row r="78" spans="1:6" x14ac:dyDescent="0.15">
      <c r="A78" s="343" t="s">
        <v>117</v>
      </c>
      <c r="B78" s="343">
        <v>0</v>
      </c>
      <c r="C78" s="343">
        <v>1</v>
      </c>
      <c r="D78" s="343">
        <v>2</v>
      </c>
      <c r="E78" s="343">
        <v>3</v>
      </c>
      <c r="F78" s="81"/>
    </row>
    <row r="79" spans="1:6" x14ac:dyDescent="0.15">
      <c r="A79" s="3" t="s">
        <v>945</v>
      </c>
      <c r="B79" s="251">
        <v>70.2</v>
      </c>
      <c r="C79" s="251">
        <v>106</v>
      </c>
      <c r="D79" s="251">
        <v>132</v>
      </c>
      <c r="E79" s="251">
        <v>161</v>
      </c>
    </row>
    <row r="80" spans="1:6" x14ac:dyDescent="0.15">
      <c r="A80" s="3" t="s">
        <v>118</v>
      </c>
      <c r="B80" s="251">
        <v>29.4</v>
      </c>
      <c r="C80" s="251">
        <v>35.4</v>
      </c>
      <c r="D80" s="251">
        <v>44.3</v>
      </c>
      <c r="E80" s="251">
        <v>53.8</v>
      </c>
    </row>
    <row r="81" spans="1:5" x14ac:dyDescent="0.15">
      <c r="A81" s="3" t="s">
        <v>53</v>
      </c>
      <c r="B81" s="251">
        <v>22.2</v>
      </c>
      <c r="C81" s="251">
        <v>29.4</v>
      </c>
      <c r="D81" s="251">
        <v>36.700000000000003</v>
      </c>
      <c r="E81" s="251">
        <v>41.1</v>
      </c>
    </row>
    <row r="82" spans="1:5" x14ac:dyDescent="0.15">
      <c r="A82" s="3" t="s">
        <v>1267</v>
      </c>
      <c r="B82" s="251">
        <v>0.5</v>
      </c>
      <c r="C82" s="251">
        <v>0.7</v>
      </c>
      <c r="D82" s="251">
        <v>0.7</v>
      </c>
      <c r="E82" s="251">
        <v>0.8</v>
      </c>
    </row>
    <row r="83" spans="1:5" x14ac:dyDescent="0.15">
      <c r="A83" s="3" t="s">
        <v>119</v>
      </c>
      <c r="B83" s="251">
        <v>13.7</v>
      </c>
      <c r="C83" s="251">
        <v>19.8</v>
      </c>
      <c r="D83" s="251">
        <v>24.6</v>
      </c>
      <c r="E83" s="251">
        <v>30.5</v>
      </c>
    </row>
    <row r="84" spans="1:5" x14ac:dyDescent="0.15">
      <c r="A84" s="88" t="s">
        <v>120</v>
      </c>
      <c r="B84" s="284">
        <v>2.5</v>
      </c>
      <c r="C84" s="284">
        <v>8.9</v>
      </c>
      <c r="D84" s="284">
        <v>11.2</v>
      </c>
      <c r="E84" s="284">
        <v>11.3</v>
      </c>
    </row>
    <row r="85" spans="1:5" x14ac:dyDescent="0.15">
      <c r="A85" s="3" t="s">
        <v>1041</v>
      </c>
      <c r="B85" s="251">
        <v>1.4</v>
      </c>
      <c r="C85" s="251">
        <v>2.7</v>
      </c>
      <c r="D85" s="251">
        <v>3.6</v>
      </c>
      <c r="E85" s="251">
        <v>5</v>
      </c>
    </row>
    <row r="87" spans="1:5" x14ac:dyDescent="0.15">
      <c r="A87" s="3" t="s">
        <v>67</v>
      </c>
      <c r="B87" s="251">
        <f>SUM(B88:B90)</f>
        <v>38.75</v>
      </c>
      <c r="C87" s="251">
        <f>SUM(C88:C90)</f>
        <v>54.199999999999996</v>
      </c>
      <c r="D87" s="251">
        <f>SUM(D88:D90)</f>
        <v>67.8</v>
      </c>
      <c r="E87" s="251">
        <f>SUM(E88:E90)</f>
        <v>80.349999999999994</v>
      </c>
    </row>
    <row r="88" spans="1:5" x14ac:dyDescent="0.15">
      <c r="A88" s="100" t="s">
        <v>118</v>
      </c>
      <c r="B88" s="285">
        <f>B80</f>
        <v>29.4</v>
      </c>
      <c r="C88" s="285">
        <f>C80</f>
        <v>35.4</v>
      </c>
      <c r="D88" s="285">
        <f>D80</f>
        <v>44.3</v>
      </c>
      <c r="E88" s="285">
        <f>E80</f>
        <v>53.8</v>
      </c>
    </row>
    <row r="89" spans="1:5" x14ac:dyDescent="0.15">
      <c r="A89" s="100" t="s">
        <v>120</v>
      </c>
      <c r="B89" s="285">
        <f>B84</f>
        <v>2.5</v>
      </c>
      <c r="C89" s="285">
        <f>C84</f>
        <v>8.9</v>
      </c>
      <c r="D89" s="285">
        <f>D84</f>
        <v>11.2</v>
      </c>
      <c r="E89" s="285">
        <f>E84</f>
        <v>11.3</v>
      </c>
    </row>
    <row r="90" spans="1:5" x14ac:dyDescent="0.15">
      <c r="A90" s="100" t="s">
        <v>121</v>
      </c>
      <c r="B90" s="285">
        <f>B83/2</f>
        <v>6.85</v>
      </c>
      <c r="C90" s="285">
        <f>C83/2</f>
        <v>9.9</v>
      </c>
      <c r="D90" s="285">
        <f>D83/2</f>
        <v>12.3</v>
      </c>
      <c r="E90" s="285">
        <f>E83/2</f>
        <v>15.25</v>
      </c>
    </row>
    <row r="91" spans="1:5" x14ac:dyDescent="0.15">
      <c r="A91" s="3" t="s">
        <v>68</v>
      </c>
      <c r="B91" s="251">
        <f>SUM(B92:B95)</f>
        <v>30.949999999999996</v>
      </c>
      <c r="C91" s="251">
        <f>SUM(C92:C95)</f>
        <v>42.7</v>
      </c>
      <c r="D91" s="251">
        <f>SUM(D92:D95)</f>
        <v>53.300000000000004</v>
      </c>
      <c r="E91" s="251">
        <f>SUM(E92:E95)</f>
        <v>62.15</v>
      </c>
    </row>
    <row r="92" spans="1:5" x14ac:dyDescent="0.15">
      <c r="A92" s="100" t="s">
        <v>53</v>
      </c>
      <c r="B92" s="285">
        <f t="shared" ref="B92:E93" si="4">B81</f>
        <v>22.2</v>
      </c>
      <c r="C92" s="285">
        <f t="shared" si="4"/>
        <v>29.4</v>
      </c>
      <c r="D92" s="285">
        <f t="shared" si="4"/>
        <v>36.700000000000003</v>
      </c>
      <c r="E92" s="285">
        <f t="shared" si="4"/>
        <v>41.1</v>
      </c>
    </row>
    <row r="93" spans="1:5" x14ac:dyDescent="0.15">
      <c r="A93" s="100" t="s">
        <v>1267</v>
      </c>
      <c r="B93" s="285">
        <f t="shared" si="4"/>
        <v>0.5</v>
      </c>
      <c r="C93" s="285">
        <f t="shared" si="4"/>
        <v>0.7</v>
      </c>
      <c r="D93" s="285">
        <f t="shared" si="4"/>
        <v>0.7</v>
      </c>
      <c r="E93" s="285">
        <f t="shared" si="4"/>
        <v>0.8</v>
      </c>
    </row>
    <row r="94" spans="1:5" x14ac:dyDescent="0.15">
      <c r="A94" s="100" t="s">
        <v>121</v>
      </c>
      <c r="B94" s="285">
        <f>B83/2</f>
        <v>6.85</v>
      </c>
      <c r="C94" s="285">
        <f>C83/2</f>
        <v>9.9</v>
      </c>
      <c r="D94" s="285">
        <f>D83/2</f>
        <v>12.3</v>
      </c>
      <c r="E94" s="285">
        <f>E83/2</f>
        <v>15.25</v>
      </c>
    </row>
    <row r="95" spans="1:5" x14ac:dyDescent="0.15">
      <c r="A95" s="100" t="s">
        <v>1041</v>
      </c>
      <c r="B95" s="285">
        <f>B85</f>
        <v>1.4</v>
      </c>
      <c r="C95" s="285">
        <f>C85</f>
        <v>2.7</v>
      </c>
      <c r="D95" s="285">
        <f>D85</f>
        <v>3.6</v>
      </c>
      <c r="E95" s="285">
        <f>E85</f>
        <v>5</v>
      </c>
    </row>
    <row r="97" spans="1:5" s="7" customFormat="1" x14ac:dyDescent="0.15">
      <c r="A97" s="7" t="s">
        <v>122</v>
      </c>
      <c r="B97" s="184">
        <f>B91/(1-B87/B79)</f>
        <v>69.083942766295692</v>
      </c>
      <c r="C97" s="184">
        <f>C91/(1-C87/C79)</f>
        <v>87.378378378378386</v>
      </c>
      <c r="D97" s="184">
        <f>D91/(1-D87/D79)</f>
        <v>109.58878504672899</v>
      </c>
      <c r="E97" s="184">
        <f>E91/(1-E87/E79)</f>
        <v>124.06881587104772</v>
      </c>
    </row>
    <row r="98" spans="1:5" x14ac:dyDescent="0.15">
      <c r="A98" s="3" t="s">
        <v>78</v>
      </c>
      <c r="B98" s="81">
        <f>B79/B97</f>
        <v>1.0161550888529889</v>
      </c>
      <c r="C98" s="81">
        <f>C79/C97</f>
        <v>1.2131147540983604</v>
      </c>
      <c r="D98" s="81">
        <f>D79/D97</f>
        <v>1.2045028142589116</v>
      </c>
      <c r="E98" s="81">
        <f>E79/E97</f>
        <v>1.2976669348350767</v>
      </c>
    </row>
    <row r="100" spans="1:5" x14ac:dyDescent="0.15">
      <c r="A100" s="3" t="s">
        <v>1175</v>
      </c>
      <c r="B100" s="251">
        <v>1.6</v>
      </c>
      <c r="C100" s="251">
        <f>1.6+3</f>
        <v>4.5999999999999996</v>
      </c>
      <c r="D100" s="251">
        <f>1.6+3</f>
        <v>4.5999999999999996</v>
      </c>
      <c r="E100" s="251">
        <f>1.6+3</f>
        <v>4.5999999999999996</v>
      </c>
    </row>
    <row r="102" spans="1:5" s="7" customFormat="1" x14ac:dyDescent="0.15">
      <c r="A102" s="7" t="s">
        <v>123</v>
      </c>
      <c r="B102" s="184">
        <f>(B91+B100)/(1-B87/B79)</f>
        <v>72.655325914149444</v>
      </c>
      <c r="C102" s="184">
        <f>(C91+C100)/(1-C87/C79)</f>
        <v>96.791505791505799</v>
      </c>
      <c r="D102" s="184">
        <f>(D91+D100)/(1-D87/D79)</f>
        <v>119.04672897196264</v>
      </c>
      <c r="E102" s="184">
        <f>(E91+E100)/(1-E87/E79)</f>
        <v>133.25170489770611</v>
      </c>
    </row>
    <row r="103" spans="1:5" x14ac:dyDescent="0.15">
      <c r="A103" s="3" t="s">
        <v>78</v>
      </c>
      <c r="B103" s="81">
        <f>B79/B102</f>
        <v>0.96620583717357911</v>
      </c>
      <c r="C103" s="81">
        <f>C79/C102</f>
        <v>1.095137420718816</v>
      </c>
      <c r="D103" s="81">
        <f>D79/D102</f>
        <v>1.1088082901554401</v>
      </c>
      <c r="E103" s="81">
        <f>E79/E102</f>
        <v>1.2082397003745322</v>
      </c>
    </row>
    <row r="106" spans="1:5" ht="15" x14ac:dyDescent="0.15">
      <c r="A106" s="8" t="s">
        <v>1692</v>
      </c>
    </row>
    <row r="107" spans="1:5" x14ac:dyDescent="0.15">
      <c r="B107" s="108" t="s">
        <v>1622</v>
      </c>
      <c r="C107" s="108" t="s">
        <v>1340</v>
      </c>
    </row>
    <row r="108" spans="1:5" x14ac:dyDescent="0.15">
      <c r="A108" s="3" t="s">
        <v>1171</v>
      </c>
      <c r="C108" s="3">
        <v>100</v>
      </c>
    </row>
    <row r="109" spans="1:5" x14ac:dyDescent="0.15">
      <c r="A109" s="3" t="s">
        <v>945</v>
      </c>
      <c r="C109" s="3">
        <f>C108+C113-B113</f>
        <v>120</v>
      </c>
    </row>
    <row r="110" spans="1:5" x14ac:dyDescent="0.15">
      <c r="A110" s="3" t="s">
        <v>1620</v>
      </c>
      <c r="C110" s="3">
        <v>40</v>
      </c>
    </row>
    <row r="111" spans="1:5" x14ac:dyDescent="0.15">
      <c r="A111" s="3" t="s">
        <v>1621</v>
      </c>
      <c r="C111" s="3">
        <v>50</v>
      </c>
    </row>
    <row r="113" spans="1:3" x14ac:dyDescent="0.15">
      <c r="A113" s="3" t="s">
        <v>1623</v>
      </c>
      <c r="B113" s="3">
        <v>20</v>
      </c>
      <c r="C113" s="3">
        <v>40</v>
      </c>
    </row>
    <row r="115" spans="1:3" x14ac:dyDescent="0.15">
      <c r="A115" s="3" t="s">
        <v>1624</v>
      </c>
      <c r="C115" s="3">
        <f>C110/((C108-C111)/C108)</f>
        <v>80</v>
      </c>
    </row>
    <row r="116" spans="1:3" x14ac:dyDescent="0.15">
      <c r="A116" s="3" t="s">
        <v>1625</v>
      </c>
      <c r="C116" s="13">
        <f>C110/((C109-C111)/C109)</f>
        <v>68.571428571428569</v>
      </c>
    </row>
  </sheetData>
  <mergeCells count="1">
    <mergeCell ref="F41:G41"/>
  </mergeCells>
  <phoneticPr fontId="4" type="noConversion"/>
  <pageMargins left="0.78740157480314965" right="0.78740157480314965" top="0.98425196850393704" bottom="0.98425196850393704" header="0.51181102362204722" footer="0.51181102362204722"/>
  <pageSetup paperSize="9" scale="99" fitToHeight="3"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10">
    <pageSetUpPr fitToPage="1"/>
  </sheetPr>
  <dimension ref="A1:F103"/>
  <sheetViews>
    <sheetView showGridLines="0" workbookViewId="0"/>
  </sheetViews>
  <sheetFormatPr baseColWidth="10" defaultColWidth="11" defaultRowHeight="14" x14ac:dyDescent="0.15"/>
  <cols>
    <col min="1" max="1" width="38.83203125" style="3" customWidth="1"/>
    <col min="2" max="16384" width="11" style="3"/>
  </cols>
  <sheetData>
    <row r="1" spans="1:4" ht="15" x14ac:dyDescent="0.15">
      <c r="A1" s="1" t="s">
        <v>1315</v>
      </c>
    </row>
    <row r="2" spans="1:4" ht="15" x14ac:dyDescent="0.15">
      <c r="A2" s="8"/>
    </row>
    <row r="3" spans="1:4" x14ac:dyDescent="0.15">
      <c r="A3" s="276" t="s">
        <v>136</v>
      </c>
    </row>
    <row r="4" spans="1:4" x14ac:dyDescent="0.15">
      <c r="A4" s="3" t="s">
        <v>1171</v>
      </c>
      <c r="B4" s="3">
        <v>100</v>
      </c>
    </row>
    <row r="5" spans="1:4" x14ac:dyDescent="0.15">
      <c r="A5" s="3" t="s">
        <v>60</v>
      </c>
      <c r="B5" s="3">
        <v>30</v>
      </c>
    </row>
    <row r="6" spans="1:4" x14ac:dyDescent="0.15">
      <c r="A6" s="3" t="s">
        <v>124</v>
      </c>
      <c r="B6" s="3">
        <v>40</v>
      </c>
    </row>
    <row r="7" spans="1:4" x14ac:dyDescent="0.15">
      <c r="A7" s="3" t="s">
        <v>125</v>
      </c>
      <c r="B7" s="3">
        <v>20</v>
      </c>
    </row>
    <row r="9" spans="1:4" x14ac:dyDescent="0.15">
      <c r="A9" s="7" t="s">
        <v>126</v>
      </c>
    </row>
    <row r="10" spans="1:4" x14ac:dyDescent="0.15">
      <c r="A10" s="3" t="s">
        <v>127</v>
      </c>
      <c r="B10" s="3">
        <v>15</v>
      </c>
      <c r="C10" s="3" t="s">
        <v>128</v>
      </c>
      <c r="D10" s="168" t="s">
        <v>142</v>
      </c>
    </row>
    <row r="11" spans="1:4" x14ac:dyDescent="0.15">
      <c r="A11" s="3" t="s">
        <v>129</v>
      </c>
      <c r="B11" s="3">
        <v>1</v>
      </c>
      <c r="C11" s="3" t="s">
        <v>131</v>
      </c>
      <c r="D11" s="3">
        <v>30</v>
      </c>
    </row>
    <row r="12" spans="1:4" x14ac:dyDescent="0.15">
      <c r="A12" s="100" t="s">
        <v>134</v>
      </c>
      <c r="B12" s="22">
        <v>1</v>
      </c>
      <c r="C12" s="22" t="s">
        <v>131</v>
      </c>
    </row>
    <row r="13" spans="1:4" x14ac:dyDescent="0.15">
      <c r="A13" s="100" t="s">
        <v>138</v>
      </c>
      <c r="B13" s="22">
        <v>15</v>
      </c>
      <c r="C13" s="22" t="s">
        <v>128</v>
      </c>
    </row>
    <row r="14" spans="1:4" x14ac:dyDescent="0.15">
      <c r="A14" s="3" t="s">
        <v>130</v>
      </c>
      <c r="B14" s="3">
        <v>15</v>
      </c>
      <c r="C14" s="3" t="s">
        <v>128</v>
      </c>
    </row>
    <row r="16" spans="1:4" x14ac:dyDescent="0.15">
      <c r="A16" s="7" t="s">
        <v>132</v>
      </c>
    </row>
    <row r="17" spans="1:4" x14ac:dyDescent="0.15">
      <c r="A17" s="3" t="s">
        <v>1191</v>
      </c>
      <c r="B17" s="3">
        <v>2</v>
      </c>
      <c r="C17" s="3" t="s">
        <v>131</v>
      </c>
    </row>
    <row r="18" spans="1:4" x14ac:dyDescent="0.15">
      <c r="A18" s="3" t="s">
        <v>133</v>
      </c>
      <c r="B18" s="3">
        <v>1</v>
      </c>
      <c r="C18" s="3" t="s">
        <v>131</v>
      </c>
    </row>
    <row r="20" spans="1:4" ht="24" x14ac:dyDescent="0.15">
      <c r="A20" s="342"/>
      <c r="B20" s="346" t="s">
        <v>139</v>
      </c>
      <c r="C20" s="347" t="s">
        <v>140</v>
      </c>
      <c r="D20" s="346" t="s">
        <v>576</v>
      </c>
    </row>
    <row r="21" spans="1:4" x14ac:dyDescent="0.15">
      <c r="A21" s="3" t="s">
        <v>141</v>
      </c>
      <c r="B21" s="81">
        <f>B5/B4</f>
        <v>0.3</v>
      </c>
      <c r="C21" s="29">
        <f>B10</f>
        <v>15</v>
      </c>
      <c r="D21" s="29">
        <f>B21*C21</f>
        <v>4.5</v>
      </c>
    </row>
    <row r="22" spans="1:4" x14ac:dyDescent="0.15">
      <c r="A22" s="3" t="s">
        <v>137</v>
      </c>
      <c r="B22" s="81"/>
    </row>
    <row r="23" spans="1:4" x14ac:dyDescent="0.15">
      <c r="A23" s="100" t="s">
        <v>134</v>
      </c>
      <c r="B23" s="277">
        <f>B5/B4</f>
        <v>0.3</v>
      </c>
      <c r="C23" s="22">
        <f>B12*Jours</f>
        <v>30</v>
      </c>
      <c r="D23" s="25">
        <f>B23*C23</f>
        <v>9</v>
      </c>
    </row>
    <row r="24" spans="1:4" x14ac:dyDescent="0.15">
      <c r="A24" s="100" t="s">
        <v>138</v>
      </c>
      <c r="B24" s="277">
        <f>B6/B4</f>
        <v>0.4</v>
      </c>
      <c r="C24" s="22">
        <f>B13</f>
        <v>15</v>
      </c>
      <c r="D24" s="25">
        <f>B24*C24</f>
        <v>6</v>
      </c>
    </row>
    <row r="25" spans="1:4" x14ac:dyDescent="0.15">
      <c r="A25" s="3" t="s">
        <v>1156</v>
      </c>
      <c r="B25" s="81">
        <f>(B5+B6)/B4</f>
        <v>0.7</v>
      </c>
      <c r="C25" s="3">
        <f>B14</f>
        <v>15</v>
      </c>
      <c r="D25" s="3">
        <f>B25*C25</f>
        <v>10.5</v>
      </c>
    </row>
    <row r="26" spans="1:4" x14ac:dyDescent="0.15">
      <c r="A26" s="3" t="s">
        <v>135</v>
      </c>
      <c r="B26" s="107">
        <f>B4/B4</f>
        <v>1</v>
      </c>
      <c r="C26" s="3">
        <f>B18*Jours</f>
        <v>30</v>
      </c>
      <c r="D26" s="29">
        <f>B26*C26</f>
        <v>30</v>
      </c>
    </row>
    <row r="27" spans="1:4" x14ac:dyDescent="0.15">
      <c r="A27" s="88" t="s">
        <v>1277</v>
      </c>
      <c r="B27" s="119">
        <f>-B5/B4</f>
        <v>-0.3</v>
      </c>
      <c r="C27" s="185">
        <f>B17*Jours</f>
        <v>60</v>
      </c>
      <c r="D27" s="185">
        <f>B27*C27</f>
        <v>-18</v>
      </c>
    </row>
    <row r="28" spans="1:4" x14ac:dyDescent="0.15">
      <c r="A28" s="273" t="s">
        <v>936</v>
      </c>
      <c r="D28" s="29">
        <f>SUM(D21:D27)</f>
        <v>42</v>
      </c>
    </row>
    <row r="30" spans="1:4" ht="15" x14ac:dyDescent="0.15">
      <c r="A30" s="8" t="s">
        <v>1316</v>
      </c>
    </row>
    <row r="31" spans="1:4" ht="15" x14ac:dyDescent="0.15">
      <c r="A31" s="8"/>
    </row>
    <row r="32" spans="1:4" x14ac:dyDescent="0.15">
      <c r="A32" s="3" t="s">
        <v>143</v>
      </c>
      <c r="B32" s="81">
        <v>0.25</v>
      </c>
      <c r="C32" s="3" t="s">
        <v>345</v>
      </c>
    </row>
    <row r="33" spans="1:6" x14ac:dyDescent="0.15">
      <c r="A33" s="3" t="s">
        <v>144</v>
      </c>
      <c r="B33" s="3">
        <v>100</v>
      </c>
    </row>
    <row r="34" spans="1:6" x14ac:dyDescent="0.15">
      <c r="A34" s="3" t="s">
        <v>145</v>
      </c>
      <c r="B34" s="3">
        <v>120</v>
      </c>
    </row>
    <row r="35" spans="1:6" x14ac:dyDescent="0.15">
      <c r="A35" s="3" t="s">
        <v>146</v>
      </c>
      <c r="B35" s="80">
        <v>0.15</v>
      </c>
      <c r="C35" s="3" t="s">
        <v>345</v>
      </c>
    </row>
    <row r="37" spans="1:6" ht="15" x14ac:dyDescent="0.15">
      <c r="A37" s="6" t="s">
        <v>147</v>
      </c>
      <c r="B37" s="3">
        <f>B35*B34-B32*(B34-B33)</f>
        <v>13</v>
      </c>
    </row>
    <row r="39" spans="1:6" ht="15" x14ac:dyDescent="0.15">
      <c r="A39" s="8" t="s">
        <v>1507</v>
      </c>
    </row>
    <row r="40" spans="1:6" ht="15" x14ac:dyDescent="0.15">
      <c r="A40" s="348"/>
      <c r="B40" s="343">
        <v>1</v>
      </c>
      <c r="C40" s="343">
        <v>2</v>
      </c>
      <c r="D40" s="343">
        <v>3</v>
      </c>
      <c r="E40" s="343">
        <v>4</v>
      </c>
      <c r="F40" s="343">
        <v>5</v>
      </c>
    </row>
    <row r="41" spans="1:6" x14ac:dyDescent="0.15">
      <c r="A41" s="7" t="s">
        <v>43</v>
      </c>
    </row>
    <row r="42" spans="1:6" x14ac:dyDescent="0.15">
      <c r="A42" s="3" t="s">
        <v>148</v>
      </c>
      <c r="B42" s="29">
        <v>6.1</v>
      </c>
      <c r="C42" s="29">
        <v>7.4</v>
      </c>
      <c r="D42" s="29">
        <v>9.1</v>
      </c>
      <c r="E42" s="29">
        <v>13</v>
      </c>
      <c r="F42" s="29">
        <v>15.4</v>
      </c>
    </row>
    <row r="43" spans="1:6" x14ac:dyDescent="0.15">
      <c r="A43" s="3" t="s">
        <v>149</v>
      </c>
      <c r="B43" s="29">
        <v>6.4</v>
      </c>
      <c r="C43" s="29">
        <v>8.9</v>
      </c>
      <c r="D43" s="29">
        <v>10.5</v>
      </c>
      <c r="E43" s="29">
        <v>11.1</v>
      </c>
      <c r="F43" s="29">
        <v>11.6</v>
      </c>
    </row>
    <row r="44" spans="1:6" x14ac:dyDescent="0.15">
      <c r="A44" s="3" t="s">
        <v>150</v>
      </c>
      <c r="B44" s="29">
        <v>2.1</v>
      </c>
      <c r="C44" s="29">
        <v>3.5</v>
      </c>
      <c r="D44" s="29">
        <v>3.5</v>
      </c>
      <c r="E44" s="29">
        <v>3.8</v>
      </c>
      <c r="F44" s="29">
        <v>3.4</v>
      </c>
    </row>
    <row r="45" spans="1:6" x14ac:dyDescent="0.15">
      <c r="B45" s="29"/>
      <c r="C45" s="29"/>
      <c r="D45" s="29"/>
      <c r="E45" s="29"/>
      <c r="F45" s="29"/>
    </row>
    <row r="46" spans="1:6" x14ac:dyDescent="0.15">
      <c r="A46" s="7" t="s">
        <v>151</v>
      </c>
      <c r="B46" s="29"/>
      <c r="C46" s="29"/>
      <c r="D46" s="29"/>
      <c r="E46" s="29"/>
      <c r="F46" s="29"/>
    </row>
    <row r="47" spans="1:6" x14ac:dyDescent="0.15">
      <c r="A47" s="3" t="s">
        <v>152</v>
      </c>
      <c r="B47" s="29">
        <v>32.799999999999997</v>
      </c>
      <c r="C47" s="29">
        <v>44.7</v>
      </c>
      <c r="D47" s="29">
        <v>49.4</v>
      </c>
      <c r="E47" s="29">
        <v>48.9</v>
      </c>
      <c r="F47" s="29">
        <v>50</v>
      </c>
    </row>
    <row r="48" spans="1:6" x14ac:dyDescent="0.15">
      <c r="A48" s="3" t="s">
        <v>153</v>
      </c>
      <c r="B48" s="29">
        <v>38.9</v>
      </c>
      <c r="C48" s="29">
        <v>52.6</v>
      </c>
      <c r="D48" s="29">
        <v>58.1</v>
      </c>
      <c r="E48" s="29">
        <v>57.4</v>
      </c>
      <c r="F48" s="29">
        <v>57.2</v>
      </c>
    </row>
    <row r="49" spans="1:6" x14ac:dyDescent="0.15">
      <c r="A49" s="3" t="s">
        <v>154</v>
      </c>
      <c r="B49" s="29">
        <v>12.5</v>
      </c>
      <c r="C49" s="29">
        <v>19.2</v>
      </c>
      <c r="D49" s="29">
        <v>19.600000000000001</v>
      </c>
      <c r="E49" s="29">
        <v>20.9</v>
      </c>
      <c r="F49" s="29">
        <v>20.399999999999999</v>
      </c>
    </row>
    <row r="51" spans="1:6" x14ac:dyDescent="0.15">
      <c r="A51" s="7" t="s">
        <v>62</v>
      </c>
    </row>
    <row r="52" spans="1:6" x14ac:dyDescent="0.15">
      <c r="A52" s="3" t="s">
        <v>1226</v>
      </c>
      <c r="B52" s="29">
        <f>B42+B43-B44</f>
        <v>10.4</v>
      </c>
      <c r="C52" s="29">
        <f>C42+C43-C44</f>
        <v>12.8</v>
      </c>
      <c r="D52" s="29">
        <f>D42+D43-D44</f>
        <v>16.100000000000001</v>
      </c>
      <c r="E52" s="29">
        <f>E42+E43-E44</f>
        <v>20.3</v>
      </c>
      <c r="F52" s="29">
        <f>F42+F43-F44</f>
        <v>23.6</v>
      </c>
    </row>
    <row r="53" spans="1:6" x14ac:dyDescent="0.15">
      <c r="A53" s="3" t="s">
        <v>156</v>
      </c>
      <c r="B53" s="13">
        <f>B52/B47*365</f>
        <v>115.73170731707319</v>
      </c>
      <c r="C53" s="13">
        <f>C52/C47*365</f>
        <v>104.51901565995526</v>
      </c>
      <c r="D53" s="13">
        <f>D52/D47*365</f>
        <v>118.95748987854252</v>
      </c>
      <c r="E53" s="13">
        <f>E52/E47*365</f>
        <v>151.5235173824131</v>
      </c>
      <c r="F53" s="13">
        <f>F52/F47*365</f>
        <v>172.28</v>
      </c>
    </row>
    <row r="54" spans="1:6" x14ac:dyDescent="0.15">
      <c r="A54" s="3" t="s">
        <v>44</v>
      </c>
      <c r="B54" s="13">
        <f>B43/B48*365</f>
        <v>60.051413881748076</v>
      </c>
      <c r="C54" s="13">
        <f>C43/C48*365</f>
        <v>61.758555133079852</v>
      </c>
      <c r="D54" s="13">
        <f>D43/D48*365</f>
        <v>65.963855421686745</v>
      </c>
      <c r="E54" s="13">
        <f>E43/E48*365</f>
        <v>70.583623693379792</v>
      </c>
      <c r="F54" s="13">
        <f>F43/F48*365</f>
        <v>74.020979020979013</v>
      </c>
    </row>
    <row r="55" spans="1:6" x14ac:dyDescent="0.15">
      <c r="A55" s="3" t="s">
        <v>45</v>
      </c>
      <c r="B55" s="13">
        <f>B42/B47*365</f>
        <v>67.881097560975604</v>
      </c>
      <c r="C55" s="13">
        <f>C42/C47*365</f>
        <v>60.425055928411631</v>
      </c>
      <c r="D55" s="13">
        <f>D42/D47*365</f>
        <v>67.23684210526315</v>
      </c>
      <c r="E55" s="13">
        <f>E42/E47*365</f>
        <v>97.034764826175859</v>
      </c>
      <c r="F55" s="13">
        <f>F42/F47*365</f>
        <v>112.42</v>
      </c>
    </row>
    <row r="56" spans="1:6" x14ac:dyDescent="0.15">
      <c r="A56" s="3" t="s">
        <v>46</v>
      </c>
      <c r="B56" s="13">
        <f>B44/B49*365</f>
        <v>61.32</v>
      </c>
      <c r="C56" s="13">
        <f>C44/C49*365</f>
        <v>66.536458333333343</v>
      </c>
      <c r="D56" s="13">
        <f>D44/D49*365</f>
        <v>65.178571428571416</v>
      </c>
      <c r="E56" s="13">
        <f>E44/E49*365</f>
        <v>66.36363636363636</v>
      </c>
      <c r="F56" s="13">
        <f>F44/F49*365</f>
        <v>60.833333333333343</v>
      </c>
    </row>
    <row r="58" spans="1:6" ht="15" x14ac:dyDescent="0.15">
      <c r="A58" s="8" t="s">
        <v>157</v>
      </c>
    </row>
    <row r="59" spans="1:6" x14ac:dyDescent="0.15">
      <c r="A59" s="3" t="s">
        <v>158</v>
      </c>
      <c r="B59" s="3">
        <v>4</v>
      </c>
      <c r="C59" s="3" t="s">
        <v>159</v>
      </c>
    </row>
    <row r="60" spans="1:6" x14ac:dyDescent="0.15">
      <c r="A60" s="3" t="s">
        <v>160</v>
      </c>
      <c r="B60" s="80">
        <v>0.6</v>
      </c>
      <c r="C60" s="3" t="s">
        <v>161</v>
      </c>
    </row>
    <row r="61" spans="1:6" x14ac:dyDescent="0.15">
      <c r="A61" s="3" t="s">
        <v>162</v>
      </c>
      <c r="B61" s="3">
        <v>45</v>
      </c>
      <c r="C61" s="3" t="s">
        <v>163</v>
      </c>
    </row>
    <row r="62" spans="1:6" x14ac:dyDescent="0.15">
      <c r="A62" s="3" t="s">
        <v>164</v>
      </c>
      <c r="B62" s="3">
        <v>30</v>
      </c>
      <c r="C62" s="3" t="s">
        <v>128</v>
      </c>
    </row>
    <row r="63" spans="1:6" x14ac:dyDescent="0.15">
      <c r="A63" s="3" t="s">
        <v>165</v>
      </c>
      <c r="B63" s="80">
        <v>0.1</v>
      </c>
      <c r="C63" s="3" t="s">
        <v>161</v>
      </c>
    </row>
    <row r="64" spans="1:6" x14ac:dyDescent="0.15">
      <c r="A64" s="3" t="s">
        <v>1137</v>
      </c>
      <c r="B64" s="80">
        <v>0.5</v>
      </c>
      <c r="C64" s="3" t="s">
        <v>168</v>
      </c>
      <c r="D64" s="3">
        <v>15</v>
      </c>
      <c r="E64" s="3" t="s">
        <v>167</v>
      </c>
    </row>
    <row r="65" spans="1:5" x14ac:dyDescent="0.15">
      <c r="A65" s="3" t="s">
        <v>166</v>
      </c>
      <c r="B65" s="80">
        <v>0.2</v>
      </c>
      <c r="C65" s="3" t="s">
        <v>169</v>
      </c>
      <c r="D65" s="3">
        <v>25</v>
      </c>
      <c r="E65" s="3" t="s">
        <v>167</v>
      </c>
    </row>
    <row r="67" spans="1:5" ht="24" x14ac:dyDescent="0.15">
      <c r="A67" s="343" t="s">
        <v>1226</v>
      </c>
      <c r="B67" s="346" t="s">
        <v>139</v>
      </c>
      <c r="C67" s="347" t="s">
        <v>140</v>
      </c>
      <c r="D67" s="346" t="s">
        <v>576</v>
      </c>
    </row>
    <row r="68" spans="1:5" x14ac:dyDescent="0.15">
      <c r="A68" s="3" t="s">
        <v>1277</v>
      </c>
      <c r="B68" s="50">
        <f>B60*(1+TVA)</f>
        <v>0.72</v>
      </c>
      <c r="C68" s="68">
        <f>B62</f>
        <v>30</v>
      </c>
      <c r="D68" s="68">
        <f t="shared" ref="D68:D73" si="0">B68*C68</f>
        <v>21.599999999999998</v>
      </c>
    </row>
    <row r="69" spans="1:5" x14ac:dyDescent="0.15">
      <c r="A69" s="3" t="s">
        <v>347</v>
      </c>
      <c r="B69" s="50">
        <f>B63</f>
        <v>0.1</v>
      </c>
      <c r="C69" s="68">
        <v>15</v>
      </c>
      <c r="D69" s="68">
        <f t="shared" si="0"/>
        <v>1.5</v>
      </c>
    </row>
    <row r="70" spans="1:5" x14ac:dyDescent="0.15">
      <c r="A70" s="3" t="s">
        <v>346</v>
      </c>
      <c r="B70" s="50">
        <f>B63*B64</f>
        <v>0.05</v>
      </c>
      <c r="C70" s="68">
        <f>15+D64</f>
        <v>30</v>
      </c>
      <c r="D70" s="68">
        <f t="shared" si="0"/>
        <v>1.5</v>
      </c>
    </row>
    <row r="71" spans="1:5" x14ac:dyDescent="0.15">
      <c r="A71" s="3" t="s">
        <v>1185</v>
      </c>
      <c r="B71" s="50">
        <v>0.6</v>
      </c>
      <c r="C71" s="68">
        <f>360/B59</f>
        <v>90</v>
      </c>
      <c r="D71" s="68">
        <f t="shared" si="0"/>
        <v>54</v>
      </c>
    </row>
    <row r="72" spans="1:5" x14ac:dyDescent="0.15">
      <c r="A72" s="3" t="s">
        <v>325</v>
      </c>
      <c r="B72" s="50">
        <f>(1+TVA)</f>
        <v>1.2</v>
      </c>
      <c r="C72" s="68">
        <f>B61+15</f>
        <v>60</v>
      </c>
      <c r="D72" s="68">
        <f>B72*C72</f>
        <v>72</v>
      </c>
      <c r="E72" s="3" t="s">
        <v>1381</v>
      </c>
    </row>
    <row r="73" spans="1:5" x14ac:dyDescent="0.15">
      <c r="A73" s="3" t="s">
        <v>170</v>
      </c>
      <c r="B73" s="50">
        <f>TVA-B60*TVA</f>
        <v>8.0000000000000016E-2</v>
      </c>
      <c r="C73" s="68">
        <f>15+D65</f>
        <v>40</v>
      </c>
      <c r="D73" s="68">
        <f t="shared" si="0"/>
        <v>3.2000000000000006</v>
      </c>
    </row>
    <row r="74" spans="1:5" x14ac:dyDescent="0.15">
      <c r="A74" s="273" t="s">
        <v>936</v>
      </c>
      <c r="D74" s="68">
        <f>+D71+D72-D73-D68-D69-D70</f>
        <v>98.2</v>
      </c>
    </row>
    <row r="77" spans="1:5" ht="15" x14ac:dyDescent="0.15">
      <c r="A77" s="8" t="s">
        <v>171</v>
      </c>
    </row>
    <row r="79" spans="1:5" x14ac:dyDescent="0.15">
      <c r="A79" s="3" t="s">
        <v>155</v>
      </c>
      <c r="B79" s="3">
        <v>15</v>
      </c>
      <c r="C79" s="3" t="s">
        <v>159</v>
      </c>
    </row>
    <row r="80" spans="1:5" x14ac:dyDescent="0.15">
      <c r="A80" s="3" t="s">
        <v>173</v>
      </c>
      <c r="B80" s="3">
        <v>90</v>
      </c>
      <c r="C80" s="3" t="s">
        <v>128</v>
      </c>
    </row>
    <row r="81" spans="1:5" x14ac:dyDescent="0.15">
      <c r="A81" s="3" t="s">
        <v>172</v>
      </c>
      <c r="B81" s="3">
        <v>10</v>
      </c>
      <c r="C81" s="3" t="s">
        <v>128</v>
      </c>
    </row>
    <row r="82" spans="1:5" x14ac:dyDescent="0.15">
      <c r="A82" s="3" t="s">
        <v>47</v>
      </c>
      <c r="B82" s="80">
        <v>0.75</v>
      </c>
    </row>
    <row r="83" spans="1:5" x14ac:dyDescent="0.15">
      <c r="A83" s="3" t="s">
        <v>174</v>
      </c>
    </row>
    <row r="85" spans="1:5" ht="24" x14ac:dyDescent="0.15">
      <c r="A85" s="343" t="s">
        <v>1226</v>
      </c>
      <c r="B85" s="346" t="s">
        <v>139</v>
      </c>
      <c r="C85" s="347" t="s">
        <v>140</v>
      </c>
      <c r="D85" s="346" t="s">
        <v>576</v>
      </c>
    </row>
    <row r="86" spans="1:5" x14ac:dyDescent="0.15">
      <c r="A86" s="3" t="s">
        <v>1185</v>
      </c>
      <c r="B86" s="81">
        <v>0.75</v>
      </c>
      <c r="C86" s="68">
        <f>365/B79</f>
        <v>24.333333333333332</v>
      </c>
      <c r="D86" s="68">
        <f>B86*C86</f>
        <v>18.25</v>
      </c>
    </row>
    <row r="87" spans="1:5" x14ac:dyDescent="0.15">
      <c r="A87" s="3" t="s">
        <v>325</v>
      </c>
      <c r="B87" s="80">
        <v>1</v>
      </c>
      <c r="C87" s="68">
        <f>B81</f>
        <v>10</v>
      </c>
      <c r="D87" s="68">
        <f>B87*C87</f>
        <v>10</v>
      </c>
    </row>
    <row r="88" spans="1:5" x14ac:dyDescent="0.15">
      <c r="A88" s="3" t="s">
        <v>1277</v>
      </c>
      <c r="B88" s="81">
        <v>0.75</v>
      </c>
      <c r="C88" s="68">
        <f>B80</f>
        <v>90</v>
      </c>
      <c r="D88" s="68">
        <f>B88*C88</f>
        <v>67.5</v>
      </c>
    </row>
    <row r="89" spans="1:5" x14ac:dyDescent="0.15">
      <c r="A89" s="273" t="s">
        <v>936</v>
      </c>
      <c r="D89" s="68">
        <f>D87+D86-D88</f>
        <v>-39.25</v>
      </c>
      <c r="E89" s="3" t="s">
        <v>350</v>
      </c>
    </row>
    <row r="93" spans="1:5" ht="15" x14ac:dyDescent="0.15">
      <c r="A93" s="8" t="s">
        <v>367</v>
      </c>
    </row>
    <row r="95" spans="1:5" ht="24.75" customHeight="1" x14ac:dyDescent="0.15">
      <c r="A95" s="513" t="s">
        <v>1605</v>
      </c>
      <c r="B95" s="513"/>
      <c r="C95" s="513"/>
      <c r="D95" s="513"/>
    </row>
    <row r="96" spans="1:5" ht="24.75" customHeight="1" x14ac:dyDescent="0.15">
      <c r="A96" s="513"/>
      <c r="B96" s="513"/>
      <c r="C96" s="513"/>
      <c r="D96" s="513"/>
    </row>
    <row r="97" spans="1:4" ht="24.75" customHeight="1" x14ac:dyDescent="0.15">
      <c r="A97" s="513"/>
      <c r="B97" s="513"/>
      <c r="C97" s="513"/>
      <c r="D97" s="513"/>
    </row>
    <row r="98" spans="1:4" ht="24.75" customHeight="1" x14ac:dyDescent="0.15">
      <c r="A98" s="513"/>
      <c r="B98" s="513"/>
      <c r="C98" s="513"/>
      <c r="D98" s="513"/>
    </row>
    <row r="99" spans="1:4" ht="24.75" customHeight="1" x14ac:dyDescent="0.15">
      <c r="A99" s="513"/>
      <c r="B99" s="513"/>
      <c r="C99" s="513"/>
      <c r="D99" s="513"/>
    </row>
    <row r="100" spans="1:4" ht="24.75" customHeight="1" x14ac:dyDescent="0.15">
      <c r="A100" s="513"/>
      <c r="B100" s="513"/>
      <c r="C100" s="513"/>
      <c r="D100" s="513"/>
    </row>
    <row r="101" spans="1:4" ht="24.75" customHeight="1" x14ac:dyDescent="0.15">
      <c r="A101" s="513"/>
      <c r="B101" s="513"/>
      <c r="C101" s="513"/>
      <c r="D101" s="513"/>
    </row>
    <row r="102" spans="1:4" ht="24.75" customHeight="1" x14ac:dyDescent="0.15">
      <c r="A102" s="513"/>
      <c r="B102" s="513"/>
      <c r="C102" s="513"/>
      <c r="D102" s="513"/>
    </row>
    <row r="103" spans="1:4" ht="24.75" customHeight="1" x14ac:dyDescent="0.15">
      <c r="A103" s="513"/>
      <c r="B103" s="513"/>
      <c r="C103" s="513"/>
      <c r="D103" s="513"/>
    </row>
  </sheetData>
  <mergeCells count="1">
    <mergeCell ref="A95:D103"/>
  </mergeCells>
  <phoneticPr fontId="4" type="noConversion"/>
  <pageMargins left="0.78740157480314965" right="0.78740157480314965" top="0.98425196850393704" bottom="0.98425196850393704" header="0.51181102362204722" footer="0.51181102362204722"/>
  <pageSetup paperSize="9" scale="62" fitToHeight="4" orientation="landscape" horizontalDpi="200" verticalDpi="200" r:id="rId1"/>
  <headerFooter alignWithMargins="0">
    <oddFooter>&amp;C&amp;P / &amp;N&amp;R&amp;"Verdana,Italique"&amp;9&amp;D - &amp;T&amp;L&amp;"Calibri"&amp;11&amp;K000000&amp;"Verdana,Italique"&amp;9&amp;F - &amp;A_x000D_&amp;1#&amp;"Calibri"&amp;1&amp;KFFFFFFC1 - Public Natixis</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Feuilles de calcul</vt:lpstr>
      </vt:variant>
      <vt:variant>
        <vt:i4>43</vt:i4>
      </vt:variant>
      <vt:variant>
        <vt:lpstr>Plages nommées</vt:lpstr>
      </vt:variant>
      <vt:variant>
        <vt:i4>4</vt:i4>
      </vt:variant>
    </vt:vector>
  </HeadingPairs>
  <TitlesOfParts>
    <vt:vector size="47" baseType="lpstr">
      <vt:lpstr>Chapitre 2</vt:lpstr>
      <vt:lpstr>Chapitre 3</vt:lpstr>
      <vt:lpstr>Chapitre 4</vt:lpstr>
      <vt:lpstr>Chapitre 5</vt:lpstr>
      <vt:lpstr>Chapitre 7</vt:lpstr>
      <vt:lpstr>Chapitre 9</vt:lpstr>
      <vt:lpstr>Chapitre 10</vt:lpstr>
      <vt:lpstr>Chapitre 11</vt:lpstr>
      <vt:lpstr> Chapitre 12</vt:lpstr>
      <vt:lpstr>Chapitre 13</vt:lpstr>
      <vt:lpstr>Chapitre 14</vt:lpstr>
      <vt:lpstr>Chapitre 15</vt:lpstr>
      <vt:lpstr> Chapitre 17</vt:lpstr>
      <vt:lpstr>Chapitre 18</vt:lpstr>
      <vt:lpstr>Chapitre 19</vt:lpstr>
      <vt:lpstr>Chapitre 20</vt:lpstr>
      <vt:lpstr>Chapitre 21</vt:lpstr>
      <vt:lpstr>Chapitre 22</vt:lpstr>
      <vt:lpstr>Chapitre 24</vt:lpstr>
      <vt:lpstr>Chapitre 25</vt:lpstr>
      <vt:lpstr>Chapitre 26</vt:lpstr>
      <vt:lpstr> Chapitre 27</vt:lpstr>
      <vt:lpstr> Chapitre 28</vt:lpstr>
      <vt:lpstr>Chapitre 29</vt:lpstr>
      <vt:lpstr>Chapitre 30</vt:lpstr>
      <vt:lpstr> Chapitre 31</vt:lpstr>
      <vt:lpstr>Chapitre 32</vt:lpstr>
      <vt:lpstr>Chapitre 33</vt:lpstr>
      <vt:lpstr>Chapitre 34</vt:lpstr>
      <vt:lpstr> Chapitre 35</vt:lpstr>
      <vt:lpstr>Chapitre 36</vt:lpstr>
      <vt:lpstr>Chapitre 37</vt:lpstr>
      <vt:lpstr>Chapitre 38</vt:lpstr>
      <vt:lpstr>Chapitre 39</vt:lpstr>
      <vt:lpstr> Chapitre 40</vt:lpstr>
      <vt:lpstr> Chapitre 41</vt:lpstr>
      <vt:lpstr> Chapitre 42</vt:lpstr>
      <vt:lpstr>Chapitre 43</vt:lpstr>
      <vt:lpstr>Chapitre 48</vt:lpstr>
      <vt:lpstr>Chapitre 50</vt:lpstr>
      <vt:lpstr>Chapitre 51</vt:lpstr>
      <vt:lpstr> Chapitre 53</vt:lpstr>
      <vt:lpstr>Chapitre 54</vt:lpstr>
      <vt:lpstr>Jours</vt:lpstr>
      <vt:lpstr>TVA</vt:lpstr>
      <vt:lpstr>'Chapitre 2'!Zone_d_impression</vt:lpstr>
      <vt:lpstr>'Chapitre 30'!Zone_d_impression</vt:lpstr>
    </vt:vector>
  </TitlesOfParts>
  <Company>Carles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Pochez</dc:creator>
  <cp:lastModifiedBy>Pascal QUIRY</cp:lastModifiedBy>
  <cp:lastPrinted>2023-04-11T21:21:48Z</cp:lastPrinted>
  <dcterms:created xsi:type="dcterms:W3CDTF">2001-06-20T16:25:08Z</dcterms:created>
  <dcterms:modified xsi:type="dcterms:W3CDTF">2026-07-31T18:45:53Z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e83a6fe-0b6e-4399-9d09-a1c8d8d5000c_Enabled">
    <vt:lpwstr>true</vt:lpwstr>
  </property>
  <property fmtid="{D5CDD505-2E9C-101B-9397-08002B2CF9AE}" pid="3" name="MSIP_Label_6e83a6fe-0b6e-4399-9d09-a1c8d8d5000c_SetDate">
    <vt:lpwstr>2023-09-05T19:31:05Z</vt:lpwstr>
  </property>
  <property fmtid="{D5CDD505-2E9C-101B-9397-08002B2CF9AE}" pid="4" name="MSIP_Label_6e83a6fe-0b6e-4399-9d09-a1c8d8d5000c_Method">
    <vt:lpwstr>Standard</vt:lpwstr>
  </property>
  <property fmtid="{D5CDD505-2E9C-101B-9397-08002B2CF9AE}" pid="5" name="MSIP_Label_6e83a6fe-0b6e-4399-9d09-a1c8d8d5000c_Name">
    <vt:lpwstr>6e83a6fe-0b6e-4399-9d09-a1c8d8d5000c</vt:lpwstr>
  </property>
  <property fmtid="{D5CDD505-2E9C-101B-9397-08002B2CF9AE}" pid="6" name="MSIP_Label_6e83a6fe-0b6e-4399-9d09-a1c8d8d5000c_SiteId">
    <vt:lpwstr>d5bb6d35-8a82-4329-b49a-5030bd6497ab</vt:lpwstr>
  </property>
  <property fmtid="{D5CDD505-2E9C-101B-9397-08002B2CF9AE}" pid="7" name="MSIP_Label_6e83a6fe-0b6e-4399-9d09-a1c8d8d5000c_ActionId">
    <vt:lpwstr>00f495be-cdf7-40e8-a53a-ab2dafdccbef</vt:lpwstr>
  </property>
  <property fmtid="{D5CDD505-2E9C-101B-9397-08002B2CF9AE}" pid="8" name="MSIP_Label_6e83a6fe-0b6e-4399-9d09-a1c8d8d5000c_ContentBits">
    <vt:lpwstr>2</vt:lpwstr>
  </property>
</Properties>
</file>