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9.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1.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3.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4.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5.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drawings/drawing16.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7.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8.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19.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drawings/drawing20.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21.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drawings/drawing22.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drawings/drawing23.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drawings/drawing24.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drawings/drawing25.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6.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7.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drawings/drawing28.xml" ContentType="application/vnd.openxmlformats-officedocument.drawing+xml"/>
  <Override PartName="/xl/charts/chart54.xml" ContentType="application/vnd.openxmlformats-officedocument.drawingml.chart+xml"/>
  <Override PartName="/xl/charts/chart55.xml" ContentType="application/vnd.openxmlformats-officedocument.drawingml.chart+xml"/>
  <Override PartName="/xl/drawings/drawing29.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drawings/drawing30.xml" ContentType="application/vnd.openxmlformats-officedocument.drawing+xml"/>
  <Override PartName="/xl/charts/chart58.xml" ContentType="application/vnd.openxmlformats-officedocument.drawingml.chart+xml"/>
  <Override PartName="/xl/charts/chart59.xml" ContentType="application/vnd.openxmlformats-officedocument.drawingml.chart+xml"/>
  <Override PartName="/xl/drawings/drawing31.xml" ContentType="application/vnd.openxmlformats-officedocument.drawing+xml"/>
  <Override PartName="/xl/charts/chart60.xml" ContentType="application/vnd.openxmlformats-officedocument.drawingml.chart+xml"/>
  <Override PartName="/xl/charts/chart61.xml" ContentType="application/vnd.openxmlformats-officedocument.drawingml.chart+xml"/>
  <Override PartName="/xl/drawings/drawing32.xml" ContentType="application/vnd.openxmlformats-officedocument.drawing+xml"/>
  <Override PartName="/xl/charts/chart62.xml" ContentType="application/vnd.openxmlformats-officedocument.drawingml.chart+xml"/>
  <Override PartName="/xl/charts/chart6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codeName="ThisWorkbook" autoCompressPictures="0"/>
  <mc:AlternateContent xmlns:mc="http://schemas.openxmlformats.org/markup-compatibility/2006">
    <mc:Choice Requires="x15">
      <x15ac:absPath xmlns:x15ac="http://schemas.microsoft.com/office/spreadsheetml/2010/11/ac" url="/var/folders/0k/hf3yhbyn6bjgmrc4scrz4sgc2_1rgt/T/com.apple.mail/com.apple.mail.SavedAttachment-T0x60002a930680.tmp.K0ns4q/"/>
    </mc:Choice>
  </mc:AlternateContent>
  <xr:revisionPtr revIDLastSave="0" documentId="8_{4186147D-AD0A-D647-A695-A321B3A72C60}" xr6:coauthVersionLast="47" xr6:coauthVersionMax="47" xr10:uidLastSave="{00000000-0000-0000-0000-000000000000}"/>
  <bookViews>
    <workbookView xWindow="0" yWindow="500" windowWidth="28800" windowHeight="16280" tabRatio="930" activeTab="12" xr2:uid="{00000000-000D-0000-FFFF-FFFF00000000}"/>
  </bookViews>
  <sheets>
    <sheet name="Chapitre 2" sheetId="1" r:id="rId1"/>
    <sheet name=" Chapitre 3" sheetId="4" r:id="rId2"/>
    <sheet name="Chapitre 4" sheetId="5" r:id="rId3"/>
    <sheet name="Chapitre 5" sheetId="6" r:id="rId4"/>
    <sheet name="Chapitre 7" sheetId="8" r:id="rId5"/>
    <sheet name="Chapitre 9" sheetId="14" r:id="rId6"/>
    <sheet name="Chapitre 10" sheetId="49" r:id="rId7"/>
    <sheet name="Chapitre 11" sheetId="15" r:id="rId8"/>
    <sheet name=" Chapitre 12" sheetId="16" r:id="rId9"/>
    <sheet name="Chapitre 13" sheetId="17" r:id="rId10"/>
    <sheet name="Chapitre 14" sheetId="18" r:id="rId11"/>
    <sheet name="Chapitre 15" sheetId="57" r:id="rId12"/>
    <sheet name=" Chapitre 17" sheetId="21" r:id="rId13"/>
    <sheet name="Chapitre 18" sheetId="23" r:id="rId14"/>
    <sheet name="Chapitre 19" sheetId="24" r:id="rId15"/>
    <sheet name="Chapitre 20" sheetId="25" r:id="rId16"/>
    <sheet name="Chapitre 21" sheetId="26" r:id="rId17"/>
    <sheet name="Chapitre 22" sheetId="60" r:id="rId18"/>
    <sheet name="Chapitre 24" sheetId="29" r:id="rId19"/>
    <sheet name="Chapitre 25" sheetId="30" r:id="rId20"/>
    <sheet name="Chapitre 26" sheetId="41" r:id="rId21"/>
    <sheet name=" Chapitre 27" sheetId="51" r:id="rId22"/>
    <sheet name=" Chapitre 28" sheetId="31" r:id="rId23"/>
    <sheet name="Chapitre 29" sheetId="52" r:id="rId24"/>
    <sheet name="Chapitre 30" sheetId="35" r:id="rId25"/>
    <sheet name=" Chapitre 31" sheetId="36" r:id="rId26"/>
    <sheet name="Chapitre 32" sheetId="37" r:id="rId27"/>
    <sheet name="Chapitre 33" sheetId="44" r:id="rId28"/>
    <sheet name="Chapitre 34" sheetId="32" r:id="rId29"/>
    <sheet name=" Chapitre 35" sheetId="33" r:id="rId30"/>
    <sheet name="Chapitre 36" sheetId="34" r:id="rId31"/>
    <sheet name="Chapitre 37" sheetId="43" r:id="rId32"/>
    <sheet name="Chapitre 38" sheetId="38" r:id="rId33"/>
    <sheet name="Chapitre 39" sheetId="39" r:id="rId34"/>
    <sheet name=" Chapitre 40" sheetId="40" r:id="rId35"/>
    <sheet name=" Chapitre 41" sheetId="68" r:id="rId36"/>
    <sheet name=" Chapitre 42" sheetId="69" r:id="rId37"/>
    <sheet name="Chapitre 43" sheetId="53" r:id="rId38"/>
    <sheet name="Chapitre 48" sheetId="45" r:id="rId39"/>
    <sheet name="Chapitre 50" sheetId="54" r:id="rId40"/>
    <sheet name="Chapitre 51" sheetId="67" r:id="rId41"/>
    <sheet name=" Chapitre 53" sheetId="46" r:id="rId42"/>
    <sheet name="Chapitre 54" sheetId="70" r:id="rId43"/>
  </sheets>
  <externalReferences>
    <externalReference r:id="rId44"/>
  </externalReferences>
  <definedNames>
    <definedName name="IS">'Chapitre 15'!#REF!</definedName>
    <definedName name="Jours">' Chapitre 12'!$D$11</definedName>
    <definedName name="solver_adj" localSheetId="12" hidden="1">' Chapitre 17'!#REF!</definedName>
    <definedName name="solver_adj" localSheetId="24" hidden="1">'Chapitre 30'!$B$78</definedName>
    <definedName name="solver_cvg" localSheetId="12" hidden="1">0.0001</definedName>
    <definedName name="solver_cvg" localSheetId="24" hidden="1">0.0001</definedName>
    <definedName name="solver_drv" localSheetId="12" hidden="1">1</definedName>
    <definedName name="solver_drv" localSheetId="24" hidden="1">1</definedName>
    <definedName name="solver_est" localSheetId="12" hidden="1">1</definedName>
    <definedName name="solver_est" localSheetId="24" hidden="1">1</definedName>
    <definedName name="solver_itr" localSheetId="12" hidden="1">100</definedName>
    <definedName name="solver_itr" localSheetId="24" hidden="1">100</definedName>
    <definedName name="solver_lhs1" localSheetId="12" hidden="1">' Chapitre 17'!#REF!</definedName>
    <definedName name="solver_lhs1" localSheetId="24" hidden="1">'Chapitre 30'!$B$79</definedName>
    <definedName name="solver_lin" localSheetId="12" hidden="1">2</definedName>
    <definedName name="solver_lin" localSheetId="24" hidden="1">2</definedName>
    <definedName name="solver_neg" localSheetId="12" hidden="1">2</definedName>
    <definedName name="solver_neg" localSheetId="24" hidden="1">2</definedName>
    <definedName name="solver_num" localSheetId="12" hidden="1">1</definedName>
    <definedName name="solver_num" localSheetId="24" hidden="1">1</definedName>
    <definedName name="solver_nwt" localSheetId="12" hidden="1">1</definedName>
    <definedName name="solver_nwt" localSheetId="24" hidden="1">1</definedName>
    <definedName name="solver_opt" localSheetId="12" hidden="1">' Chapitre 17'!#REF!</definedName>
    <definedName name="solver_opt" localSheetId="24" hidden="1">'Chapitre 30'!$C$80</definedName>
    <definedName name="solver_pre" localSheetId="12" hidden="1">0.000001</definedName>
    <definedName name="solver_pre" localSheetId="24" hidden="1">0.000001</definedName>
    <definedName name="solver_rel1" localSheetId="12" hidden="1">2</definedName>
    <definedName name="solver_rel1" localSheetId="24" hidden="1">2</definedName>
    <definedName name="solver_rhs1" localSheetId="12" hidden="1">' Chapitre 17'!#REF!</definedName>
    <definedName name="solver_rhs1" localSheetId="24" hidden="1">0</definedName>
    <definedName name="solver_scl" localSheetId="12" hidden="1">2</definedName>
    <definedName name="solver_scl" localSheetId="24" hidden="1">2</definedName>
    <definedName name="solver_sho" localSheetId="12" hidden="1">2</definedName>
    <definedName name="solver_sho" localSheetId="24" hidden="1">2</definedName>
    <definedName name="solver_tim" localSheetId="12" hidden="1">100</definedName>
    <definedName name="solver_tim" localSheetId="24" hidden="1">100</definedName>
    <definedName name="solver_tol" localSheetId="12" hidden="1">0.05</definedName>
    <definedName name="solver_tol" localSheetId="24" hidden="1">0.05</definedName>
    <definedName name="solver_typ" localSheetId="12" hidden="1">1</definedName>
    <definedName name="solver_typ" localSheetId="24" hidden="1">1</definedName>
    <definedName name="solver_val" localSheetId="24" hidden="1">0</definedName>
    <definedName name="TVA">' Chapitre 12'!$B$65</definedName>
    <definedName name="_xlnm.Print_Area" localSheetId="0">'Chapitre 2'!$A$1:$I$39</definedName>
    <definedName name="_xlnm.Print_Area" localSheetId="24">'Chapitre 30'!$A:$G</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4" i="21" l="1"/>
  <c r="H13" i="45"/>
  <c r="B73" i="40"/>
  <c r="G53" i="29"/>
  <c r="G52" i="29"/>
  <c r="B53" i="29"/>
  <c r="D53" i="29"/>
  <c r="D51" i="29"/>
  <c r="F51" i="29"/>
  <c r="H52" i="29"/>
  <c r="C50" i="29"/>
  <c r="I50" i="29"/>
  <c r="K52" i="29"/>
  <c r="L53" i="29"/>
  <c r="L51" i="29"/>
  <c r="L50" i="29"/>
  <c r="J52" i="29"/>
  <c r="J51" i="29"/>
  <c r="H50" i="29"/>
  <c r="D52" i="29"/>
  <c r="J22" i="29"/>
  <c r="J21" i="29"/>
  <c r="H21" i="29"/>
  <c r="B76" i="21"/>
  <c r="R28" i="57"/>
  <c r="R26" i="57"/>
  <c r="R24" i="57"/>
  <c r="R23" i="57"/>
  <c r="R22" i="57"/>
  <c r="R20" i="57"/>
  <c r="R18" i="57"/>
  <c r="R17" i="57"/>
  <c r="R16" i="57"/>
  <c r="R14" i="57"/>
  <c r="R8" i="57"/>
  <c r="R7" i="57"/>
  <c r="I111" i="57"/>
  <c r="I100" i="57"/>
  <c r="I97" i="57"/>
  <c r="I105" i="57"/>
  <c r="I93" i="57"/>
  <c r="I90" i="57"/>
  <c r="I87" i="57"/>
  <c r="I85" i="57"/>
  <c r="I80" i="57"/>
  <c r="I76" i="57"/>
  <c r="I70" i="57"/>
  <c r="I67" i="57"/>
  <c r="I60" i="57"/>
  <c r="I37" i="57"/>
  <c r="I101" i="57"/>
  <c r="I11" i="57"/>
  <c r="R11" i="57"/>
  <c r="B57" i="18"/>
  <c r="C57" i="18"/>
  <c r="C29" i="18"/>
  <c r="B29" i="18"/>
  <c r="C38" i="18"/>
  <c r="B38" i="18"/>
  <c r="B56" i="18"/>
  <c r="B34" i="18"/>
  <c r="C34" i="18"/>
  <c r="C32" i="18"/>
  <c r="C35" i="18"/>
  <c r="C37" i="18"/>
  <c r="F96" i="18"/>
  <c r="E96" i="18"/>
  <c r="D96" i="18"/>
  <c r="C96" i="18"/>
  <c r="B96" i="18"/>
  <c r="F91" i="18"/>
  <c r="F92" i="18"/>
  <c r="E91" i="18"/>
  <c r="E92" i="18"/>
  <c r="D91" i="18"/>
  <c r="D92" i="18"/>
  <c r="C91" i="18"/>
  <c r="C92" i="18"/>
  <c r="B91" i="18"/>
  <c r="B92" i="18"/>
  <c r="C89" i="18"/>
  <c r="D89" i="18"/>
  <c r="E89" i="18"/>
  <c r="F89" i="18"/>
  <c r="B79" i="18"/>
  <c r="B78" i="18"/>
  <c r="B74" i="18"/>
  <c r="B72" i="18"/>
  <c r="B73" i="18"/>
  <c r="B77" i="18"/>
  <c r="C56" i="18"/>
  <c r="C51" i="18"/>
  <c r="C52" i="18"/>
  <c r="B49" i="18"/>
  <c r="C44" i="18"/>
  <c r="B44" i="18"/>
  <c r="B32" i="18"/>
  <c r="C24" i="18"/>
  <c r="C49" i="18"/>
  <c r="C14" i="18"/>
  <c r="C17" i="18"/>
  <c r="C12" i="18"/>
  <c r="C6" i="18"/>
  <c r="B6" i="18"/>
  <c r="B12" i="18"/>
  <c r="C3" i="18"/>
  <c r="F17" i="17"/>
  <c r="E17" i="17"/>
  <c r="D17" i="17"/>
  <c r="C17" i="17"/>
  <c r="F15" i="17"/>
  <c r="E15" i="17"/>
  <c r="D15" i="17"/>
  <c r="C15" i="17"/>
  <c r="F13" i="17"/>
  <c r="E13" i="17"/>
  <c r="D13" i="17"/>
  <c r="C13" i="17"/>
  <c r="F12" i="17"/>
  <c r="F14" i="17"/>
  <c r="F19" i="17"/>
  <c r="E12" i="17"/>
  <c r="E14" i="17"/>
  <c r="E19" i="17"/>
  <c r="D12" i="17"/>
  <c r="D14" i="17"/>
  <c r="D19" i="17"/>
  <c r="C12" i="17"/>
  <c r="C14" i="17"/>
  <c r="C19" i="17"/>
  <c r="F11" i="17"/>
  <c r="E11" i="17"/>
  <c r="D11" i="17"/>
  <c r="C11" i="17"/>
  <c r="C88" i="16"/>
  <c r="D88" i="16"/>
  <c r="C87" i="16"/>
  <c r="D87" i="16"/>
  <c r="C86" i="16"/>
  <c r="D86" i="16"/>
  <c r="C73" i="16"/>
  <c r="B73" i="16"/>
  <c r="D73" i="16"/>
  <c r="C72" i="16"/>
  <c r="B72" i="16"/>
  <c r="D72" i="16"/>
  <c r="C71" i="16"/>
  <c r="D71" i="16"/>
  <c r="D74" i="16"/>
  <c r="D70" i="16"/>
  <c r="C70" i="16"/>
  <c r="B70" i="16"/>
  <c r="B69" i="16"/>
  <c r="D69" i="16"/>
  <c r="C68" i="16"/>
  <c r="B68" i="16"/>
  <c r="D68" i="16"/>
  <c r="F56" i="16"/>
  <c r="E56" i="16"/>
  <c r="D56" i="16"/>
  <c r="C56" i="16"/>
  <c r="B56" i="16"/>
  <c r="F55" i="16"/>
  <c r="E55" i="16"/>
  <c r="D55" i="16"/>
  <c r="C55" i="16"/>
  <c r="B55" i="16"/>
  <c r="F54" i="16"/>
  <c r="E54" i="16"/>
  <c r="D54" i="16"/>
  <c r="C54" i="16"/>
  <c r="B54" i="16"/>
  <c r="F53" i="16"/>
  <c r="F52" i="16"/>
  <c r="E52" i="16"/>
  <c r="E53" i="16"/>
  <c r="D52" i="16"/>
  <c r="D53" i="16"/>
  <c r="C52" i="16"/>
  <c r="C53" i="16"/>
  <c r="B52" i="16"/>
  <c r="B53" i="16"/>
  <c r="B37" i="16"/>
  <c r="C27" i="16"/>
  <c r="B27" i="16"/>
  <c r="D27" i="16"/>
  <c r="C26" i="16"/>
  <c r="B26" i="16"/>
  <c r="D26" i="16"/>
  <c r="C25" i="16"/>
  <c r="B25" i="16"/>
  <c r="D25" i="16"/>
  <c r="C24" i="16"/>
  <c r="D24" i="16"/>
  <c r="B24" i="16"/>
  <c r="C23" i="16"/>
  <c r="D23" i="16"/>
  <c r="B23" i="16"/>
  <c r="C21" i="16"/>
  <c r="B21" i="16"/>
  <c r="D21" i="16"/>
  <c r="D28" i="16"/>
  <c r="C115" i="15"/>
  <c r="C109" i="15"/>
  <c r="C116" i="15"/>
  <c r="E102" i="15"/>
  <c r="E103" i="15"/>
  <c r="E100" i="15"/>
  <c r="D100" i="15"/>
  <c r="C100" i="15"/>
  <c r="E95" i="15"/>
  <c r="D95" i="15"/>
  <c r="C95" i="15"/>
  <c r="B95" i="15"/>
  <c r="E94" i="15"/>
  <c r="D94" i="15"/>
  <c r="C94" i="15"/>
  <c r="B94" i="15"/>
  <c r="E93" i="15"/>
  <c r="D93" i="15"/>
  <c r="D91" i="15"/>
  <c r="C93" i="15"/>
  <c r="B93" i="15"/>
  <c r="E92" i="15"/>
  <c r="D92" i="15"/>
  <c r="C92" i="15"/>
  <c r="C91" i="15"/>
  <c r="B92" i="15"/>
  <c r="B91" i="15"/>
  <c r="E91" i="15"/>
  <c r="E97" i="15"/>
  <c r="E98" i="15"/>
  <c r="E90" i="15"/>
  <c r="D90" i="15"/>
  <c r="C90" i="15"/>
  <c r="B90" i="15"/>
  <c r="E89" i="15"/>
  <c r="D89" i="15"/>
  <c r="D87" i="15"/>
  <c r="C89" i="15"/>
  <c r="B89" i="15"/>
  <c r="E88" i="15"/>
  <c r="D88" i="15"/>
  <c r="C88" i="15"/>
  <c r="B88" i="15"/>
  <c r="B87" i="15"/>
  <c r="E87" i="15"/>
  <c r="C87" i="15"/>
  <c r="C72" i="15"/>
  <c r="B72" i="15"/>
  <c r="C64" i="15"/>
  <c r="B64" i="15"/>
  <c r="C61" i="15"/>
  <c r="D55" i="15"/>
  <c r="G55" i="15"/>
  <c r="C55" i="15"/>
  <c r="F55" i="15"/>
  <c r="B55" i="15"/>
  <c r="G54" i="15"/>
  <c r="F54" i="15"/>
  <c r="D54" i="15"/>
  <c r="D71" i="15"/>
  <c r="C54" i="15"/>
  <c r="C71" i="15"/>
  <c r="B54" i="15"/>
  <c r="B71" i="15"/>
  <c r="D53" i="15"/>
  <c r="D70" i="15"/>
  <c r="C53" i="15"/>
  <c r="C70" i="15"/>
  <c r="B53" i="15"/>
  <c r="B70" i="15"/>
  <c r="F51" i="15"/>
  <c r="D51" i="15"/>
  <c r="D68" i="15"/>
  <c r="C51" i="15"/>
  <c r="C68" i="15"/>
  <c r="B51" i="15"/>
  <c r="B68" i="15"/>
  <c r="G49" i="15"/>
  <c r="D49" i="15"/>
  <c r="C49" i="15"/>
  <c r="C66" i="15"/>
  <c r="B49" i="15"/>
  <c r="B66" i="15"/>
  <c r="D48" i="15"/>
  <c r="D65" i="15"/>
  <c r="C48" i="15"/>
  <c r="C65" i="15"/>
  <c r="B48" i="15"/>
  <c r="B65" i="15"/>
  <c r="G47" i="15"/>
  <c r="D47" i="15"/>
  <c r="C47" i="15"/>
  <c r="B47" i="15"/>
  <c r="F47" i="15"/>
  <c r="G46" i="15"/>
  <c r="F46" i="15"/>
  <c r="D46" i="15"/>
  <c r="D63" i="15"/>
  <c r="C46" i="15"/>
  <c r="C63" i="15"/>
  <c r="B46" i="15"/>
  <c r="B63" i="15"/>
  <c r="C45" i="15"/>
  <c r="C62" i="15"/>
  <c r="B45" i="15"/>
  <c r="B62" i="15"/>
  <c r="F44" i="15"/>
  <c r="D44" i="15"/>
  <c r="G44" i="15"/>
  <c r="C44" i="15"/>
  <c r="B44" i="15"/>
  <c r="B61" i="15"/>
  <c r="F43" i="15"/>
  <c r="D43" i="15"/>
  <c r="D60" i="15"/>
  <c r="C43" i="15"/>
  <c r="C60" i="15"/>
  <c r="B43" i="15"/>
  <c r="B60" i="15"/>
  <c r="D36" i="15"/>
  <c r="C36" i="15"/>
  <c r="B36" i="15"/>
  <c r="D32" i="15"/>
  <c r="C32" i="15"/>
  <c r="B32" i="15"/>
  <c r="B33" i="15"/>
  <c r="B39" i="15"/>
  <c r="D24" i="15"/>
  <c r="D33" i="15"/>
  <c r="D39" i="15"/>
  <c r="C24" i="15"/>
  <c r="C33" i="15"/>
  <c r="C39" i="15"/>
  <c r="B24" i="15"/>
  <c r="E16" i="15"/>
  <c r="E17" i="15"/>
  <c r="D16" i="15"/>
  <c r="D17" i="15"/>
  <c r="C16" i="15"/>
  <c r="C17" i="15"/>
  <c r="B16" i="15"/>
  <c r="B17" i="15"/>
  <c r="E13" i="15"/>
  <c r="E14" i="15"/>
  <c r="D13" i="15"/>
  <c r="D14" i="15"/>
  <c r="C13" i="15"/>
  <c r="C14" i="15"/>
  <c r="B13" i="15"/>
  <c r="B14" i="15"/>
  <c r="E9" i="15"/>
  <c r="E11" i="15"/>
  <c r="D9" i="15"/>
  <c r="D11" i="15"/>
  <c r="C9" i="15"/>
  <c r="C11" i="15"/>
  <c r="B9" i="15"/>
  <c r="B11" i="15"/>
  <c r="E7" i="15"/>
  <c r="D7" i="15"/>
  <c r="C7" i="15"/>
  <c r="B7" i="15"/>
  <c r="B56" i="49"/>
  <c r="B53" i="49"/>
  <c r="B51" i="49"/>
  <c r="B49" i="49"/>
  <c r="B47" i="49"/>
  <c r="B44" i="49"/>
  <c r="B42" i="49"/>
  <c r="B37" i="49"/>
  <c r="B39" i="49"/>
  <c r="B41" i="49"/>
  <c r="B43" i="49"/>
  <c r="B48" i="49"/>
  <c r="B50" i="49"/>
  <c r="B54" i="49"/>
  <c r="B58" i="49"/>
  <c r="F27" i="49"/>
  <c r="E27" i="49"/>
  <c r="D27" i="49"/>
  <c r="C27" i="49"/>
  <c r="B27" i="49"/>
  <c r="C21" i="49"/>
  <c r="D21" i="49"/>
  <c r="E21" i="49"/>
  <c r="F21" i="49"/>
  <c r="B12" i="49"/>
  <c r="D3" i="49"/>
  <c r="E3" i="49"/>
  <c r="F3" i="49"/>
  <c r="C3" i="49"/>
  <c r="F60" i="14"/>
  <c r="E60" i="14"/>
  <c r="D60" i="14"/>
  <c r="C60" i="14"/>
  <c r="B60" i="14"/>
  <c r="F56" i="14"/>
  <c r="E56" i="14"/>
  <c r="D56" i="14"/>
  <c r="C56" i="14"/>
  <c r="B56" i="14"/>
  <c r="C51" i="14"/>
  <c r="D51" i="14"/>
  <c r="E51" i="14"/>
  <c r="F51" i="14"/>
  <c r="B39" i="14"/>
  <c r="B40" i="14"/>
  <c r="B38" i="14"/>
  <c r="C38" i="14"/>
  <c r="D38" i="14"/>
  <c r="B37" i="14"/>
  <c r="C37" i="14"/>
  <c r="D37" i="14"/>
  <c r="B36" i="14"/>
  <c r="C36" i="14"/>
  <c r="C39" i="14"/>
  <c r="C25" i="14"/>
  <c r="B25" i="14"/>
  <c r="D24" i="14"/>
  <c r="B24" i="14"/>
  <c r="D23" i="14"/>
  <c r="D25" i="14"/>
  <c r="C23" i="14"/>
  <c r="C24" i="14"/>
  <c r="B23" i="14"/>
  <c r="D18" i="14"/>
  <c r="C18" i="14"/>
  <c r="B18" i="14"/>
  <c r="D17" i="14"/>
  <c r="C17" i="14"/>
  <c r="B17" i="14"/>
  <c r="D16" i="14"/>
  <c r="C16" i="14"/>
  <c r="B16" i="14"/>
  <c r="D15" i="14"/>
  <c r="C15" i="14"/>
  <c r="B15" i="14"/>
  <c r="D14" i="14"/>
  <c r="C14" i="14"/>
  <c r="B14" i="14"/>
  <c r="D13" i="14"/>
  <c r="C13" i="14"/>
  <c r="D48" i="8"/>
  <c r="C48" i="8"/>
  <c r="B48" i="8"/>
  <c r="D47" i="8"/>
  <c r="C47" i="8"/>
  <c r="B47" i="8"/>
  <c r="D46" i="8"/>
  <c r="C46" i="8"/>
  <c r="B46" i="8"/>
  <c r="D45" i="8"/>
  <c r="D44" i="8"/>
  <c r="C44" i="8"/>
  <c r="B44" i="8"/>
  <c r="D43" i="8"/>
  <c r="C43" i="8"/>
  <c r="B43" i="8"/>
  <c r="D42" i="8"/>
  <c r="C42" i="8"/>
  <c r="B42" i="8"/>
  <c r="D41" i="8"/>
  <c r="C41" i="8"/>
  <c r="B41" i="8"/>
  <c r="D40" i="8"/>
  <c r="C40" i="8"/>
  <c r="B40" i="8"/>
  <c r="D39" i="8"/>
  <c r="C39" i="8"/>
  <c r="C49" i="8"/>
  <c r="B39" i="8"/>
  <c r="D38" i="8"/>
  <c r="D49" i="8"/>
  <c r="C38" i="8"/>
  <c r="B38" i="8"/>
  <c r="B49" i="8"/>
  <c r="I33" i="8"/>
  <c r="H33" i="8"/>
  <c r="G33" i="8"/>
  <c r="G32" i="8"/>
  <c r="I31" i="8"/>
  <c r="H31" i="8"/>
  <c r="H34" i="8"/>
  <c r="G31" i="8"/>
  <c r="D30" i="8"/>
  <c r="C30" i="8"/>
  <c r="B30" i="8"/>
  <c r="G29" i="8"/>
  <c r="G28" i="8"/>
  <c r="G34" i="8"/>
  <c r="D29" i="8"/>
  <c r="C29" i="8"/>
  <c r="C27" i="8"/>
  <c r="B29" i="8"/>
  <c r="B27" i="8"/>
  <c r="I28" i="8"/>
  <c r="H28" i="8"/>
  <c r="D28" i="8"/>
  <c r="D27" i="8"/>
  <c r="D34" i="8"/>
  <c r="I26" i="8"/>
  <c r="I34" i="8"/>
  <c r="H26" i="8"/>
  <c r="G26" i="8"/>
  <c r="D26" i="8"/>
  <c r="C26" i="8"/>
  <c r="C34" i="8"/>
  <c r="B26" i="8"/>
  <c r="C21" i="8"/>
  <c r="B50" i="8"/>
  <c r="B21" i="8"/>
  <c r="H8" i="8"/>
  <c r="G8" i="8"/>
  <c r="C8" i="8"/>
  <c r="B8" i="8"/>
  <c r="D94" i="6"/>
  <c r="C94" i="6"/>
  <c r="B94" i="6"/>
  <c r="D91" i="6"/>
  <c r="C91" i="6"/>
  <c r="C95" i="6"/>
  <c r="B91" i="6"/>
  <c r="B95" i="6"/>
  <c r="D88" i="6"/>
  <c r="C88" i="6"/>
  <c r="B88" i="6"/>
  <c r="D84" i="6"/>
  <c r="C84" i="6"/>
  <c r="B84" i="6"/>
  <c r="D82" i="6"/>
  <c r="C82" i="6"/>
  <c r="B82" i="6"/>
  <c r="B81" i="6"/>
  <c r="B83" i="6"/>
  <c r="B86" i="6"/>
  <c r="D79" i="6"/>
  <c r="C79" i="6"/>
  <c r="B79" i="6"/>
  <c r="D78" i="6"/>
  <c r="C78" i="6"/>
  <c r="C89" i="6"/>
  <c r="B78" i="6"/>
  <c r="C68" i="6"/>
  <c r="B68" i="6"/>
  <c r="K66" i="6"/>
  <c r="J66" i="6"/>
  <c r="K64" i="6"/>
  <c r="K67" i="6"/>
  <c r="C63" i="6"/>
  <c r="C64" i="6"/>
  <c r="C71" i="6"/>
  <c r="J64" i="6"/>
  <c r="J67" i="6"/>
  <c r="B63" i="6"/>
  <c r="I64" i="6"/>
  <c r="C62" i="6"/>
  <c r="B62" i="6"/>
  <c r="B64" i="6"/>
  <c r="B71" i="6"/>
  <c r="J60" i="6"/>
  <c r="K60" i="6"/>
  <c r="C58" i="6"/>
  <c r="E51" i="6"/>
  <c r="E52" i="6"/>
  <c r="D51" i="6"/>
  <c r="D52" i="6"/>
  <c r="E50" i="6"/>
  <c r="D50" i="6"/>
  <c r="C50" i="6"/>
  <c r="C51" i="6"/>
  <c r="C52" i="6"/>
  <c r="B50" i="6"/>
  <c r="B51" i="6"/>
  <c r="B52" i="6"/>
  <c r="F49" i="6"/>
  <c r="F50" i="6"/>
  <c r="F51" i="6"/>
  <c r="F52" i="6"/>
  <c r="E49" i="6"/>
  <c r="D49" i="6"/>
  <c r="C49" i="6"/>
  <c r="B49" i="6"/>
  <c r="F46" i="6"/>
  <c r="F47" i="6"/>
  <c r="F48" i="6"/>
  <c r="E46" i="6"/>
  <c r="E47" i="6"/>
  <c r="E48" i="6"/>
  <c r="D45" i="6"/>
  <c r="C45" i="6"/>
  <c r="B45" i="6"/>
  <c r="F44" i="6"/>
  <c r="E44" i="6"/>
  <c r="D44" i="6"/>
  <c r="D46" i="6"/>
  <c r="D47" i="6"/>
  <c r="D48" i="6"/>
  <c r="C44" i="6"/>
  <c r="C46" i="6"/>
  <c r="C47" i="6"/>
  <c r="C48" i="6"/>
  <c r="B44" i="6"/>
  <c r="B46" i="6"/>
  <c r="B47" i="6"/>
  <c r="B48" i="6"/>
  <c r="F39" i="6"/>
  <c r="E39" i="6"/>
  <c r="D39" i="6"/>
  <c r="C39" i="6"/>
  <c r="B39" i="6"/>
  <c r="F32" i="6"/>
  <c r="E32" i="6"/>
  <c r="D32" i="6"/>
  <c r="C32" i="6"/>
  <c r="B32" i="6"/>
  <c r="F16" i="6"/>
  <c r="F45" i="6"/>
  <c r="E16" i="6"/>
  <c r="E45" i="6"/>
  <c r="D16" i="6"/>
  <c r="C16" i="6"/>
  <c r="B16" i="6"/>
  <c r="C45" i="5"/>
  <c r="B45" i="5"/>
  <c r="C44" i="5"/>
  <c r="K43" i="5"/>
  <c r="C43" i="5"/>
  <c r="B43" i="5"/>
  <c r="C42" i="5"/>
  <c r="C46" i="5"/>
  <c r="G41" i="5"/>
  <c r="C37" i="5"/>
  <c r="K35" i="5"/>
  <c r="C35" i="5"/>
  <c r="G34" i="5"/>
  <c r="G44" i="5"/>
  <c r="C34" i="5"/>
  <c r="B34" i="5"/>
  <c r="C33" i="5"/>
  <c r="C31" i="5"/>
  <c r="B31" i="5"/>
  <c r="K30" i="5"/>
  <c r="K44" i="5"/>
  <c r="C30" i="5"/>
  <c r="C32" i="5"/>
  <c r="C36" i="5"/>
  <c r="C29" i="5"/>
  <c r="C20" i="5"/>
  <c r="C19" i="5"/>
  <c r="D18" i="5"/>
  <c r="D19" i="5"/>
  <c r="F16" i="5"/>
  <c r="E16" i="5"/>
  <c r="D16" i="5"/>
  <c r="D14" i="5"/>
  <c r="E14" i="5"/>
  <c r="C9" i="5"/>
  <c r="C11" i="5"/>
  <c r="C12" i="5"/>
  <c r="D8" i="5"/>
  <c r="E8" i="5"/>
  <c r="F8" i="5"/>
  <c r="E7" i="5"/>
  <c r="F7" i="5"/>
  <c r="D5" i="5"/>
  <c r="D4" i="5"/>
  <c r="D9" i="5"/>
  <c r="D11" i="5"/>
  <c r="C4" i="5"/>
  <c r="D3" i="5"/>
  <c r="C107" i="4"/>
  <c r="C108" i="4"/>
  <c r="B107" i="4"/>
  <c r="B108" i="4"/>
  <c r="C106" i="4"/>
  <c r="B106" i="4"/>
  <c r="C102" i="4"/>
  <c r="B102" i="4"/>
  <c r="C101" i="4"/>
  <c r="B101" i="4"/>
  <c r="C100" i="4"/>
  <c r="B100" i="4"/>
  <c r="C99" i="4"/>
  <c r="B99" i="4"/>
  <c r="B85" i="4"/>
  <c r="D76" i="4"/>
  <c r="D90" i="4"/>
  <c r="C76" i="4"/>
  <c r="C90" i="4"/>
  <c r="B76" i="4"/>
  <c r="B90" i="4"/>
  <c r="D74" i="4"/>
  <c r="C74" i="4"/>
  <c r="B70" i="4"/>
  <c r="D69" i="4"/>
  <c r="D86" i="4"/>
  <c r="C69" i="4"/>
  <c r="C86" i="4"/>
  <c r="B69" i="4"/>
  <c r="B86" i="4"/>
  <c r="B68" i="4"/>
  <c r="B66" i="4"/>
  <c r="B73" i="4"/>
  <c r="B75" i="4"/>
  <c r="D67" i="4"/>
  <c r="D66" i="4"/>
  <c r="D73" i="4"/>
  <c r="D75" i="4"/>
  <c r="C67" i="4"/>
  <c r="C66" i="4"/>
  <c r="C73" i="4"/>
  <c r="C75" i="4"/>
  <c r="B53" i="4"/>
  <c r="B49" i="4"/>
  <c r="B46" i="4"/>
  <c r="B44" i="4"/>
  <c r="B9" i="4"/>
  <c r="J39" i="4"/>
  <c r="I39" i="4"/>
  <c r="G39" i="4"/>
  <c r="F39" i="4"/>
  <c r="H39" i="4"/>
  <c r="D39" i="4"/>
  <c r="H38" i="4"/>
  <c r="G38" i="4"/>
  <c r="I38" i="4"/>
  <c r="J38" i="4"/>
  <c r="F38" i="4"/>
  <c r="D38" i="4"/>
  <c r="G37" i="4"/>
  <c r="I37" i="4"/>
  <c r="J37" i="4"/>
  <c r="F37" i="4"/>
  <c r="H37" i="4"/>
  <c r="D37" i="4"/>
  <c r="G36" i="4"/>
  <c r="I36" i="4"/>
  <c r="J36" i="4"/>
  <c r="F36" i="4"/>
  <c r="H36" i="4"/>
  <c r="D36" i="4"/>
  <c r="J35" i="4"/>
  <c r="I35" i="4"/>
  <c r="G35" i="4"/>
  <c r="F35" i="4"/>
  <c r="H35" i="4"/>
  <c r="D35" i="4"/>
  <c r="H34" i="4"/>
  <c r="G34" i="4"/>
  <c r="I34" i="4"/>
  <c r="J34" i="4"/>
  <c r="F34" i="4"/>
  <c r="D34" i="4"/>
  <c r="G33" i="4"/>
  <c r="I33" i="4"/>
  <c r="J33" i="4"/>
  <c r="F33" i="4"/>
  <c r="H33" i="4"/>
  <c r="D33" i="4"/>
  <c r="G32" i="4"/>
  <c r="I32" i="4"/>
  <c r="J32" i="4"/>
  <c r="F32" i="4"/>
  <c r="F31" i="4"/>
  <c r="D32" i="4"/>
  <c r="D31" i="4"/>
  <c r="J30" i="4"/>
  <c r="B3" i="4"/>
  <c r="B7" i="4"/>
  <c r="I30" i="4"/>
  <c r="G3" i="4"/>
  <c r="G30" i="4"/>
  <c r="F30" i="4"/>
  <c r="H30" i="4"/>
  <c r="D30" i="4"/>
  <c r="B30" i="4"/>
  <c r="D22" i="4"/>
  <c r="D19" i="4"/>
  <c r="D18" i="4"/>
  <c r="B15" i="4"/>
  <c r="B14" i="4"/>
  <c r="G11" i="4"/>
  <c r="G10" i="4"/>
  <c r="B6" i="4"/>
  <c r="B5" i="4"/>
  <c r="B4" i="4"/>
  <c r="B5" i="1"/>
  <c r="B7" i="1"/>
  <c r="C5" i="1"/>
  <c r="D5" i="1"/>
  <c r="E5" i="1"/>
  <c r="F5" i="1"/>
  <c r="G5" i="1"/>
  <c r="G7" i="1"/>
  <c r="G9" i="1"/>
  <c r="C7" i="1"/>
  <c r="C9" i="1"/>
  <c r="D7" i="1"/>
  <c r="D9" i="1"/>
  <c r="E7" i="1"/>
  <c r="F7" i="1"/>
  <c r="B8" i="1"/>
  <c r="C8" i="1"/>
  <c r="D8" i="1"/>
  <c r="E8" i="1"/>
  <c r="H8" i="1"/>
  <c r="F8" i="1"/>
  <c r="G8" i="1"/>
  <c r="B9" i="1"/>
  <c r="F9" i="1"/>
  <c r="F12" i="1"/>
  <c r="K12" i="1"/>
  <c r="L12" i="1"/>
  <c r="N12" i="1"/>
  <c r="S12" i="1"/>
  <c r="T12" i="1"/>
  <c r="V12" i="1"/>
  <c r="AA12" i="1"/>
  <c r="AB12" i="1"/>
  <c r="AD12" i="1"/>
  <c r="AI12" i="1"/>
  <c r="AJ12" i="1"/>
  <c r="AL12" i="1"/>
  <c r="F13" i="1"/>
  <c r="G13" i="1"/>
  <c r="G12" i="1"/>
  <c r="H13" i="1"/>
  <c r="H12" i="1"/>
  <c r="I13" i="1"/>
  <c r="I12" i="1"/>
  <c r="J13" i="1"/>
  <c r="J12" i="1"/>
  <c r="K13" i="1"/>
  <c r="L13" i="1"/>
  <c r="M13" i="1"/>
  <c r="M12" i="1"/>
  <c r="N13" i="1"/>
  <c r="O13" i="1"/>
  <c r="O12" i="1"/>
  <c r="P13" i="1"/>
  <c r="P12" i="1"/>
  <c r="Q13" i="1"/>
  <c r="Q12" i="1"/>
  <c r="R13" i="1"/>
  <c r="R12" i="1"/>
  <c r="S13" i="1"/>
  <c r="T13" i="1"/>
  <c r="U13" i="1"/>
  <c r="U12" i="1"/>
  <c r="V13" i="1"/>
  <c r="W13" i="1"/>
  <c r="W12" i="1"/>
  <c r="X13" i="1"/>
  <c r="X12" i="1"/>
  <c r="Y13" i="1"/>
  <c r="Y12" i="1"/>
  <c r="Z13" i="1"/>
  <c r="Z12" i="1"/>
  <c r="AA13" i="1"/>
  <c r="AB13" i="1"/>
  <c r="AC13" i="1"/>
  <c r="AC12" i="1"/>
  <c r="AD13" i="1"/>
  <c r="AE13" i="1"/>
  <c r="AE12" i="1"/>
  <c r="AF13" i="1"/>
  <c r="AF12" i="1"/>
  <c r="AG13" i="1"/>
  <c r="AG12" i="1"/>
  <c r="AH13" i="1"/>
  <c r="AH12" i="1"/>
  <c r="AI13" i="1"/>
  <c r="AJ13" i="1"/>
  <c r="AK13" i="1"/>
  <c r="AK12" i="1"/>
  <c r="AL13" i="1"/>
  <c r="AM13" i="1"/>
  <c r="AM12" i="1"/>
  <c r="AN13" i="1"/>
  <c r="AN12" i="1"/>
  <c r="AO13" i="1"/>
  <c r="AO12" i="1"/>
  <c r="B14" i="1"/>
  <c r="C14" i="1"/>
  <c r="D14" i="1"/>
  <c r="E14" i="1"/>
  <c r="F15" i="1"/>
  <c r="C29" i="1"/>
  <c r="G15" i="1"/>
  <c r="H15" i="1"/>
  <c r="I15" i="1"/>
  <c r="J15" i="1"/>
  <c r="K15" i="1"/>
  <c r="K19" i="1"/>
  <c r="K21" i="1"/>
  <c r="K25" i="1"/>
  <c r="L15" i="1"/>
  <c r="L19" i="1"/>
  <c r="L21" i="1"/>
  <c r="L25" i="1"/>
  <c r="M15" i="1"/>
  <c r="N15" i="1"/>
  <c r="N19" i="1"/>
  <c r="N21" i="1"/>
  <c r="N25" i="1"/>
  <c r="O15" i="1"/>
  <c r="P15" i="1"/>
  <c r="Q15" i="1"/>
  <c r="R15" i="1"/>
  <c r="S15" i="1"/>
  <c r="D15" i="1"/>
  <c r="T15" i="1"/>
  <c r="T19" i="1"/>
  <c r="T21" i="1"/>
  <c r="T25" i="1"/>
  <c r="U15" i="1"/>
  <c r="V15" i="1"/>
  <c r="V19" i="1"/>
  <c r="V21" i="1"/>
  <c r="V25" i="1"/>
  <c r="W15" i="1"/>
  <c r="X15" i="1"/>
  <c r="Y15" i="1"/>
  <c r="Z15" i="1"/>
  <c r="AA15" i="1"/>
  <c r="AA19" i="1"/>
  <c r="AA21" i="1"/>
  <c r="AA25" i="1"/>
  <c r="AB15" i="1"/>
  <c r="AB19" i="1"/>
  <c r="AB21" i="1"/>
  <c r="AB25" i="1"/>
  <c r="AC15" i="1"/>
  <c r="AD15" i="1"/>
  <c r="E15" i="1"/>
  <c r="AE15" i="1"/>
  <c r="AF15" i="1"/>
  <c r="AG15" i="1"/>
  <c r="AH15" i="1"/>
  <c r="AI15" i="1"/>
  <c r="AI19" i="1"/>
  <c r="AI21" i="1"/>
  <c r="AI25" i="1"/>
  <c r="AJ15" i="1"/>
  <c r="AJ19" i="1"/>
  <c r="AJ21" i="1"/>
  <c r="AJ25" i="1"/>
  <c r="AK15" i="1"/>
  <c r="AL15" i="1"/>
  <c r="AL19" i="1"/>
  <c r="AL21" i="1"/>
  <c r="AL25" i="1"/>
  <c r="AM15" i="1"/>
  <c r="AN15" i="1"/>
  <c r="AO15" i="1"/>
  <c r="B16" i="1"/>
  <c r="C16" i="1"/>
  <c r="D16" i="1"/>
  <c r="E16" i="1"/>
  <c r="B17" i="1"/>
  <c r="C17" i="1"/>
  <c r="D17" i="1"/>
  <c r="E17" i="1"/>
  <c r="B18" i="1"/>
  <c r="C18" i="1"/>
  <c r="D18" i="1"/>
  <c r="E18" i="1"/>
  <c r="G19" i="1"/>
  <c r="G21" i="1"/>
  <c r="G25" i="1"/>
  <c r="H19" i="1"/>
  <c r="H21" i="1"/>
  <c r="H25" i="1"/>
  <c r="I19" i="1"/>
  <c r="J19" i="1"/>
  <c r="J21" i="1"/>
  <c r="J25" i="1"/>
  <c r="M19" i="1"/>
  <c r="O19" i="1"/>
  <c r="O21" i="1"/>
  <c r="O25" i="1"/>
  <c r="P19" i="1"/>
  <c r="P21" i="1"/>
  <c r="P25" i="1"/>
  <c r="Q19" i="1"/>
  <c r="R19" i="1"/>
  <c r="U19" i="1"/>
  <c r="W19" i="1"/>
  <c r="W21" i="1"/>
  <c r="W25" i="1"/>
  <c r="X19" i="1"/>
  <c r="X21" i="1"/>
  <c r="X25" i="1"/>
  <c r="Y19" i="1"/>
  <c r="Z19" i="1"/>
  <c r="Z21" i="1"/>
  <c r="Z25" i="1"/>
  <c r="AC19" i="1"/>
  <c r="AE19" i="1"/>
  <c r="AE21" i="1"/>
  <c r="AE25" i="1"/>
  <c r="AF19" i="1"/>
  <c r="AF21" i="1"/>
  <c r="AF25" i="1"/>
  <c r="AG19" i="1"/>
  <c r="AH19" i="1"/>
  <c r="AH21" i="1"/>
  <c r="AH25" i="1"/>
  <c r="AK19" i="1"/>
  <c r="AM19" i="1"/>
  <c r="AM21" i="1"/>
  <c r="AM25" i="1"/>
  <c r="AN19" i="1"/>
  <c r="AN21" i="1"/>
  <c r="AN25" i="1"/>
  <c r="AO19" i="1"/>
  <c r="B20" i="1"/>
  <c r="C20" i="1"/>
  <c r="D20" i="1"/>
  <c r="E20" i="1"/>
  <c r="I21" i="1"/>
  <c r="M21" i="1"/>
  <c r="Q21" i="1"/>
  <c r="U21" i="1"/>
  <c r="Y21" i="1"/>
  <c r="AC21" i="1"/>
  <c r="AG21" i="1"/>
  <c r="AK21" i="1"/>
  <c r="AO21" i="1"/>
  <c r="G22" i="1"/>
  <c r="H22" i="1"/>
  <c r="I22" i="1"/>
  <c r="J22" i="1"/>
  <c r="K22" i="1"/>
  <c r="L22" i="1"/>
  <c r="M22" i="1"/>
  <c r="N22" i="1"/>
  <c r="O22" i="1"/>
  <c r="P22" i="1"/>
  <c r="Q22" i="1"/>
  <c r="R22" i="1"/>
  <c r="S22" i="1"/>
  <c r="D22" i="1"/>
  <c r="T22" i="1"/>
  <c r="U22" i="1"/>
  <c r="V22" i="1"/>
  <c r="W22" i="1"/>
  <c r="X22" i="1"/>
  <c r="Y22" i="1"/>
  <c r="Z22" i="1"/>
  <c r="AA22" i="1"/>
  <c r="AB22" i="1"/>
  <c r="AC22" i="1"/>
  <c r="AD22" i="1"/>
  <c r="E22" i="1"/>
  <c r="AE22" i="1"/>
  <c r="AF22" i="1"/>
  <c r="AG22" i="1"/>
  <c r="AH22" i="1"/>
  <c r="AI22" i="1"/>
  <c r="AJ22" i="1"/>
  <c r="AK22" i="1"/>
  <c r="AL22" i="1"/>
  <c r="AM22" i="1"/>
  <c r="AN22" i="1"/>
  <c r="AO22" i="1"/>
  <c r="C23" i="1"/>
  <c r="D23" i="1"/>
  <c r="E23" i="1"/>
  <c r="F23" i="1"/>
  <c r="F22" i="1"/>
  <c r="B24" i="1"/>
  <c r="C24" i="1"/>
  <c r="D24" i="1"/>
  <c r="E24" i="1"/>
  <c r="I25" i="1"/>
  <c r="M25" i="1"/>
  <c r="Q25" i="1"/>
  <c r="U25" i="1"/>
  <c r="Y25" i="1"/>
  <c r="AC25" i="1"/>
  <c r="AG25" i="1"/>
  <c r="AK25" i="1"/>
  <c r="AO25" i="1"/>
  <c r="B9" i="25"/>
  <c r="E101" i="33"/>
  <c r="D48" i="33"/>
  <c r="I81" i="57"/>
  <c r="I71" i="57"/>
  <c r="I114" i="57"/>
  <c r="I13" i="57"/>
  <c r="I15" i="57"/>
  <c r="R15" i="57"/>
  <c r="R12" i="57"/>
  <c r="I117" i="57"/>
  <c r="I108" i="57"/>
  <c r="I116" i="57"/>
  <c r="I98" i="57"/>
  <c r="I99" i="57"/>
  <c r="I94" i="57"/>
  <c r="B89" i="6"/>
  <c r="D77" i="4"/>
  <c r="D79" i="4"/>
  <c r="C77" i="4"/>
  <c r="C79" i="4"/>
  <c r="E5" i="5"/>
  <c r="E4" i="5"/>
  <c r="E9" i="5"/>
  <c r="E11" i="5"/>
  <c r="D20" i="5"/>
  <c r="D89" i="6"/>
  <c r="D95" i="6"/>
  <c r="C81" i="6"/>
  <c r="C83" i="6"/>
  <c r="C86" i="6"/>
  <c r="B77" i="4"/>
  <c r="B79" i="4"/>
  <c r="D81" i="6"/>
  <c r="D83" i="6"/>
  <c r="D86" i="6"/>
  <c r="B51" i="18"/>
  <c r="B52" i="18"/>
  <c r="B14" i="18"/>
  <c r="B17" i="18"/>
  <c r="B58" i="18"/>
  <c r="B76" i="18"/>
  <c r="C50" i="18"/>
  <c r="C53" i="18"/>
  <c r="B35" i="18"/>
  <c r="B37" i="18"/>
  <c r="B50" i="18"/>
  <c r="B53" i="18"/>
  <c r="B75" i="18"/>
  <c r="B80" i="18"/>
  <c r="E95" i="18"/>
  <c r="E94" i="18"/>
  <c r="B94" i="18"/>
  <c r="B95" i="18"/>
  <c r="C95" i="18"/>
  <c r="C94" i="18"/>
  <c r="D95" i="18"/>
  <c r="D94" i="18"/>
  <c r="F94" i="18"/>
  <c r="F95" i="18"/>
  <c r="C20" i="18"/>
  <c r="C58" i="18"/>
  <c r="D89" i="16"/>
  <c r="D102" i="15"/>
  <c r="D103" i="15"/>
  <c r="D97" i="15"/>
  <c r="D98" i="15"/>
  <c r="C102" i="15"/>
  <c r="C103" i="15"/>
  <c r="C97" i="15"/>
  <c r="C98" i="15"/>
  <c r="B102" i="15"/>
  <c r="B103" i="15"/>
  <c r="B97" i="15"/>
  <c r="B98" i="15"/>
  <c r="B50" i="15"/>
  <c r="D61" i="15"/>
  <c r="G43" i="15"/>
  <c r="D45" i="15"/>
  <c r="F48" i="15"/>
  <c r="C50" i="15"/>
  <c r="G51" i="15"/>
  <c r="D64" i="15"/>
  <c r="D72" i="15"/>
  <c r="F45" i="15"/>
  <c r="G48" i="15"/>
  <c r="F53" i="15"/>
  <c r="D66" i="15"/>
  <c r="G53" i="15"/>
  <c r="F49" i="15"/>
  <c r="B44" i="14"/>
  <c r="B46" i="14"/>
  <c r="C45" i="14"/>
  <c r="D39" i="14"/>
  <c r="C40" i="14"/>
  <c r="C43" i="14"/>
  <c r="B43" i="14"/>
  <c r="B45" i="14"/>
  <c r="B51" i="8"/>
  <c r="B34" i="8"/>
  <c r="F14" i="5"/>
  <c r="C38" i="5"/>
  <c r="C47" i="5"/>
  <c r="D12" i="5"/>
  <c r="B28" i="5"/>
  <c r="E3" i="5"/>
  <c r="F5" i="5"/>
  <c r="F4" i="5"/>
  <c r="F9" i="5"/>
  <c r="F11" i="5"/>
  <c r="E18" i="5"/>
  <c r="F18" i="5"/>
  <c r="F19" i="5"/>
  <c r="C28" i="5"/>
  <c r="C39" i="5"/>
  <c r="B41" i="5"/>
  <c r="C41" i="5"/>
  <c r="G9" i="4"/>
  <c r="G8" i="4"/>
  <c r="D17" i="4"/>
  <c r="D20" i="4"/>
  <c r="B89" i="4"/>
  <c r="B91" i="4"/>
  <c r="B93" i="4"/>
  <c r="H31" i="4"/>
  <c r="B11" i="4"/>
  <c r="J31" i="4"/>
  <c r="B10" i="4"/>
  <c r="B8" i="4"/>
  <c r="B13" i="4"/>
  <c r="C85" i="4"/>
  <c r="C89" i="4"/>
  <c r="C91" i="4"/>
  <c r="C93" i="4"/>
  <c r="H32" i="4"/>
  <c r="D85" i="4"/>
  <c r="D89" i="4"/>
  <c r="D91" i="4"/>
  <c r="D93" i="4"/>
  <c r="C28" i="1"/>
  <c r="D30" i="1"/>
  <c r="C37" i="1"/>
  <c r="D28" i="1"/>
  <c r="E30" i="1"/>
  <c r="D37" i="1"/>
  <c r="C31" i="1"/>
  <c r="E37" i="1"/>
  <c r="E28" i="1"/>
  <c r="D31" i="1"/>
  <c r="C38" i="1"/>
  <c r="E34" i="1"/>
  <c r="E31" i="1"/>
  <c r="D38" i="1"/>
  <c r="E36" i="1"/>
  <c r="D29" i="1"/>
  <c r="B29" i="1"/>
  <c r="C32" i="1"/>
  <c r="C34" i="1"/>
  <c r="E38" i="1"/>
  <c r="E32" i="1"/>
  <c r="E29" i="1"/>
  <c r="D32" i="1"/>
  <c r="D34" i="1"/>
  <c r="D36" i="1"/>
  <c r="C30" i="1"/>
  <c r="C36" i="1"/>
  <c r="B36" i="1"/>
  <c r="B22" i="1"/>
  <c r="C22" i="1"/>
  <c r="B23" i="1"/>
  <c r="R21" i="1"/>
  <c r="AD19" i="1"/>
  <c r="F19" i="1"/>
  <c r="B15" i="1"/>
  <c r="E9" i="1"/>
  <c r="H9" i="1"/>
  <c r="C15" i="1"/>
  <c r="S19" i="1"/>
  <c r="S21" i="1"/>
  <c r="S25" i="1"/>
  <c r="I19" i="57"/>
  <c r="I106" i="57"/>
  <c r="I88" i="57"/>
  <c r="R13" i="57"/>
  <c r="B20" i="18"/>
  <c r="F99" i="18"/>
  <c r="F97" i="18"/>
  <c r="E97" i="18"/>
  <c r="E99" i="18"/>
  <c r="B97" i="18"/>
  <c r="B99" i="18"/>
  <c r="D97" i="18"/>
  <c r="D99" i="18"/>
  <c r="C97" i="18"/>
  <c r="C99" i="18"/>
  <c r="B52" i="15"/>
  <c r="B67" i="15"/>
  <c r="C52" i="15"/>
  <c r="F50" i="15"/>
  <c r="C67" i="15"/>
  <c r="D62" i="15"/>
  <c r="G45" i="15"/>
  <c r="D50" i="15"/>
  <c r="D40" i="14"/>
  <c r="C44" i="14"/>
  <c r="C46" i="14"/>
  <c r="E19" i="5"/>
  <c r="E20" i="5"/>
  <c r="E12" i="5"/>
  <c r="F3" i="5"/>
  <c r="F12" i="5"/>
  <c r="F20" i="5"/>
  <c r="D23" i="4"/>
  <c r="D24" i="4"/>
  <c r="D26" i="4"/>
  <c r="AD21" i="1"/>
  <c r="E19" i="1"/>
  <c r="D21" i="1"/>
  <c r="R25" i="1"/>
  <c r="D35" i="1"/>
  <c r="D33" i="1"/>
  <c r="B28" i="1"/>
  <c r="B34" i="1"/>
  <c r="D19" i="1"/>
  <c r="E33" i="1"/>
  <c r="C33" i="1"/>
  <c r="F21" i="1"/>
  <c r="B19" i="1"/>
  <c r="C19" i="1"/>
  <c r="C85" i="36"/>
  <c r="C84" i="36"/>
  <c r="C83" i="36"/>
  <c r="R19" i="57"/>
  <c r="I21" i="57"/>
  <c r="R21" i="57"/>
  <c r="I112" i="57"/>
  <c r="I115" i="57"/>
  <c r="D52" i="15"/>
  <c r="G50" i="15"/>
  <c r="D67" i="15"/>
  <c r="C56" i="15"/>
  <c r="F52" i="15"/>
  <c r="C69" i="15"/>
  <c r="B69" i="15"/>
  <c r="B56" i="15"/>
  <c r="B73" i="15"/>
  <c r="C35" i="1"/>
  <c r="B35" i="1"/>
  <c r="F25" i="1"/>
  <c r="C21" i="1"/>
  <c r="B21" i="1"/>
  <c r="D25" i="1"/>
  <c r="D39" i="1"/>
  <c r="B33" i="1"/>
  <c r="E21" i="1"/>
  <c r="AD25" i="1"/>
  <c r="E35" i="1"/>
  <c r="I107" i="57"/>
  <c r="I25" i="57"/>
  <c r="R25" i="57"/>
  <c r="I89" i="57"/>
  <c r="C73" i="15"/>
  <c r="F56" i="15"/>
  <c r="G52" i="15"/>
  <c r="D69" i="15"/>
  <c r="D56" i="15"/>
  <c r="E25" i="1"/>
  <c r="E39" i="1"/>
  <c r="C25" i="1"/>
  <c r="C39" i="1"/>
  <c r="B39" i="1"/>
  <c r="B25" i="1"/>
  <c r="J23" i="29"/>
  <c r="H23" i="29"/>
  <c r="I27" i="57"/>
  <c r="I36" i="57"/>
  <c r="I39" i="57"/>
  <c r="D73" i="15"/>
  <c r="G56" i="15"/>
  <c r="H58" i="57"/>
  <c r="G38" i="57"/>
  <c r="H111" i="57"/>
  <c r="H105" i="57"/>
  <c r="H85" i="57"/>
  <c r="H93" i="57"/>
  <c r="H97" i="57"/>
  <c r="H100" i="57"/>
  <c r="H101" i="57"/>
  <c r="H87" i="57"/>
  <c r="H90" i="57"/>
  <c r="H77" i="57"/>
  <c r="H65" i="57"/>
  <c r="H67" i="57"/>
  <c r="H78" i="57"/>
  <c r="H63" i="57"/>
  <c r="G77" i="57"/>
  <c r="H76" i="57"/>
  <c r="H70" i="57"/>
  <c r="H62" i="57"/>
  <c r="H99" i="57"/>
  <c r="H55" i="57"/>
  <c r="H60" i="57"/>
  <c r="H42" i="57"/>
  <c r="H94" i="57"/>
  <c r="H37" i="57"/>
  <c r="H26" i="57"/>
  <c r="Q26" i="57"/>
  <c r="H20" i="57"/>
  <c r="Q20" i="57"/>
  <c r="H18" i="57"/>
  <c r="H14" i="57"/>
  <c r="H17" i="57"/>
  <c r="Q17" i="57"/>
  <c r="H12" i="57"/>
  <c r="Q12" i="57"/>
  <c r="H11" i="57"/>
  <c r="Q11" i="57"/>
  <c r="Q7" i="57"/>
  <c r="Q8" i="57"/>
  <c r="Q14" i="57"/>
  <c r="Q16" i="57"/>
  <c r="Q18" i="57"/>
  <c r="Q22" i="57"/>
  <c r="Q23" i="57"/>
  <c r="Q24" i="57"/>
  <c r="Q28" i="57"/>
  <c r="I29" i="57"/>
  <c r="R29" i="57"/>
  <c r="R27" i="57"/>
  <c r="I41" i="57"/>
  <c r="H98" i="57"/>
  <c r="H13" i="57"/>
  <c r="I46" i="57"/>
  <c r="H80" i="57"/>
  <c r="H71" i="57"/>
  <c r="H114" i="57"/>
  <c r="I118" i="57"/>
  <c r="I119" i="57"/>
  <c r="Q13" i="57"/>
  <c r="H15" i="57"/>
  <c r="I47" i="57"/>
  <c r="I50" i="57"/>
  <c r="H81" i="57"/>
  <c r="H117" i="57"/>
  <c r="H108" i="57"/>
  <c r="H116" i="57"/>
  <c r="Q15" i="57"/>
  <c r="H19" i="57"/>
  <c r="H88" i="57"/>
  <c r="Q19" i="57"/>
  <c r="H21" i="57"/>
  <c r="H106" i="57"/>
  <c r="B236" i="21"/>
  <c r="G11" i="57"/>
  <c r="G13" i="57"/>
  <c r="G12" i="57"/>
  <c r="G14" i="57"/>
  <c r="G17" i="57"/>
  <c r="G18" i="57"/>
  <c r="G20" i="57"/>
  <c r="G26" i="57"/>
  <c r="G76" i="57"/>
  <c r="F11" i="57"/>
  <c r="F13" i="57"/>
  <c r="F12" i="57"/>
  <c r="F101" i="57"/>
  <c r="F17" i="57"/>
  <c r="F18" i="57"/>
  <c r="F26" i="57"/>
  <c r="F76" i="57"/>
  <c r="E8" i="57"/>
  <c r="E11" i="57"/>
  <c r="E17" i="57"/>
  <c r="E18" i="57"/>
  <c r="E26" i="57"/>
  <c r="E75" i="57"/>
  <c r="E76" i="57"/>
  <c r="D8" i="57"/>
  <c r="D11" i="57"/>
  <c r="D12" i="57"/>
  <c r="D13" i="57"/>
  <c r="D15" i="57"/>
  <c r="D19" i="57"/>
  <c r="D17" i="57"/>
  <c r="D18" i="57"/>
  <c r="D26" i="57"/>
  <c r="D75" i="57"/>
  <c r="D76" i="57"/>
  <c r="D81" i="57"/>
  <c r="C8" i="57"/>
  <c r="C11" i="57"/>
  <c r="C12" i="57"/>
  <c r="C13" i="57"/>
  <c r="C15" i="57"/>
  <c r="C88" i="57"/>
  <c r="C17" i="57"/>
  <c r="C18" i="57"/>
  <c r="C24" i="57"/>
  <c r="C26" i="57"/>
  <c r="C75" i="57"/>
  <c r="C76" i="57"/>
  <c r="G55" i="57"/>
  <c r="G58" i="57"/>
  <c r="G60" i="57"/>
  <c r="G71" i="57"/>
  <c r="G114" i="57"/>
  <c r="G62" i="57"/>
  <c r="G67" i="57"/>
  <c r="G64" i="57"/>
  <c r="G63" i="57"/>
  <c r="G65" i="57"/>
  <c r="G70" i="57"/>
  <c r="H43" i="57"/>
  <c r="H46" i="57"/>
  <c r="F55" i="57"/>
  <c r="F60" i="57"/>
  <c r="F62" i="57"/>
  <c r="F64" i="57"/>
  <c r="F67" i="57"/>
  <c r="F63" i="57"/>
  <c r="F65" i="57"/>
  <c r="F70" i="57"/>
  <c r="G43" i="57"/>
  <c r="G46" i="57"/>
  <c r="E55" i="57"/>
  <c r="E60" i="57"/>
  <c r="E62" i="57"/>
  <c r="E64" i="57"/>
  <c r="E67" i="57"/>
  <c r="E63" i="57"/>
  <c r="E65" i="57"/>
  <c r="E66" i="57"/>
  <c r="E70" i="57"/>
  <c r="D55" i="57"/>
  <c r="D60" i="57"/>
  <c r="D62" i="57"/>
  <c r="D67" i="57"/>
  <c r="D64" i="57"/>
  <c r="D101" i="57"/>
  <c r="D63" i="57"/>
  <c r="D65" i="57"/>
  <c r="D66" i="57"/>
  <c r="D70" i="57"/>
  <c r="E43" i="57"/>
  <c r="E46" i="57"/>
  <c r="C55" i="57"/>
  <c r="C60" i="57"/>
  <c r="C62" i="57"/>
  <c r="C64" i="57"/>
  <c r="C101" i="57"/>
  <c r="C63" i="57"/>
  <c r="C65" i="57"/>
  <c r="C67" i="57"/>
  <c r="C98" i="57"/>
  <c r="C66" i="57"/>
  <c r="C70" i="57"/>
  <c r="D43" i="57"/>
  <c r="D46" i="57"/>
  <c r="C77" i="57"/>
  <c r="C80" i="57"/>
  <c r="C78" i="57"/>
  <c r="L28" i="57"/>
  <c r="L26" i="57"/>
  <c r="L24" i="57"/>
  <c r="L23" i="57"/>
  <c r="L22" i="57"/>
  <c r="L20" i="57"/>
  <c r="L18" i="57"/>
  <c r="L17" i="57"/>
  <c r="L16" i="57"/>
  <c r="L14" i="57"/>
  <c r="L13" i="57"/>
  <c r="L12" i="57"/>
  <c r="L11" i="57"/>
  <c r="L8" i="57"/>
  <c r="L7" i="57"/>
  <c r="G101" i="57"/>
  <c r="G42" i="57"/>
  <c r="G94" i="57"/>
  <c r="F94" i="57"/>
  <c r="E45" i="57"/>
  <c r="E94" i="57"/>
  <c r="D45" i="57"/>
  <c r="D94" i="57"/>
  <c r="C45" i="57"/>
  <c r="C46" i="57"/>
  <c r="C90" i="57"/>
  <c r="C87" i="57"/>
  <c r="G86" i="57"/>
  <c r="F43" i="57"/>
  <c r="G78" i="57"/>
  <c r="G80" i="57"/>
  <c r="G81" i="57"/>
  <c r="F77" i="57"/>
  <c r="F80" i="57"/>
  <c r="F81" i="57"/>
  <c r="E77" i="57"/>
  <c r="E80" i="57"/>
  <c r="E78" i="57"/>
  <c r="D77" i="57"/>
  <c r="D80" i="57"/>
  <c r="D78" i="57"/>
  <c r="G37" i="57"/>
  <c r="F37" i="57"/>
  <c r="E37" i="57"/>
  <c r="D37" i="57"/>
  <c r="C37" i="57"/>
  <c r="F48" i="57"/>
  <c r="E49" i="57"/>
  <c r="D49" i="57"/>
  <c r="C49" i="57"/>
  <c r="P11" i="57"/>
  <c r="O11" i="57"/>
  <c r="M11" i="57"/>
  <c r="F7" i="57"/>
  <c r="G7" i="57"/>
  <c r="D7" i="57"/>
  <c r="C268" i="35"/>
  <c r="C267" i="35"/>
  <c r="B58" i="35"/>
  <c r="B26" i="35"/>
  <c r="B83" i="36"/>
  <c r="B60" i="36"/>
  <c r="C54" i="36"/>
  <c r="C53" i="36"/>
  <c r="C59" i="36"/>
  <c r="H30" i="29"/>
  <c r="G31" i="29"/>
  <c r="G30" i="29"/>
  <c r="B78" i="21"/>
  <c r="B31" i="52"/>
  <c r="F16" i="26"/>
  <c r="F17" i="26"/>
  <c r="E16" i="26"/>
  <c r="E17" i="26"/>
  <c r="D16" i="26"/>
  <c r="D17" i="26"/>
  <c r="C16" i="26"/>
  <c r="C17" i="26"/>
  <c r="B16" i="26"/>
  <c r="B17" i="26"/>
  <c r="C77" i="33"/>
  <c r="F48" i="33"/>
  <c r="C84" i="33"/>
  <c r="F55" i="33"/>
  <c r="F101" i="33"/>
  <c r="F108" i="33"/>
  <c r="E108" i="33"/>
  <c r="D101" i="33"/>
  <c r="D108" i="33"/>
  <c r="C101" i="33"/>
  <c r="C100" i="33"/>
  <c r="C102" i="33"/>
  <c r="C108" i="33"/>
  <c r="F96" i="33"/>
  <c r="E96" i="33"/>
  <c r="D96" i="33"/>
  <c r="C96" i="33"/>
  <c r="F77" i="33"/>
  <c r="F84" i="33"/>
  <c r="F87" i="33"/>
  <c r="E77" i="33"/>
  <c r="G48" i="33"/>
  <c r="E84" i="33"/>
  <c r="G55" i="33"/>
  <c r="D77" i="33"/>
  <c r="D84" i="33"/>
  <c r="D87" i="33"/>
  <c r="D76" i="33"/>
  <c r="E76" i="33"/>
  <c r="G47" i="33"/>
  <c r="F72" i="33"/>
  <c r="E72" i="33"/>
  <c r="D72" i="33"/>
  <c r="C72" i="33"/>
  <c r="F59" i="33"/>
  <c r="C59" i="33"/>
  <c r="F47" i="33"/>
  <c r="C47" i="33"/>
  <c r="C48" i="33"/>
  <c r="C78" i="33"/>
  <c r="C79" i="33"/>
  <c r="F50" i="33"/>
  <c r="C55" i="33"/>
  <c r="F49" i="33"/>
  <c r="C111" i="33"/>
  <c r="B85" i="44"/>
  <c r="C58" i="33"/>
  <c r="C80" i="33"/>
  <c r="C81" i="33"/>
  <c r="F51" i="33"/>
  <c r="G23" i="29"/>
  <c r="H22" i="29"/>
  <c r="F213" i="23"/>
  <c r="E213" i="23"/>
  <c r="D213" i="23"/>
  <c r="C213" i="23"/>
  <c r="E209" i="23"/>
  <c r="E208" i="23"/>
  <c r="D209" i="23"/>
  <c r="D208" i="23"/>
  <c r="C99" i="57"/>
  <c r="C100" i="57"/>
  <c r="C125" i="57"/>
  <c r="C126" i="57"/>
  <c r="G100" i="57"/>
  <c r="F100" i="57"/>
  <c r="E100" i="57"/>
  <c r="D100" i="57"/>
  <c r="F99" i="57"/>
  <c r="E99" i="57"/>
  <c r="D99" i="57"/>
  <c r="G90" i="57"/>
  <c r="F90" i="57"/>
  <c r="E90" i="57"/>
  <c r="D90" i="57"/>
  <c r="G87" i="57"/>
  <c r="F87" i="57"/>
  <c r="E87" i="57"/>
  <c r="D87" i="57"/>
  <c r="F116" i="57"/>
  <c r="P26" i="57"/>
  <c r="O26" i="57"/>
  <c r="N26" i="57"/>
  <c r="M26" i="57"/>
  <c r="O24" i="57"/>
  <c r="N24" i="57"/>
  <c r="M24" i="57"/>
  <c r="P24" i="57"/>
  <c r="P23" i="57"/>
  <c r="O23" i="57"/>
  <c r="N23" i="57"/>
  <c r="M23" i="57"/>
  <c r="P22" i="57"/>
  <c r="O22" i="57"/>
  <c r="N22" i="57"/>
  <c r="M22" i="57"/>
  <c r="P20" i="57"/>
  <c r="O20" i="57"/>
  <c r="N20" i="57"/>
  <c r="P18" i="57"/>
  <c r="O18" i="57"/>
  <c r="N18" i="57"/>
  <c r="M18" i="57"/>
  <c r="P17" i="57"/>
  <c r="O17" i="57"/>
  <c r="N17" i="57"/>
  <c r="M17" i="57"/>
  <c r="P16" i="57"/>
  <c r="O16" i="57"/>
  <c r="N16" i="57"/>
  <c r="M16" i="57"/>
  <c r="P14" i="57"/>
  <c r="O14" i="57"/>
  <c r="N14" i="57"/>
  <c r="M14" i="57"/>
  <c r="P12" i="57"/>
  <c r="N12" i="57"/>
  <c r="M12" i="57"/>
  <c r="P8" i="57"/>
  <c r="O8" i="57"/>
  <c r="N8" i="57"/>
  <c r="M8" i="57"/>
  <c r="C54" i="57"/>
  <c r="C111" i="57"/>
  <c r="C97" i="57"/>
  <c r="C85" i="57"/>
  <c r="C93" i="57"/>
  <c r="C35" i="57"/>
  <c r="M20" i="57"/>
  <c r="M13" i="57"/>
  <c r="M15" i="57"/>
  <c r="G117" i="57"/>
  <c r="G108" i="57"/>
  <c r="B16" i="41"/>
  <c r="D54" i="57"/>
  <c r="D97" i="57"/>
  <c r="D85" i="57"/>
  <c r="D93" i="57"/>
  <c r="C2" i="24"/>
  <c r="D2" i="24"/>
  <c r="E2" i="24"/>
  <c r="F2" i="24"/>
  <c r="G2" i="24"/>
  <c r="H2" i="24"/>
  <c r="I2" i="24"/>
  <c r="J2" i="24"/>
  <c r="K2" i="24"/>
  <c r="L2" i="24"/>
  <c r="M2" i="24"/>
  <c r="N2" i="24"/>
  <c r="D62" i="46"/>
  <c r="B63" i="46"/>
  <c r="F63" i="46"/>
  <c r="B64" i="46"/>
  <c r="F49" i="67"/>
  <c r="F86" i="67"/>
  <c r="F83" i="67"/>
  <c r="B49" i="67"/>
  <c r="C49" i="67"/>
  <c r="C57" i="67"/>
  <c r="B86" i="67"/>
  <c r="C86" i="67"/>
  <c r="C83" i="67"/>
  <c r="B83" i="67"/>
  <c r="D49" i="67"/>
  <c r="D86" i="67"/>
  <c r="D83" i="67"/>
  <c r="E49" i="67"/>
  <c r="E86" i="67"/>
  <c r="E89" i="67"/>
  <c r="E83" i="67"/>
  <c r="B76" i="40"/>
  <c r="B77" i="40"/>
  <c r="B78" i="40"/>
  <c r="B71" i="40"/>
  <c r="D76" i="40"/>
  <c r="D77" i="40"/>
  <c r="B65" i="40"/>
  <c r="B36" i="30"/>
  <c r="B41" i="30"/>
  <c r="B51" i="30"/>
  <c r="B42" i="30"/>
  <c r="B40" i="30"/>
  <c r="C11" i="24"/>
  <c r="J11" i="24"/>
  <c r="D11" i="24"/>
  <c r="E11" i="24"/>
  <c r="F11" i="24"/>
  <c r="G11" i="24"/>
  <c r="H11" i="24"/>
  <c r="K17" i="24"/>
  <c r="I11" i="24"/>
  <c r="K11" i="24"/>
  <c r="L11" i="24"/>
  <c r="M11" i="24"/>
  <c r="N11" i="24"/>
  <c r="C10" i="24"/>
  <c r="D10" i="24"/>
  <c r="E10" i="24"/>
  <c r="F10" i="24"/>
  <c r="G10" i="24"/>
  <c r="H10" i="24"/>
  <c r="I10" i="24"/>
  <c r="J10" i="24"/>
  <c r="K10" i="24"/>
  <c r="L10" i="24"/>
  <c r="M10" i="24"/>
  <c r="N10" i="24"/>
  <c r="B99" i="21"/>
  <c r="B100" i="21"/>
  <c r="B101" i="21"/>
  <c r="B102" i="21"/>
  <c r="B103" i="21"/>
  <c r="B118" i="21"/>
  <c r="B122" i="21"/>
  <c r="B128" i="21"/>
  <c r="B132" i="21"/>
  <c r="C136" i="21"/>
  <c r="D136" i="21"/>
  <c r="B151" i="21"/>
  <c r="B154" i="21"/>
  <c r="B156" i="21"/>
  <c r="C151" i="21"/>
  <c r="C154" i="21"/>
  <c r="C156" i="21"/>
  <c r="B164" i="21"/>
  <c r="B169" i="21"/>
  <c r="B180" i="21"/>
  <c r="B195" i="21"/>
  <c r="C204" i="21"/>
  <c r="D204" i="21"/>
  <c r="E204" i="21"/>
  <c r="F204" i="21"/>
  <c r="G204" i="21"/>
  <c r="H204" i="21"/>
  <c r="I204" i="21"/>
  <c r="J204" i="21"/>
  <c r="K204" i="21"/>
  <c r="L204" i="21"/>
  <c r="M204" i="21"/>
  <c r="N204" i="21"/>
  <c r="O204" i="21"/>
  <c r="P204" i="21"/>
  <c r="Q204" i="21"/>
  <c r="R204" i="21"/>
  <c r="S204" i="21"/>
  <c r="T204" i="21"/>
  <c r="U204" i="21"/>
  <c r="V204" i="21"/>
  <c r="W204" i="21"/>
  <c r="X204" i="21"/>
  <c r="Y204" i="21"/>
  <c r="Z204" i="21"/>
  <c r="AA204" i="21"/>
  <c r="AB204" i="21"/>
  <c r="AC204" i="21"/>
  <c r="AD204" i="21"/>
  <c r="AE204" i="21"/>
  <c r="AF204" i="21"/>
  <c r="AG204" i="21"/>
  <c r="AH204" i="21"/>
  <c r="AI204" i="21"/>
  <c r="AJ204" i="21"/>
  <c r="AK204" i="21"/>
  <c r="AL204" i="21"/>
  <c r="AM204" i="21"/>
  <c r="AN204" i="21"/>
  <c r="AO204" i="21"/>
  <c r="AP204" i="21"/>
  <c r="B205" i="21"/>
  <c r="C219" i="21"/>
  <c r="D219" i="21"/>
  <c r="E219" i="21"/>
  <c r="F219" i="21"/>
  <c r="G219" i="21"/>
  <c r="H219" i="21"/>
  <c r="I219" i="21"/>
  <c r="J219" i="21"/>
  <c r="K219" i="21"/>
  <c r="L219" i="21"/>
  <c r="M219" i="21"/>
  <c r="N219" i="21"/>
  <c r="O219" i="21"/>
  <c r="P219" i="21"/>
  <c r="Q219" i="21"/>
  <c r="R219" i="21"/>
  <c r="S219" i="21"/>
  <c r="T219" i="21"/>
  <c r="U219" i="21"/>
  <c r="V219" i="21"/>
  <c r="W219" i="21"/>
  <c r="X219" i="21"/>
  <c r="Y219" i="21"/>
  <c r="Z219" i="21"/>
  <c r="AA219" i="21"/>
  <c r="AB219" i="21"/>
  <c r="AC219" i="21"/>
  <c r="AD219" i="21"/>
  <c r="AE219" i="21"/>
  <c r="AF219" i="21"/>
  <c r="AG219" i="21"/>
  <c r="AH219" i="21"/>
  <c r="AI219" i="21"/>
  <c r="AJ219" i="21"/>
  <c r="AK219" i="21"/>
  <c r="AL219" i="21"/>
  <c r="AM219" i="21"/>
  <c r="AN219" i="21"/>
  <c r="AO219" i="21"/>
  <c r="AP219" i="21"/>
  <c r="B220" i="21"/>
  <c r="B32" i="52"/>
  <c r="G32" i="29"/>
  <c r="F76" i="21"/>
  <c r="F78" i="21"/>
  <c r="B6" i="24"/>
  <c r="B117" i="70"/>
  <c r="B118" i="70"/>
  <c r="B130" i="70"/>
  <c r="C84" i="70"/>
  <c r="C86" i="70"/>
  <c r="C88" i="70"/>
  <c r="C113" i="70"/>
  <c r="C115" i="70"/>
  <c r="D86" i="70"/>
  <c r="D87" i="70"/>
  <c r="D88" i="70"/>
  <c r="D113" i="70"/>
  <c r="D115" i="70"/>
  <c r="E86" i="70"/>
  <c r="E87" i="70"/>
  <c r="E115" i="70"/>
  <c r="F86" i="70"/>
  <c r="F115" i="70"/>
  <c r="G86" i="70"/>
  <c r="G115" i="70"/>
  <c r="H86" i="70"/>
  <c r="H115" i="70"/>
  <c r="I81" i="70"/>
  <c r="J81" i="70"/>
  <c r="K81" i="70"/>
  <c r="L81" i="70"/>
  <c r="I82" i="70"/>
  <c r="I83" i="70"/>
  <c r="J83" i="70"/>
  <c r="K83" i="70"/>
  <c r="L83" i="70"/>
  <c r="M83" i="70"/>
  <c r="N83" i="70"/>
  <c r="O83" i="70"/>
  <c r="P83" i="70"/>
  <c r="Q83" i="70"/>
  <c r="R83" i="70"/>
  <c r="S83" i="70"/>
  <c r="T83" i="70"/>
  <c r="U83" i="70"/>
  <c r="V83" i="70"/>
  <c r="I84" i="70"/>
  <c r="J84" i="70"/>
  <c r="I115" i="70"/>
  <c r="K84" i="70"/>
  <c r="L84" i="70"/>
  <c r="M84" i="70"/>
  <c r="N84" i="70"/>
  <c r="O84" i="70"/>
  <c r="P84" i="70"/>
  <c r="Q84" i="70"/>
  <c r="R84" i="70"/>
  <c r="S84" i="70"/>
  <c r="T84" i="70"/>
  <c r="U84" i="70"/>
  <c r="V84" i="70"/>
  <c r="J115" i="70"/>
  <c r="K115" i="70"/>
  <c r="L115" i="70"/>
  <c r="M115" i="70"/>
  <c r="N115" i="70"/>
  <c r="O115" i="70"/>
  <c r="P115" i="70"/>
  <c r="Q115" i="70"/>
  <c r="R113" i="70"/>
  <c r="R115" i="70"/>
  <c r="S87" i="70"/>
  <c r="S115" i="70"/>
  <c r="T115" i="70"/>
  <c r="U115" i="70"/>
  <c r="V115" i="70"/>
  <c r="I12" i="70"/>
  <c r="J12" i="70"/>
  <c r="K12" i="70"/>
  <c r="L12" i="70"/>
  <c r="M12" i="70"/>
  <c r="N12" i="70"/>
  <c r="O12" i="70"/>
  <c r="P12" i="70"/>
  <c r="Q12" i="70"/>
  <c r="R12" i="70"/>
  <c r="S12" i="70"/>
  <c r="T12" i="70"/>
  <c r="U12" i="70"/>
  <c r="V12" i="70"/>
  <c r="I11" i="70"/>
  <c r="J11" i="70"/>
  <c r="K11" i="70"/>
  <c r="L11" i="70"/>
  <c r="M11" i="70"/>
  <c r="N11" i="70"/>
  <c r="O11" i="70"/>
  <c r="P11" i="70"/>
  <c r="Q11" i="70"/>
  <c r="R11" i="70"/>
  <c r="S11" i="70"/>
  <c r="T11" i="70"/>
  <c r="U11" i="70"/>
  <c r="V11" i="70"/>
  <c r="I10" i="70"/>
  <c r="J10" i="70"/>
  <c r="K10" i="70"/>
  <c r="L10" i="70"/>
  <c r="M10" i="70"/>
  <c r="N10" i="70"/>
  <c r="O10" i="70"/>
  <c r="P10" i="70"/>
  <c r="Q10" i="70"/>
  <c r="R10" i="70"/>
  <c r="S10" i="70"/>
  <c r="T10" i="70"/>
  <c r="U10" i="70"/>
  <c r="V10" i="70"/>
  <c r="I9" i="70"/>
  <c r="I8" i="70"/>
  <c r="J8" i="70"/>
  <c r="K8" i="70"/>
  <c r="L8" i="70"/>
  <c r="M8" i="70"/>
  <c r="N8" i="70"/>
  <c r="O8" i="70"/>
  <c r="B30" i="70"/>
  <c r="B119" i="70"/>
  <c r="V110" i="70"/>
  <c r="U110" i="70"/>
  <c r="T110" i="70"/>
  <c r="S110" i="70"/>
  <c r="R110" i="70"/>
  <c r="Q110" i="70"/>
  <c r="P110" i="70"/>
  <c r="O110" i="70"/>
  <c r="N110" i="70"/>
  <c r="M110" i="70"/>
  <c r="L110" i="70"/>
  <c r="K110" i="70"/>
  <c r="J110" i="70"/>
  <c r="I110" i="70"/>
  <c r="H110" i="70"/>
  <c r="G110" i="70"/>
  <c r="F110" i="70"/>
  <c r="E110" i="70"/>
  <c r="D110" i="70"/>
  <c r="C110" i="70"/>
  <c r="B110" i="70"/>
  <c r="B103" i="70"/>
  <c r="B104" i="70"/>
  <c r="C99" i="70"/>
  <c r="C101" i="70"/>
  <c r="D99" i="70"/>
  <c r="D101" i="70"/>
  <c r="E99" i="70"/>
  <c r="B101" i="70"/>
  <c r="V97" i="70"/>
  <c r="U97" i="70"/>
  <c r="T97" i="70"/>
  <c r="S97" i="70"/>
  <c r="R97" i="70"/>
  <c r="Q97" i="70"/>
  <c r="P97" i="70"/>
  <c r="O97" i="70"/>
  <c r="N97" i="70"/>
  <c r="M97" i="70"/>
  <c r="L97" i="70"/>
  <c r="K97" i="70"/>
  <c r="J97" i="70"/>
  <c r="I97" i="70"/>
  <c r="H97" i="70"/>
  <c r="G97" i="70"/>
  <c r="F97" i="70"/>
  <c r="E97" i="70"/>
  <c r="D97" i="70"/>
  <c r="C97" i="70"/>
  <c r="B97" i="70"/>
  <c r="B44" i="70"/>
  <c r="C14" i="70"/>
  <c r="C11" i="70"/>
  <c r="C13" i="70"/>
  <c r="C15" i="70"/>
  <c r="C42" i="70"/>
  <c r="D13" i="70"/>
  <c r="D42" i="70"/>
  <c r="E13" i="70"/>
  <c r="E42" i="70"/>
  <c r="F13" i="70"/>
  <c r="F42" i="70"/>
  <c r="G13" i="70"/>
  <c r="G42" i="70"/>
  <c r="H13" i="70"/>
  <c r="H42" i="70"/>
  <c r="I42" i="70"/>
  <c r="J42" i="70"/>
  <c r="K42" i="70"/>
  <c r="L42" i="70"/>
  <c r="M42" i="70"/>
  <c r="N42" i="70"/>
  <c r="O42" i="70"/>
  <c r="P42" i="70"/>
  <c r="Q42" i="70"/>
  <c r="R40" i="70"/>
  <c r="R42" i="70"/>
  <c r="S14" i="70"/>
  <c r="S42" i="70"/>
  <c r="T42" i="70"/>
  <c r="U42" i="70"/>
  <c r="V42" i="70"/>
  <c r="V37" i="70"/>
  <c r="U37" i="70"/>
  <c r="T37" i="70"/>
  <c r="S37" i="70"/>
  <c r="R37" i="70"/>
  <c r="Q37" i="70"/>
  <c r="P37" i="70"/>
  <c r="O37" i="70"/>
  <c r="N37" i="70"/>
  <c r="M37" i="70"/>
  <c r="L37" i="70"/>
  <c r="K37" i="70"/>
  <c r="J37" i="70"/>
  <c r="I37" i="70"/>
  <c r="H37" i="70"/>
  <c r="G37" i="70"/>
  <c r="F37" i="70"/>
  <c r="E37" i="70"/>
  <c r="D37" i="70"/>
  <c r="C37" i="70"/>
  <c r="B37" i="70"/>
  <c r="IV31" i="70"/>
  <c r="B28" i="70"/>
  <c r="V24" i="70"/>
  <c r="U24" i="70"/>
  <c r="T24" i="70"/>
  <c r="S24" i="70"/>
  <c r="R24" i="70"/>
  <c r="Q24" i="70"/>
  <c r="P24" i="70"/>
  <c r="O24" i="70"/>
  <c r="N24" i="70"/>
  <c r="M24" i="70"/>
  <c r="L24" i="70"/>
  <c r="K24" i="70"/>
  <c r="J24" i="70"/>
  <c r="I24" i="70"/>
  <c r="H24" i="70"/>
  <c r="G24" i="70"/>
  <c r="F24" i="70"/>
  <c r="E24" i="70"/>
  <c r="D24" i="70"/>
  <c r="C24" i="70"/>
  <c r="B24" i="70"/>
  <c r="C36" i="30"/>
  <c r="J3" i="46"/>
  <c r="B4" i="46"/>
  <c r="D51" i="46"/>
  <c r="B6" i="46"/>
  <c r="B13" i="46"/>
  <c r="F6" i="46"/>
  <c r="C6" i="46"/>
  <c r="I9" i="46"/>
  <c r="B11" i="46"/>
  <c r="C11" i="46"/>
  <c r="B15" i="46"/>
  <c r="C15" i="46"/>
  <c r="B17" i="46"/>
  <c r="B18" i="46"/>
  <c r="B31" i="46"/>
  <c r="C31" i="46"/>
  <c r="B33" i="46"/>
  <c r="C33" i="46"/>
  <c r="B35" i="46"/>
  <c r="C35" i="46"/>
  <c r="C37" i="46"/>
  <c r="D50" i="46"/>
  <c r="D46" i="46"/>
  <c r="B47" i="46"/>
  <c r="F46" i="46"/>
  <c r="H47" i="46"/>
  <c r="B50" i="46"/>
  <c r="F50" i="46"/>
  <c r="F59" i="46"/>
  <c r="F60" i="46"/>
  <c r="F61" i="46"/>
  <c r="F62" i="46"/>
  <c r="F64" i="46"/>
  <c r="B65" i="46"/>
  <c r="F65" i="46"/>
  <c r="C18" i="67"/>
  <c r="B24" i="67"/>
  <c r="B25" i="67"/>
  <c r="B26" i="67"/>
  <c r="B27" i="67"/>
  <c r="B50" i="67"/>
  <c r="C50" i="67"/>
  <c r="D50" i="67"/>
  <c r="E50" i="67"/>
  <c r="F50" i="67"/>
  <c r="F51" i="67"/>
  <c r="B57" i="67"/>
  <c r="D57" i="67"/>
  <c r="E57" i="67"/>
  <c r="F57" i="67"/>
  <c r="D89" i="67"/>
  <c r="B127" i="67"/>
  <c r="B6" i="54"/>
  <c r="C6" i="54"/>
  <c r="B10" i="54"/>
  <c r="B11" i="54"/>
  <c r="B12" i="54"/>
  <c r="B15" i="54"/>
  <c r="D28" i="54"/>
  <c r="E28" i="54"/>
  <c r="C33" i="54"/>
  <c r="D33" i="54"/>
  <c r="E33" i="54"/>
  <c r="B55" i="54"/>
  <c r="B56" i="54"/>
  <c r="B57" i="54"/>
  <c r="B64" i="54"/>
  <c r="B78" i="54"/>
  <c r="B84" i="54"/>
  <c r="B7" i="45"/>
  <c r="C7" i="45"/>
  <c r="B8" i="45"/>
  <c r="C8" i="45"/>
  <c r="B9" i="45"/>
  <c r="C9" i="45"/>
  <c r="G13" i="45"/>
  <c r="G14" i="45"/>
  <c r="H14" i="45"/>
  <c r="B18" i="45"/>
  <c r="E17" i="45"/>
  <c r="B19" i="45"/>
  <c r="B27" i="45"/>
  <c r="C27" i="45"/>
  <c r="B28" i="45"/>
  <c r="C28" i="45"/>
  <c r="B29" i="45"/>
  <c r="B30" i="45"/>
  <c r="C29" i="45"/>
  <c r="C31" i="45"/>
  <c r="B39" i="45"/>
  <c r="B49" i="45"/>
  <c r="B53" i="45"/>
  <c r="B54" i="45"/>
  <c r="B55" i="45"/>
  <c r="B5" i="53"/>
  <c r="B13" i="53"/>
  <c r="D12" i="53"/>
  <c r="D13" i="53"/>
  <c r="B39" i="53"/>
  <c r="B43" i="53"/>
  <c r="B44" i="53"/>
  <c r="B45" i="53"/>
  <c r="B5" i="69"/>
  <c r="B6" i="69"/>
  <c r="B13" i="69"/>
  <c r="B23" i="69"/>
  <c r="B22" i="69"/>
  <c r="B18" i="69"/>
  <c r="B36" i="69"/>
  <c r="B37" i="69"/>
  <c r="B41" i="69"/>
  <c r="B44" i="69"/>
  <c r="B49" i="69"/>
  <c r="B61" i="69"/>
  <c r="B66" i="69"/>
  <c r="C61" i="69"/>
  <c r="C62" i="69"/>
  <c r="D62" i="69"/>
  <c r="B70" i="69"/>
  <c r="D61" i="69"/>
  <c r="B65" i="69"/>
  <c r="B69" i="69"/>
  <c r="C3" i="40"/>
  <c r="C11" i="40"/>
  <c r="C26" i="40"/>
  <c r="C28" i="40"/>
  <c r="C4" i="40"/>
  <c r="C6" i="40"/>
  <c r="C7" i="40"/>
  <c r="C15" i="40"/>
  <c r="C34" i="40"/>
  <c r="B9" i="40"/>
  <c r="B11" i="40"/>
  <c r="B26" i="40"/>
  <c r="C9" i="40"/>
  <c r="B14" i="40"/>
  <c r="B48" i="40"/>
  <c r="B15" i="40"/>
  <c r="B32" i="40"/>
  <c r="B34" i="40"/>
  <c r="B18" i="40"/>
  <c r="B40" i="40"/>
  <c r="B41" i="40"/>
  <c r="C41" i="40"/>
  <c r="B55" i="40"/>
  <c r="B8" i="39"/>
  <c r="B9" i="39"/>
  <c r="C17" i="39"/>
  <c r="D17" i="39"/>
  <c r="C18" i="39"/>
  <c r="C19" i="39"/>
  <c r="D19" i="39"/>
  <c r="C20" i="39"/>
  <c r="D25" i="39"/>
  <c r="B27" i="39"/>
  <c r="B29" i="39"/>
  <c r="A42" i="39"/>
  <c r="A43" i="39"/>
  <c r="A53" i="39"/>
  <c r="B53" i="39"/>
  <c r="C53" i="39"/>
  <c r="B54" i="39"/>
  <c r="C54" i="39"/>
  <c r="B55" i="39"/>
  <c r="C55" i="39"/>
  <c r="B56" i="39"/>
  <c r="C56" i="39"/>
  <c r="B57" i="39"/>
  <c r="C57" i="39"/>
  <c r="B58" i="39"/>
  <c r="C58" i="39"/>
  <c r="B62" i="39"/>
  <c r="B63" i="39"/>
  <c r="B64" i="39"/>
  <c r="B65" i="39"/>
  <c r="B66" i="39"/>
  <c r="B6" i="38"/>
  <c r="B19" i="38"/>
  <c r="B13" i="38"/>
  <c r="D28" i="38"/>
  <c r="G28" i="38"/>
  <c r="I28" i="38"/>
  <c r="J28" i="38"/>
  <c r="B29" i="38"/>
  <c r="G29" i="38"/>
  <c r="I29" i="38"/>
  <c r="A29" i="38"/>
  <c r="A30" i="38"/>
  <c r="A31" i="38"/>
  <c r="A32" i="38"/>
  <c r="A33" i="38"/>
  <c r="G30" i="38"/>
  <c r="I30" i="38"/>
  <c r="G31" i="38"/>
  <c r="I31" i="38"/>
  <c r="G32" i="38"/>
  <c r="I32" i="38"/>
  <c r="G33" i="38"/>
  <c r="I33" i="38"/>
  <c r="C9" i="43"/>
  <c r="D9" i="43"/>
  <c r="E9" i="43"/>
  <c r="F9" i="43"/>
  <c r="G9" i="43"/>
  <c r="C15" i="43"/>
  <c r="D15" i="43"/>
  <c r="E15" i="43"/>
  <c r="F15" i="43"/>
  <c r="G15" i="43"/>
  <c r="B20" i="43"/>
  <c r="E18" i="43"/>
  <c r="C18" i="43"/>
  <c r="G18" i="43"/>
  <c r="B15" i="34"/>
  <c r="B16" i="34"/>
  <c r="B17" i="34"/>
  <c r="B21" i="34"/>
  <c r="B22" i="34"/>
  <c r="B27" i="34"/>
  <c r="B28" i="34"/>
  <c r="B29" i="34"/>
  <c r="C42" i="34"/>
  <c r="C46" i="34"/>
  <c r="E42" i="34"/>
  <c r="E46" i="34"/>
  <c r="C47" i="34"/>
  <c r="E47" i="34"/>
  <c r="B53" i="34"/>
  <c r="B54" i="34"/>
  <c r="B56" i="34"/>
  <c r="B66" i="34"/>
  <c r="B90" i="34"/>
  <c r="B65" i="34"/>
  <c r="B69" i="34"/>
  <c r="D70" i="34"/>
  <c r="B73" i="34"/>
  <c r="B74" i="34"/>
  <c r="B77" i="34"/>
  <c r="B70" i="34"/>
  <c r="B94" i="34"/>
  <c r="C5" i="33"/>
  <c r="E9" i="33"/>
  <c r="C18" i="33"/>
  <c r="C21" i="33"/>
  <c r="C23" i="33"/>
  <c r="C33" i="33"/>
  <c r="C36" i="33"/>
  <c r="C38" i="33"/>
  <c r="C39" i="33"/>
  <c r="C40" i="33"/>
  <c r="B5" i="32"/>
  <c r="B8" i="32"/>
  <c r="B16" i="32"/>
  <c r="B17" i="32"/>
  <c r="C16" i="32"/>
  <c r="C20" i="32"/>
  <c r="B20" i="32"/>
  <c r="B28" i="32"/>
  <c r="B38" i="32"/>
  <c r="B32" i="32"/>
  <c r="C32" i="32"/>
  <c r="C39" i="32"/>
  <c r="C66" i="32"/>
  <c r="C74" i="32"/>
  <c r="B78" i="32"/>
  <c r="C84" i="32"/>
  <c r="B84" i="32"/>
  <c r="B93" i="32"/>
  <c r="B97" i="32"/>
  <c r="B98" i="32"/>
  <c r="B109" i="32"/>
  <c r="B110" i="32"/>
  <c r="B120" i="32"/>
  <c r="B121" i="32"/>
  <c r="B125" i="32"/>
  <c r="B126" i="32"/>
  <c r="B127" i="32"/>
  <c r="B129" i="32"/>
  <c r="B131" i="32"/>
  <c r="B132" i="32"/>
  <c r="B133" i="32"/>
  <c r="B7" i="44"/>
  <c r="B12" i="44"/>
  <c r="C7" i="44"/>
  <c r="C12" i="44"/>
  <c r="B23" i="44"/>
  <c r="B41" i="44"/>
  <c r="C23" i="44"/>
  <c r="D23" i="44"/>
  <c r="D41" i="44"/>
  <c r="E23" i="44"/>
  <c r="E41" i="44"/>
  <c r="E40" i="44"/>
  <c r="E42" i="44"/>
  <c r="E43" i="44"/>
  <c r="F23" i="44"/>
  <c r="B29" i="44"/>
  <c r="B30" i="44"/>
  <c r="B40" i="44"/>
  <c r="C40" i="44"/>
  <c r="D40" i="44"/>
  <c r="F40" i="44"/>
  <c r="C41" i="44"/>
  <c r="F41" i="44"/>
  <c r="B42" i="44"/>
  <c r="C42" i="44"/>
  <c r="C43" i="44"/>
  <c r="D42" i="44"/>
  <c r="F42" i="44"/>
  <c r="B43" i="44"/>
  <c r="D43" i="44"/>
  <c r="F43" i="44"/>
  <c r="B65" i="44"/>
  <c r="B66" i="44"/>
  <c r="B70" i="44"/>
  <c r="B6" i="37"/>
  <c r="B10" i="37"/>
  <c r="I7" i="36"/>
  <c r="J7" i="36"/>
  <c r="K7" i="36"/>
  <c r="L7" i="36"/>
  <c r="M7" i="36"/>
  <c r="N7" i="36"/>
  <c r="O7" i="36"/>
  <c r="P7" i="36"/>
  <c r="Q7" i="36"/>
  <c r="R7" i="36"/>
  <c r="S7" i="36"/>
  <c r="T7" i="36"/>
  <c r="U7" i="36"/>
  <c r="V7" i="36"/>
  <c r="W7" i="36"/>
  <c r="X7" i="36"/>
  <c r="Y7" i="36"/>
  <c r="Z7" i="36"/>
  <c r="AA7" i="36"/>
  <c r="AB7" i="36"/>
  <c r="AC7" i="36"/>
  <c r="AD7" i="36"/>
  <c r="AE7" i="36"/>
  <c r="AF7" i="36"/>
  <c r="AG7" i="36"/>
  <c r="AH7" i="36"/>
  <c r="AI7" i="36"/>
  <c r="AJ7" i="36"/>
  <c r="AK7" i="36"/>
  <c r="AL7" i="36"/>
  <c r="AM7" i="36"/>
  <c r="AN7" i="36"/>
  <c r="AO7" i="36"/>
  <c r="AP7" i="36"/>
  <c r="AQ7" i="36"/>
  <c r="AR7" i="36"/>
  <c r="AS7" i="36"/>
  <c r="AT7" i="36"/>
  <c r="AU7" i="36"/>
  <c r="AV7" i="36"/>
  <c r="AW7" i="36"/>
  <c r="AX7" i="36"/>
  <c r="AY7" i="36"/>
  <c r="AZ7" i="36"/>
  <c r="BA7" i="36"/>
  <c r="BB7" i="36"/>
  <c r="BC7" i="36"/>
  <c r="BD7" i="36"/>
  <c r="BE7" i="36"/>
  <c r="BF7" i="36"/>
  <c r="BG7" i="36"/>
  <c r="BH7" i="36"/>
  <c r="BI7" i="36"/>
  <c r="BJ7" i="36"/>
  <c r="BK7" i="36"/>
  <c r="BL7" i="36"/>
  <c r="BM7" i="36"/>
  <c r="BN7" i="36"/>
  <c r="BO7" i="36"/>
  <c r="BP7" i="36"/>
  <c r="BQ7" i="36"/>
  <c r="BR7" i="36"/>
  <c r="BS7" i="36"/>
  <c r="BT7" i="36"/>
  <c r="BU7" i="36"/>
  <c r="BV7" i="36"/>
  <c r="BW7" i="36"/>
  <c r="BX7" i="36"/>
  <c r="BY7" i="36"/>
  <c r="BZ7" i="36"/>
  <c r="CA7" i="36"/>
  <c r="CB7" i="36"/>
  <c r="CC7" i="36"/>
  <c r="CD7" i="36"/>
  <c r="CE7" i="36"/>
  <c r="CF7" i="36"/>
  <c r="CG7" i="36"/>
  <c r="CH7" i="36"/>
  <c r="CI7" i="36"/>
  <c r="CJ7" i="36"/>
  <c r="CK7" i="36"/>
  <c r="CL7" i="36"/>
  <c r="CM7" i="36"/>
  <c r="CN7" i="36"/>
  <c r="CO7" i="36"/>
  <c r="CP7" i="36"/>
  <c r="CQ7" i="36"/>
  <c r="CR7" i="36"/>
  <c r="CS7" i="36"/>
  <c r="CT7" i="36"/>
  <c r="CU7" i="36"/>
  <c r="CV7" i="36"/>
  <c r="CW7" i="36"/>
  <c r="CX7" i="36"/>
  <c r="CY7" i="36"/>
  <c r="CZ7" i="36"/>
  <c r="DA7" i="36"/>
  <c r="DB7" i="36"/>
  <c r="DC7" i="36"/>
  <c r="DD7" i="36"/>
  <c r="DE7" i="36"/>
  <c r="DF7" i="36"/>
  <c r="DG7" i="36"/>
  <c r="DH7" i="36"/>
  <c r="DI7" i="36"/>
  <c r="DJ7" i="36"/>
  <c r="DK7" i="36"/>
  <c r="DL7" i="36"/>
  <c r="DM7" i="36"/>
  <c r="DN7" i="36"/>
  <c r="DO7" i="36"/>
  <c r="DP7" i="36"/>
  <c r="DQ7" i="36"/>
  <c r="DR7" i="36"/>
  <c r="DS7" i="36"/>
  <c r="DT7" i="36"/>
  <c r="DU7" i="36"/>
  <c r="DV7" i="36"/>
  <c r="DW7" i="36"/>
  <c r="DX7" i="36"/>
  <c r="DY7" i="36"/>
  <c r="DZ7" i="36"/>
  <c r="EA7" i="36"/>
  <c r="EB7" i="36"/>
  <c r="EC7" i="36"/>
  <c r="ED7" i="36"/>
  <c r="EE7" i="36"/>
  <c r="EF7" i="36"/>
  <c r="EG7" i="36"/>
  <c r="EH7" i="36"/>
  <c r="EI7" i="36"/>
  <c r="EJ7" i="36"/>
  <c r="EK7" i="36"/>
  <c r="EL7" i="36"/>
  <c r="EM7" i="36"/>
  <c r="EN7" i="36"/>
  <c r="EO7" i="36"/>
  <c r="EP7" i="36"/>
  <c r="EQ7" i="36"/>
  <c r="ER7" i="36"/>
  <c r="ES7" i="36"/>
  <c r="ET7" i="36"/>
  <c r="EU7" i="36"/>
  <c r="EV7" i="36"/>
  <c r="EW7" i="36"/>
  <c r="EX7" i="36"/>
  <c r="EY7" i="36"/>
  <c r="EZ7" i="36"/>
  <c r="FA7" i="36"/>
  <c r="FB7" i="36"/>
  <c r="FC7" i="36"/>
  <c r="FD7" i="36"/>
  <c r="FE7" i="36"/>
  <c r="FF7" i="36"/>
  <c r="FG7" i="36"/>
  <c r="FH7" i="36"/>
  <c r="FI7" i="36"/>
  <c r="FJ7" i="36"/>
  <c r="FK7" i="36"/>
  <c r="FL7" i="36"/>
  <c r="FM7" i="36"/>
  <c r="FN7" i="36"/>
  <c r="FO7" i="36"/>
  <c r="FP7" i="36"/>
  <c r="FQ7" i="36"/>
  <c r="FR7" i="36"/>
  <c r="FS7" i="36"/>
  <c r="FT7" i="36"/>
  <c r="FU7" i="36"/>
  <c r="FV7" i="36"/>
  <c r="FW7" i="36"/>
  <c r="FX7" i="36"/>
  <c r="FY7" i="36"/>
  <c r="FZ7" i="36"/>
  <c r="GA7" i="36"/>
  <c r="GB7" i="36"/>
  <c r="GC7" i="36"/>
  <c r="GD7" i="36"/>
  <c r="GE7" i="36"/>
  <c r="GF7" i="36"/>
  <c r="GG7" i="36"/>
  <c r="GH7" i="36"/>
  <c r="GI7" i="36"/>
  <c r="GJ7" i="36"/>
  <c r="GK7" i="36"/>
  <c r="GL7" i="36"/>
  <c r="GM7" i="36"/>
  <c r="GN7" i="36"/>
  <c r="GO7" i="36"/>
  <c r="GP7" i="36"/>
  <c r="GQ7" i="36"/>
  <c r="GR7" i="36"/>
  <c r="GS7" i="36"/>
  <c r="GT7" i="36"/>
  <c r="GU7" i="36"/>
  <c r="GV7" i="36"/>
  <c r="GW7" i="36"/>
  <c r="GX7" i="36"/>
  <c r="GY7" i="36"/>
  <c r="GZ7" i="36"/>
  <c r="HA7" i="36"/>
  <c r="HB7" i="36"/>
  <c r="HC7" i="36"/>
  <c r="HD7" i="36"/>
  <c r="HE7" i="36"/>
  <c r="HF7" i="36"/>
  <c r="HG7" i="36"/>
  <c r="HH7" i="36"/>
  <c r="HI7" i="36"/>
  <c r="HJ7" i="36"/>
  <c r="HK7" i="36"/>
  <c r="HL7" i="36"/>
  <c r="HM7" i="36"/>
  <c r="HN7" i="36"/>
  <c r="HO7" i="36"/>
  <c r="HP7" i="36"/>
  <c r="HQ7" i="36"/>
  <c r="HR7" i="36"/>
  <c r="HS7" i="36"/>
  <c r="HT7" i="36"/>
  <c r="HU7" i="36"/>
  <c r="HV7" i="36"/>
  <c r="HW7" i="36"/>
  <c r="HX7" i="36"/>
  <c r="HY7" i="36"/>
  <c r="HZ7" i="36"/>
  <c r="IA7" i="36"/>
  <c r="IB7" i="36"/>
  <c r="IC7" i="36"/>
  <c r="ID7" i="36"/>
  <c r="IE7" i="36"/>
  <c r="IF7" i="36"/>
  <c r="IG7" i="36"/>
  <c r="IH7" i="36"/>
  <c r="II7" i="36"/>
  <c r="IJ7" i="36"/>
  <c r="IK7" i="36"/>
  <c r="IL7" i="36"/>
  <c r="IM7" i="36"/>
  <c r="IN7" i="36"/>
  <c r="IO7" i="36"/>
  <c r="IP7" i="36"/>
  <c r="IQ7" i="36"/>
  <c r="IR7" i="36"/>
  <c r="IS7" i="36"/>
  <c r="IT7" i="36"/>
  <c r="IU7" i="36"/>
  <c r="IV7" i="36"/>
  <c r="B10" i="36"/>
  <c r="B20" i="36"/>
  <c r="B22" i="36"/>
  <c r="B30" i="36"/>
  <c r="B28" i="36"/>
  <c r="B29" i="36"/>
  <c r="B31" i="36"/>
  <c r="B42" i="36"/>
  <c r="C42" i="36"/>
  <c r="D42" i="36"/>
  <c r="B54" i="36"/>
  <c r="B59" i="36"/>
  <c r="B63" i="36"/>
  <c r="B64" i="36"/>
  <c r="C63" i="36"/>
  <c r="D83" i="36"/>
  <c r="E83" i="36"/>
  <c r="B84" i="36"/>
  <c r="D84" i="36"/>
  <c r="B85" i="36"/>
  <c r="B13" i="35"/>
  <c r="B17" i="35"/>
  <c r="J13" i="35"/>
  <c r="J14" i="35"/>
  <c r="J16" i="35"/>
  <c r="C15" i="35"/>
  <c r="J15" i="35"/>
  <c r="J17" i="35"/>
  <c r="C14" i="35"/>
  <c r="D14" i="35"/>
  <c r="D19" i="35"/>
  <c r="D16" i="35"/>
  <c r="E14" i="35"/>
  <c r="F14" i="35"/>
  <c r="F19" i="35"/>
  <c r="F16" i="35"/>
  <c r="G14" i="35"/>
  <c r="H14" i="35"/>
  <c r="H16" i="35"/>
  <c r="H17" i="35"/>
  <c r="I14" i="35"/>
  <c r="I16" i="35"/>
  <c r="I17" i="35"/>
  <c r="C19" i="35"/>
  <c r="C16" i="35"/>
  <c r="E19" i="35"/>
  <c r="E16" i="35"/>
  <c r="E17" i="35"/>
  <c r="G19" i="35"/>
  <c r="G16" i="35"/>
  <c r="C17" i="35"/>
  <c r="G17" i="35"/>
  <c r="C46" i="35"/>
  <c r="D46" i="35"/>
  <c r="E46" i="35"/>
  <c r="F46" i="35"/>
  <c r="G46" i="35"/>
  <c r="B47" i="35"/>
  <c r="B54" i="35"/>
  <c r="B48" i="35"/>
  <c r="B51" i="35"/>
  <c r="B52" i="35"/>
  <c r="G47" i="35"/>
  <c r="G49" i="35"/>
  <c r="G55" i="35"/>
  <c r="G50" i="35"/>
  <c r="G52" i="35"/>
  <c r="C49" i="35"/>
  <c r="C55" i="35"/>
  <c r="D49" i="35"/>
  <c r="D55" i="35"/>
  <c r="D50" i="35"/>
  <c r="D52" i="35"/>
  <c r="E49" i="35"/>
  <c r="E55" i="35"/>
  <c r="E50" i="35"/>
  <c r="E52" i="35"/>
  <c r="F49" i="35"/>
  <c r="F55" i="35"/>
  <c r="F50" i="35"/>
  <c r="F52" i="35"/>
  <c r="C64" i="35"/>
  <c r="C67" i="35"/>
  <c r="D64" i="35"/>
  <c r="B67" i="35"/>
  <c r="C73" i="35"/>
  <c r="D73" i="35"/>
  <c r="D76" i="35"/>
  <c r="E73" i="35"/>
  <c r="F73" i="35"/>
  <c r="G73" i="35"/>
  <c r="B76" i="35"/>
  <c r="C76" i="35"/>
  <c r="C90" i="35"/>
  <c r="D90" i="35"/>
  <c r="E90" i="35"/>
  <c r="F90" i="35"/>
  <c r="G90" i="35"/>
  <c r="H90" i="35"/>
  <c r="I90" i="35"/>
  <c r="J90" i="35"/>
  <c r="K90" i="35"/>
  <c r="L90" i="35"/>
  <c r="B91" i="35"/>
  <c r="B92" i="35"/>
  <c r="B94" i="35"/>
  <c r="C96" i="35"/>
  <c r="D96" i="35"/>
  <c r="E96" i="35"/>
  <c r="F96" i="35"/>
  <c r="C93" i="35"/>
  <c r="C94" i="35"/>
  <c r="D93" i="35"/>
  <c r="D94" i="35"/>
  <c r="E93" i="35"/>
  <c r="E94" i="35"/>
  <c r="F93" i="35"/>
  <c r="F94" i="35"/>
  <c r="G93" i="35"/>
  <c r="G94" i="35"/>
  <c r="H93" i="35"/>
  <c r="H94" i="35"/>
  <c r="I93" i="35"/>
  <c r="I94" i="35"/>
  <c r="J93" i="35"/>
  <c r="J94" i="35"/>
  <c r="K93" i="35"/>
  <c r="K94" i="35"/>
  <c r="L93" i="35"/>
  <c r="L94" i="35"/>
  <c r="C121" i="35"/>
  <c r="D121" i="35"/>
  <c r="E121" i="35"/>
  <c r="F121" i="35"/>
  <c r="G121" i="35"/>
  <c r="H121" i="35"/>
  <c r="I121" i="35"/>
  <c r="J121" i="35"/>
  <c r="K121" i="35"/>
  <c r="L121" i="35"/>
  <c r="B122" i="35"/>
  <c r="C123" i="35"/>
  <c r="C127" i="35"/>
  <c r="C124" i="35"/>
  <c r="C125" i="35"/>
  <c r="D123" i="35"/>
  <c r="E123" i="35"/>
  <c r="E127" i="35"/>
  <c r="E124" i="35"/>
  <c r="F123" i="35"/>
  <c r="G123" i="35"/>
  <c r="H123" i="35"/>
  <c r="H127" i="35"/>
  <c r="H124" i="35"/>
  <c r="I123" i="35"/>
  <c r="I127" i="35"/>
  <c r="I124" i="35"/>
  <c r="J123" i="35"/>
  <c r="J127" i="35"/>
  <c r="J124" i="35"/>
  <c r="J125" i="35"/>
  <c r="K123" i="35"/>
  <c r="K127" i="35"/>
  <c r="K124" i="35"/>
  <c r="L123" i="35"/>
  <c r="L127" i="35"/>
  <c r="L124" i="35"/>
  <c r="D127" i="35"/>
  <c r="D124" i="35"/>
  <c r="F127" i="35"/>
  <c r="F124" i="35"/>
  <c r="F125" i="35"/>
  <c r="G127" i="35"/>
  <c r="B125" i="35"/>
  <c r="I125" i="35"/>
  <c r="B155" i="35"/>
  <c r="D158" i="35"/>
  <c r="E158" i="35"/>
  <c r="F158" i="35"/>
  <c r="G158" i="35"/>
  <c r="A159" i="35"/>
  <c r="B159" i="35"/>
  <c r="C160" i="35"/>
  <c r="E160" i="35"/>
  <c r="F160" i="35"/>
  <c r="F161" i="35"/>
  <c r="F162" i="35"/>
  <c r="G160" i="35"/>
  <c r="I160" i="35"/>
  <c r="I161" i="35"/>
  <c r="I162" i="35"/>
  <c r="J160" i="35"/>
  <c r="K160" i="35"/>
  <c r="K161" i="35"/>
  <c r="K162" i="35"/>
  <c r="M160" i="35"/>
  <c r="N160" i="35"/>
  <c r="O160" i="35"/>
  <c r="Q160" i="35"/>
  <c r="Q161" i="35"/>
  <c r="Q162" i="35"/>
  <c r="R160" i="35"/>
  <c r="S160" i="35"/>
  <c r="U160" i="35"/>
  <c r="V160" i="35"/>
  <c r="V161" i="35"/>
  <c r="V162" i="35"/>
  <c r="W160" i="35"/>
  <c r="Y160" i="35"/>
  <c r="Y161" i="35"/>
  <c r="Y162" i="35"/>
  <c r="Z160" i="35"/>
  <c r="AA160" i="35"/>
  <c r="AC160" i="35"/>
  <c r="AD160" i="35"/>
  <c r="AD161" i="35"/>
  <c r="AD162" i="35"/>
  <c r="AE160" i="35"/>
  <c r="C161" i="35"/>
  <c r="D161" i="35"/>
  <c r="E161" i="35"/>
  <c r="E162" i="35"/>
  <c r="G161" i="35"/>
  <c r="H161" i="35"/>
  <c r="J161" i="35"/>
  <c r="J162" i="35"/>
  <c r="L161" i="35"/>
  <c r="M161" i="35"/>
  <c r="M162" i="35"/>
  <c r="N161" i="35"/>
  <c r="N162" i="35"/>
  <c r="O161" i="35"/>
  <c r="O162" i="35"/>
  <c r="P161" i="35"/>
  <c r="R161" i="35"/>
  <c r="R162" i="35"/>
  <c r="S161" i="35"/>
  <c r="T161" i="35"/>
  <c r="U161" i="35"/>
  <c r="U162" i="35"/>
  <c r="W161" i="35"/>
  <c r="X161" i="35"/>
  <c r="Z161" i="35"/>
  <c r="AA161" i="35"/>
  <c r="AB161" i="35"/>
  <c r="AC161" i="35"/>
  <c r="AC162" i="35"/>
  <c r="AE161" i="35"/>
  <c r="AE162" i="35"/>
  <c r="AF161" i="35"/>
  <c r="B162" i="35"/>
  <c r="B175" i="35"/>
  <c r="Z162" i="35"/>
  <c r="C165" i="35"/>
  <c r="D165" i="35"/>
  <c r="D166" i="35"/>
  <c r="D167" i="35"/>
  <c r="D168" i="35"/>
  <c r="E165" i="35"/>
  <c r="F165" i="35"/>
  <c r="G165" i="35"/>
  <c r="H165" i="35"/>
  <c r="I165" i="35"/>
  <c r="J165" i="35"/>
  <c r="K165" i="35"/>
  <c r="L165" i="35"/>
  <c r="M165" i="35"/>
  <c r="N165" i="35"/>
  <c r="O165" i="35"/>
  <c r="P165" i="35"/>
  <c r="Q165" i="35"/>
  <c r="R165" i="35"/>
  <c r="S165" i="35"/>
  <c r="T165" i="35"/>
  <c r="U165" i="35"/>
  <c r="V165" i="35"/>
  <c r="W165" i="35"/>
  <c r="X165" i="35"/>
  <c r="Y165" i="35"/>
  <c r="Z165" i="35"/>
  <c r="AA165" i="35"/>
  <c r="AB165" i="35"/>
  <c r="AC165" i="35"/>
  <c r="AD165" i="35"/>
  <c r="AE165" i="35"/>
  <c r="AF165" i="35"/>
  <c r="C166" i="35"/>
  <c r="E166" i="35"/>
  <c r="E167" i="35"/>
  <c r="E168" i="35"/>
  <c r="F167" i="35"/>
  <c r="G167" i="35"/>
  <c r="H167" i="35"/>
  <c r="I167" i="35"/>
  <c r="J167" i="35"/>
  <c r="K167" i="35"/>
  <c r="L167" i="35"/>
  <c r="M167" i="35"/>
  <c r="N167" i="35"/>
  <c r="O167" i="35"/>
  <c r="P167" i="35"/>
  <c r="Q167" i="35"/>
  <c r="R167" i="35"/>
  <c r="S167" i="35"/>
  <c r="T167" i="35"/>
  <c r="U167" i="35"/>
  <c r="V167" i="35"/>
  <c r="W167" i="35"/>
  <c r="X167" i="35"/>
  <c r="Y167" i="35"/>
  <c r="Z167" i="35"/>
  <c r="AA167" i="35"/>
  <c r="AB167" i="35"/>
  <c r="AC167" i="35"/>
  <c r="AD167" i="35"/>
  <c r="AE167" i="35"/>
  <c r="AF167" i="35"/>
  <c r="C168" i="35"/>
  <c r="B170" i="35"/>
  <c r="B200" i="35"/>
  <c r="B202" i="35"/>
  <c r="B226" i="35"/>
  <c r="B227" i="35"/>
  <c r="B209" i="35"/>
  <c r="B216" i="35"/>
  <c r="B213" i="35"/>
  <c r="C219" i="35"/>
  <c r="D219" i="35"/>
  <c r="E219" i="35"/>
  <c r="F219" i="35"/>
  <c r="G219" i="35"/>
  <c r="G224" i="35"/>
  <c r="G225" i="35"/>
  <c r="G227" i="35"/>
  <c r="H219" i="35"/>
  <c r="I219" i="35"/>
  <c r="D221" i="35"/>
  <c r="E221" i="35"/>
  <c r="F221" i="35"/>
  <c r="G221" i="35"/>
  <c r="H221" i="35"/>
  <c r="I221" i="35"/>
  <c r="J223" i="35"/>
  <c r="C224" i="35"/>
  <c r="C225" i="35"/>
  <c r="C227" i="35"/>
  <c r="D224" i="35"/>
  <c r="E224" i="35"/>
  <c r="E225" i="35"/>
  <c r="E227" i="35"/>
  <c r="F224" i="35"/>
  <c r="H224" i="35"/>
  <c r="I224" i="35"/>
  <c r="I225" i="35"/>
  <c r="I227" i="35"/>
  <c r="I232" i="35"/>
  <c r="J227" i="35"/>
  <c r="J232" i="35"/>
  <c r="D261" i="35"/>
  <c r="E261" i="35"/>
  <c r="F261" i="35"/>
  <c r="G261" i="35"/>
  <c r="B262" i="35"/>
  <c r="B263" i="35"/>
  <c r="B271" i="35"/>
  <c r="C265" i="35"/>
  <c r="C271" i="35"/>
  <c r="D265" i="35"/>
  <c r="D271" i="35"/>
  <c r="G263" i="35"/>
  <c r="C264" i="35"/>
  <c r="C266" i="35"/>
  <c r="D264" i="35"/>
  <c r="E264" i="35"/>
  <c r="E265" i="35"/>
  <c r="E266" i="35"/>
  <c r="E267" i="35"/>
  <c r="E268" i="35"/>
  <c r="F264" i="35"/>
  <c r="G264" i="35"/>
  <c r="G265" i="35"/>
  <c r="G266" i="35"/>
  <c r="G267" i="35"/>
  <c r="G268" i="35"/>
  <c r="D266" i="35"/>
  <c r="F265" i="35"/>
  <c r="F266" i="35"/>
  <c r="D277" i="35"/>
  <c r="E277" i="35"/>
  <c r="F277" i="35"/>
  <c r="G277" i="35"/>
  <c r="B278" i="35"/>
  <c r="B279" i="35"/>
  <c r="B284" i="35"/>
  <c r="G279" i="35"/>
  <c r="C280" i="35"/>
  <c r="D280" i="35"/>
  <c r="E280" i="35"/>
  <c r="E281" i="35"/>
  <c r="E282" i="35"/>
  <c r="E283" i="35"/>
  <c r="E284" i="35"/>
  <c r="F280" i="35"/>
  <c r="G280" i="35"/>
  <c r="C281" i="35"/>
  <c r="D281" i="35"/>
  <c r="F281" i="35"/>
  <c r="G281" i="35"/>
  <c r="F282" i="35"/>
  <c r="B4" i="52"/>
  <c r="C5" i="52"/>
  <c r="B7" i="52"/>
  <c r="C7" i="52"/>
  <c r="B9" i="52"/>
  <c r="B10" i="52"/>
  <c r="B11" i="52"/>
  <c r="B12" i="52"/>
  <c r="B14" i="52"/>
  <c r="B15" i="52"/>
  <c r="B16" i="52"/>
  <c r="B4" i="31"/>
  <c r="B12" i="31"/>
  <c r="C12" i="31"/>
  <c r="B33" i="31"/>
  <c r="C33" i="31"/>
  <c r="C36" i="31"/>
  <c r="C37" i="31"/>
  <c r="C39" i="31"/>
  <c r="C38" i="31"/>
  <c r="C40" i="31"/>
  <c r="C41" i="31"/>
  <c r="C42" i="31"/>
  <c r="C43" i="31"/>
  <c r="B37" i="31"/>
  <c r="B38" i="31"/>
  <c r="B42" i="31"/>
  <c r="C46" i="31"/>
  <c r="C47" i="31"/>
  <c r="C49" i="31"/>
  <c r="C48" i="31"/>
  <c r="C50" i="31"/>
  <c r="C51" i="31"/>
  <c r="B47" i="31"/>
  <c r="B48" i="31"/>
  <c r="B49" i="31"/>
  <c r="B50" i="31"/>
  <c r="B51" i="31"/>
  <c r="B52" i="31"/>
  <c r="B53" i="31"/>
  <c r="C52" i="31"/>
  <c r="C53" i="31"/>
  <c r="D53" i="31"/>
  <c r="C56" i="31"/>
  <c r="C57" i="31"/>
  <c r="C59" i="31"/>
  <c r="C58" i="31"/>
  <c r="C60" i="31"/>
  <c r="C61" i="31"/>
  <c r="C62" i="31"/>
  <c r="C63" i="31"/>
  <c r="B57" i="31"/>
  <c r="B58" i="31"/>
  <c r="B59" i="31"/>
  <c r="B60" i="31"/>
  <c r="B61" i="31"/>
  <c r="B62" i="31"/>
  <c r="B63" i="31"/>
  <c r="D63" i="31"/>
  <c r="B10" i="51"/>
  <c r="B16" i="51"/>
  <c r="B33" i="51"/>
  <c r="C33" i="51"/>
  <c r="B12" i="51"/>
  <c r="B14" i="51"/>
  <c r="B19" i="51"/>
  <c r="B20" i="51"/>
  <c r="B21" i="51"/>
  <c r="F19" i="51"/>
  <c r="F20" i="51"/>
  <c r="F21" i="51"/>
  <c r="B43" i="51"/>
  <c r="A37" i="51"/>
  <c r="A43" i="51"/>
  <c r="C43" i="51"/>
  <c r="B27" i="51"/>
  <c r="C27" i="51"/>
  <c r="B37" i="51"/>
  <c r="C37" i="51"/>
  <c r="C45" i="51"/>
  <c r="B3" i="41"/>
  <c r="C3" i="41"/>
  <c r="D3" i="41"/>
  <c r="C4" i="41"/>
  <c r="D4" i="41"/>
  <c r="C13" i="41"/>
  <c r="D13" i="41"/>
  <c r="C7" i="41"/>
  <c r="D7" i="41"/>
  <c r="D10" i="41"/>
  <c r="C5" i="41"/>
  <c r="D5" i="41"/>
  <c r="D16" i="41"/>
  <c r="B6" i="41"/>
  <c r="C6" i="41"/>
  <c r="D6" i="41"/>
  <c r="C8" i="41"/>
  <c r="D8" i="41"/>
  <c r="C9" i="41"/>
  <c r="D9" i="41"/>
  <c r="D11" i="41"/>
  <c r="C14" i="41"/>
  <c r="D14" i="41"/>
  <c r="D19" i="41"/>
  <c r="C15" i="30"/>
  <c r="B18" i="30"/>
  <c r="C18" i="30"/>
  <c r="C27" i="30"/>
  <c r="B19" i="30"/>
  <c r="B21" i="30"/>
  <c r="C19" i="30"/>
  <c r="C29" i="30"/>
  <c r="C21" i="30"/>
  <c r="C40" i="30"/>
  <c r="C49" i="30"/>
  <c r="C41" i="30"/>
  <c r="B9" i="29"/>
  <c r="B11" i="29"/>
  <c r="C9" i="29"/>
  <c r="C11" i="29"/>
  <c r="D9" i="29"/>
  <c r="D11" i="29"/>
  <c r="E9" i="29"/>
  <c r="E11" i="29"/>
  <c r="F9" i="29"/>
  <c r="F11" i="29"/>
  <c r="A30" i="29"/>
  <c r="E30" i="29"/>
  <c r="A31" i="29"/>
  <c r="E31" i="29"/>
  <c r="H31" i="29"/>
  <c r="A32" i="29"/>
  <c r="E32" i="29"/>
  <c r="H32" i="29"/>
  <c r="D41" i="29"/>
  <c r="D44" i="29"/>
  <c r="C42" i="29"/>
  <c r="C45" i="29"/>
  <c r="B44" i="29"/>
  <c r="C44" i="29"/>
  <c r="E44" i="29"/>
  <c r="B45" i="29"/>
  <c r="D45" i="29"/>
  <c r="E45" i="29"/>
  <c r="B12" i="60"/>
  <c r="C12" i="60"/>
  <c r="C18" i="60"/>
  <c r="D12" i="60"/>
  <c r="D30" i="60"/>
  <c r="E12" i="60"/>
  <c r="E13" i="60"/>
  <c r="F12" i="60"/>
  <c r="G12" i="60"/>
  <c r="H12" i="60"/>
  <c r="I12" i="60"/>
  <c r="B13" i="60"/>
  <c r="C13" i="60"/>
  <c r="D13" i="60"/>
  <c r="F13" i="60"/>
  <c r="H13" i="60"/>
  <c r="B18" i="60"/>
  <c r="D18" i="60"/>
  <c r="F18" i="60"/>
  <c r="B21" i="60"/>
  <c r="D21" i="60"/>
  <c r="F21" i="60"/>
  <c r="D26" i="60"/>
  <c r="F26" i="60"/>
  <c r="H26" i="60"/>
  <c r="F30" i="60"/>
  <c r="D33" i="60"/>
  <c r="F33" i="60"/>
  <c r="H33" i="60"/>
  <c r="B44" i="60"/>
  <c r="C44" i="60"/>
  <c r="D44" i="60"/>
  <c r="E44" i="60"/>
  <c r="F44" i="60"/>
  <c r="G44" i="60"/>
  <c r="H44" i="60"/>
  <c r="I44" i="60"/>
  <c r="J44" i="60"/>
  <c r="B47" i="60"/>
  <c r="C47" i="60"/>
  <c r="D47" i="60"/>
  <c r="E47" i="60"/>
  <c r="F47" i="60"/>
  <c r="G47" i="60"/>
  <c r="H47" i="60"/>
  <c r="I47" i="60"/>
  <c r="J47" i="60"/>
  <c r="E62" i="60"/>
  <c r="F62" i="60"/>
  <c r="A63" i="60"/>
  <c r="A64" i="60"/>
  <c r="A65" i="60"/>
  <c r="A66" i="60"/>
  <c r="A67" i="60"/>
  <c r="A68" i="60"/>
  <c r="B63" i="60"/>
  <c r="E63" i="60"/>
  <c r="F63" i="60"/>
  <c r="B64" i="60"/>
  <c r="E64" i="60"/>
  <c r="F64" i="60"/>
  <c r="B73" i="60"/>
  <c r="C73" i="60"/>
  <c r="D73" i="60"/>
  <c r="D74" i="60"/>
  <c r="D75" i="60"/>
  <c r="E73" i="60"/>
  <c r="F73" i="60"/>
  <c r="G73" i="60"/>
  <c r="H73" i="60"/>
  <c r="H74" i="60"/>
  <c r="I73" i="60"/>
  <c r="C74" i="60"/>
  <c r="C75" i="60"/>
  <c r="F74" i="60"/>
  <c r="B7" i="26"/>
  <c r="B26" i="26"/>
  <c r="B27" i="26"/>
  <c r="B35" i="26"/>
  <c r="C35" i="26"/>
  <c r="C37" i="26"/>
  <c r="C38" i="26"/>
  <c r="B37" i="26"/>
  <c r="B38" i="26"/>
  <c r="E47" i="26"/>
  <c r="F47" i="26"/>
  <c r="E48" i="26"/>
  <c r="F48" i="26"/>
  <c r="E49" i="26"/>
  <c r="E50" i="26"/>
  <c r="E51" i="26"/>
  <c r="B7" i="25"/>
  <c r="B13" i="25"/>
  <c r="B15" i="25"/>
  <c r="B29" i="25"/>
  <c r="B30" i="25"/>
  <c r="D24" i="25"/>
  <c r="D25" i="25"/>
  <c r="B25" i="25"/>
  <c r="B27" i="25"/>
  <c r="B26" i="25"/>
  <c r="C25" i="25"/>
  <c r="C26" i="25"/>
  <c r="E25" i="25"/>
  <c r="F25" i="25"/>
  <c r="F27" i="25"/>
  <c r="F26" i="25"/>
  <c r="G25" i="25"/>
  <c r="H25" i="25"/>
  <c r="H26" i="25"/>
  <c r="I25" i="25"/>
  <c r="J25" i="25"/>
  <c r="J26" i="25"/>
  <c r="K25" i="25"/>
  <c r="K26" i="25"/>
  <c r="L25" i="25"/>
  <c r="L26" i="25"/>
  <c r="E26" i="25"/>
  <c r="G26" i="25"/>
  <c r="C27" i="25"/>
  <c r="E27" i="25"/>
  <c r="G27" i="25"/>
  <c r="H27" i="25"/>
  <c r="K27" i="25"/>
  <c r="L27" i="25"/>
  <c r="D53" i="25"/>
  <c r="D54" i="25"/>
  <c r="D55" i="25"/>
  <c r="B54" i="25"/>
  <c r="B55" i="25"/>
  <c r="C54" i="25"/>
  <c r="E54" i="25"/>
  <c r="F54" i="25"/>
  <c r="F56" i="25"/>
  <c r="F55" i="25"/>
  <c r="G54" i="25"/>
  <c r="H54" i="25"/>
  <c r="C55" i="25"/>
  <c r="G55" i="25"/>
  <c r="B56" i="25"/>
  <c r="C56" i="25"/>
  <c r="G56" i="25"/>
  <c r="B7" i="24"/>
  <c r="C29" i="24"/>
  <c r="D29" i="24"/>
  <c r="E29" i="24"/>
  <c r="F29" i="24"/>
  <c r="G29" i="24"/>
  <c r="H29" i="24"/>
  <c r="I29" i="24"/>
  <c r="J29" i="24"/>
  <c r="K29" i="24"/>
  <c r="L29" i="24"/>
  <c r="C35" i="24"/>
  <c r="D35" i="24"/>
  <c r="E35" i="24"/>
  <c r="F35" i="24"/>
  <c r="G35" i="24"/>
  <c r="H35" i="24"/>
  <c r="I35" i="24"/>
  <c r="J35" i="24"/>
  <c r="K35" i="24"/>
  <c r="L35" i="24"/>
  <c r="C36" i="24"/>
  <c r="D36" i="24"/>
  <c r="E36" i="24"/>
  <c r="F36" i="24"/>
  <c r="G36" i="24"/>
  <c r="H36" i="24"/>
  <c r="I36" i="24"/>
  <c r="J36" i="24"/>
  <c r="K36" i="24"/>
  <c r="L36" i="24"/>
  <c r="B41" i="24"/>
  <c r="C37" i="24"/>
  <c r="D37" i="24"/>
  <c r="E37" i="24"/>
  <c r="F37" i="24"/>
  <c r="G37" i="24"/>
  <c r="H37" i="24"/>
  <c r="I37" i="24"/>
  <c r="J37" i="24"/>
  <c r="K37" i="24"/>
  <c r="L37" i="24"/>
  <c r="B4" i="23"/>
  <c r="B5" i="23"/>
  <c r="B6" i="23"/>
  <c r="B13" i="23"/>
  <c r="B20" i="23"/>
  <c r="B28" i="23"/>
  <c r="B29" i="23"/>
  <c r="C46" i="23"/>
  <c r="D46" i="23"/>
  <c r="B47" i="23"/>
  <c r="C47" i="23"/>
  <c r="B48" i="23"/>
  <c r="C48" i="23"/>
  <c r="B65" i="23"/>
  <c r="B70" i="23"/>
  <c r="B77" i="23"/>
  <c r="B78" i="23"/>
  <c r="B87" i="23"/>
  <c r="E87" i="23"/>
  <c r="D87" i="23"/>
  <c r="B88" i="23"/>
  <c r="E88" i="23"/>
  <c r="A88" i="23"/>
  <c r="A89" i="23"/>
  <c r="A90" i="23"/>
  <c r="C88" i="23"/>
  <c r="B96" i="23"/>
  <c r="E96" i="23"/>
  <c r="C96" i="23"/>
  <c r="A97" i="23"/>
  <c r="B97" i="23"/>
  <c r="E97" i="23"/>
  <c r="D97" i="23"/>
  <c r="A98" i="23"/>
  <c r="A99" i="23"/>
  <c r="B111" i="23"/>
  <c r="C111" i="23"/>
  <c r="C112" i="23"/>
  <c r="C113" i="23"/>
  <c r="C114" i="23"/>
  <c r="C115" i="23"/>
  <c r="C116" i="23"/>
  <c r="C117" i="23"/>
  <c r="C118" i="23"/>
  <c r="C119" i="23"/>
  <c r="C120" i="23"/>
  <c r="C121" i="23"/>
  <c r="B112" i="23"/>
  <c r="A113" i="23"/>
  <c r="B113" i="23"/>
  <c r="B114" i="23"/>
  <c r="B115" i="23"/>
  <c r="B116" i="23"/>
  <c r="B117" i="23"/>
  <c r="B118" i="23"/>
  <c r="B119" i="23"/>
  <c r="B120" i="23"/>
  <c r="B121" i="23"/>
  <c r="A114" i="23"/>
  <c r="A115" i="23"/>
  <c r="A116" i="23"/>
  <c r="A117" i="23"/>
  <c r="A118" i="23"/>
  <c r="A119" i="23"/>
  <c r="A120" i="23"/>
  <c r="A121" i="23"/>
  <c r="B133" i="23"/>
  <c r="C133" i="23"/>
  <c r="B134" i="23"/>
  <c r="C134" i="23"/>
  <c r="A135" i="23"/>
  <c r="A136" i="23"/>
  <c r="A137" i="23"/>
  <c r="A138" i="23"/>
  <c r="A139" i="23"/>
  <c r="A140" i="23"/>
  <c r="A141" i="23"/>
  <c r="A142" i="23"/>
  <c r="A143" i="23"/>
  <c r="B135" i="23"/>
  <c r="C135" i="23"/>
  <c r="B136" i="23"/>
  <c r="C136" i="23"/>
  <c r="B137" i="23"/>
  <c r="C137" i="23"/>
  <c r="B138" i="23"/>
  <c r="C138" i="23"/>
  <c r="B139" i="23"/>
  <c r="C139" i="23"/>
  <c r="B140" i="23"/>
  <c r="C140" i="23"/>
  <c r="B141" i="23"/>
  <c r="C141" i="23"/>
  <c r="B142" i="23"/>
  <c r="C142" i="23"/>
  <c r="C143" i="23"/>
  <c r="B155" i="23"/>
  <c r="A156" i="23"/>
  <c r="A157" i="23"/>
  <c r="A158" i="23"/>
  <c r="A159" i="23"/>
  <c r="A160" i="23"/>
  <c r="A161" i="23"/>
  <c r="A162" i="23"/>
  <c r="A163" i="23"/>
  <c r="A164" i="23"/>
  <c r="A165" i="23"/>
  <c r="A166" i="23"/>
  <c r="A167" i="23"/>
  <c r="A168" i="23"/>
  <c r="A169" i="23"/>
  <c r="A170" i="23"/>
  <c r="A171" i="23"/>
  <c r="A172" i="23"/>
  <c r="A173" i="23"/>
  <c r="A174" i="23"/>
  <c r="A175" i="23"/>
  <c r="B156" i="23"/>
  <c r="C156" i="23"/>
  <c r="B157" i="23"/>
  <c r="C157" i="23"/>
  <c r="B158" i="23"/>
  <c r="C158" i="23"/>
  <c r="B159" i="23"/>
  <c r="C159" i="23"/>
  <c r="B160" i="23"/>
  <c r="C160" i="23"/>
  <c r="B161" i="23"/>
  <c r="C161" i="23"/>
  <c r="B162" i="23"/>
  <c r="C162" i="23"/>
  <c r="B163" i="23"/>
  <c r="C163" i="23"/>
  <c r="B164" i="23"/>
  <c r="C164" i="23"/>
  <c r="B165" i="23"/>
  <c r="C165" i="23"/>
  <c r="B166" i="23"/>
  <c r="C166" i="23"/>
  <c r="B167" i="23"/>
  <c r="C167" i="23"/>
  <c r="B168" i="23"/>
  <c r="C168" i="23"/>
  <c r="B169" i="23"/>
  <c r="C169" i="23"/>
  <c r="B170" i="23"/>
  <c r="C170" i="23"/>
  <c r="B171" i="23"/>
  <c r="C171" i="23"/>
  <c r="B172" i="23"/>
  <c r="C172" i="23"/>
  <c r="B173" i="23"/>
  <c r="C173" i="23"/>
  <c r="B174" i="23"/>
  <c r="C174" i="23"/>
  <c r="B175" i="23"/>
  <c r="C175" i="23"/>
  <c r="B178" i="23"/>
  <c r="B179" i="23"/>
  <c r="C183" i="23"/>
  <c r="D183" i="23"/>
  <c r="E183" i="23"/>
  <c r="F183" i="23"/>
  <c r="B188" i="23"/>
  <c r="C188" i="23"/>
  <c r="D193" i="23"/>
  <c r="E193" i="23"/>
  <c r="F193" i="23"/>
  <c r="G193" i="23"/>
  <c r="C195" i="23"/>
  <c r="B196" i="23"/>
  <c r="B194" i="23"/>
  <c r="B200" i="23"/>
  <c r="B5" i="21"/>
  <c r="C5" i="21"/>
  <c r="D5" i="21"/>
  <c r="B11" i="21"/>
  <c r="C11" i="21"/>
  <c r="C12" i="21"/>
  <c r="D11" i="21"/>
  <c r="B12" i="21"/>
  <c r="D12" i="21"/>
  <c r="B18" i="21"/>
  <c r="C18" i="21"/>
  <c r="D18" i="21"/>
  <c r="B24" i="21"/>
  <c r="C24" i="21"/>
  <c r="D24" i="21"/>
  <c r="B29" i="21"/>
  <c r="B31" i="21"/>
  <c r="C31" i="21"/>
  <c r="B32" i="21"/>
  <c r="B35" i="21"/>
  <c r="B36" i="21"/>
  <c r="B42" i="21"/>
  <c r="B45" i="21"/>
  <c r="D50" i="21"/>
  <c r="E50" i="21"/>
  <c r="F50" i="21"/>
  <c r="D51" i="21"/>
  <c r="E51" i="21"/>
  <c r="F51" i="21"/>
  <c r="B58" i="21"/>
  <c r="C58" i="21"/>
  <c r="D58" i="21"/>
  <c r="E58" i="21"/>
  <c r="F58" i="21"/>
  <c r="G58" i="21"/>
  <c r="B59" i="21"/>
  <c r="C59" i="21"/>
  <c r="D59" i="21"/>
  <c r="E59" i="21"/>
  <c r="F59" i="21"/>
  <c r="G59" i="21"/>
  <c r="B64" i="21"/>
  <c r="C64" i="21"/>
  <c r="D64" i="21"/>
  <c r="E64" i="21"/>
  <c r="F64" i="21"/>
  <c r="G64" i="21"/>
  <c r="B65" i="21"/>
  <c r="C65" i="21"/>
  <c r="D65" i="21"/>
  <c r="E65" i="21"/>
  <c r="F65" i="21"/>
  <c r="G65" i="21"/>
  <c r="B71" i="21"/>
  <c r="C71" i="21"/>
  <c r="B84" i="21"/>
  <c r="B90" i="21"/>
  <c r="D26" i="25"/>
  <c r="D27" i="25"/>
  <c r="E271" i="35"/>
  <c r="B39" i="31"/>
  <c r="B40" i="31"/>
  <c r="B41" i="31"/>
  <c r="B43" i="31"/>
  <c r="E21" i="60"/>
  <c r="E26" i="60"/>
  <c r="E30" i="60"/>
  <c r="E33" i="60"/>
  <c r="D14" i="51"/>
  <c r="AA162" i="35"/>
  <c r="B80" i="34"/>
  <c r="B93" i="34"/>
  <c r="B95" i="34"/>
  <c r="B97" i="34"/>
  <c r="B78" i="34"/>
  <c r="B83" i="34"/>
  <c r="B87" i="67"/>
  <c r="B95" i="67"/>
  <c r="F95" i="67"/>
  <c r="C95" i="67"/>
  <c r="G282" i="35"/>
  <c r="G283" i="35"/>
  <c r="G284" i="35"/>
  <c r="C282" i="35"/>
  <c r="D225" i="35"/>
  <c r="D227" i="35"/>
  <c r="F225" i="35"/>
  <c r="F227" i="35"/>
  <c r="F232" i="35"/>
  <c r="C232" i="35"/>
  <c r="H225" i="35"/>
  <c r="H227" i="35"/>
  <c r="G124" i="35"/>
  <c r="G125" i="35"/>
  <c r="D54" i="36"/>
  <c r="I30" i="60"/>
  <c r="D267" i="35"/>
  <c r="F49" i="26"/>
  <c r="F50" i="26"/>
  <c r="E74" i="60"/>
  <c r="E75" i="60"/>
  <c r="G21" i="60"/>
  <c r="G30" i="60"/>
  <c r="G33" i="60"/>
  <c r="C21" i="60"/>
  <c r="C30" i="60"/>
  <c r="C33" i="60"/>
  <c r="D12" i="51"/>
  <c r="F283" i="35"/>
  <c r="F284" i="35"/>
  <c r="S162" i="35"/>
  <c r="C162" i="35"/>
  <c r="D67" i="35"/>
  <c r="E64" i="35"/>
  <c r="D53" i="36"/>
  <c r="D55" i="36"/>
  <c r="C55" i="36"/>
  <c r="B100" i="32"/>
  <c r="B101" i="32"/>
  <c r="B107" i="32"/>
  <c r="B111" i="32"/>
  <c r="D20" i="39"/>
  <c r="B89" i="67"/>
  <c r="B97" i="35"/>
  <c r="D97" i="35"/>
  <c r="E30" i="21"/>
  <c r="D47" i="23"/>
  <c r="E18" i="60"/>
  <c r="B20" i="30"/>
  <c r="B27" i="30"/>
  <c r="B287" i="35"/>
  <c r="C287" i="35"/>
  <c r="D287" i="35"/>
  <c r="D282" i="35"/>
  <c r="F267" i="35"/>
  <c r="W162" i="35"/>
  <c r="G162" i="35"/>
  <c r="B67" i="32"/>
  <c r="B21" i="32"/>
  <c r="C175" i="35"/>
  <c r="D160" i="35"/>
  <c r="D162" i="35"/>
  <c r="F175" i="35"/>
  <c r="H160" i="35"/>
  <c r="H162" i="35"/>
  <c r="L160" i="35"/>
  <c r="L162" i="35"/>
  <c r="P160" i="35"/>
  <c r="P162" i="35"/>
  <c r="T160" i="35"/>
  <c r="T162" i="35"/>
  <c r="X160" i="35"/>
  <c r="X162" i="35"/>
  <c r="AB160" i="35"/>
  <c r="AB162" i="35"/>
  <c r="AF160" i="35"/>
  <c r="AF162" i="35"/>
  <c r="F17" i="35"/>
  <c r="E84" i="36"/>
  <c r="C69" i="32"/>
  <c r="D78" i="32"/>
  <c r="C78" i="32"/>
  <c r="C68" i="32"/>
  <c r="C21" i="32"/>
  <c r="C22" i="32"/>
  <c r="D20" i="32"/>
  <c r="C23" i="32"/>
  <c r="F19" i="32"/>
  <c r="F20" i="32"/>
  <c r="C20" i="40"/>
  <c r="C27" i="40"/>
  <c r="C29" i="40"/>
  <c r="C35" i="40"/>
  <c r="C32" i="40"/>
  <c r="C55" i="40"/>
  <c r="B61" i="36"/>
  <c r="C28" i="32"/>
  <c r="C16" i="41"/>
  <c r="L125" i="35"/>
  <c r="H125" i="35"/>
  <c r="D125" i="35"/>
  <c r="B65" i="36"/>
  <c r="B29" i="32"/>
  <c r="B62" i="32"/>
  <c r="B10" i="38"/>
  <c r="B24" i="38"/>
  <c r="F52" i="67"/>
  <c r="B51" i="67"/>
  <c r="B56" i="67"/>
  <c r="B60" i="67"/>
  <c r="C51" i="67"/>
  <c r="D51" i="67"/>
  <c r="D56" i="67"/>
  <c r="D60" i="67"/>
  <c r="E51" i="67"/>
  <c r="C13" i="46"/>
  <c r="C17" i="46"/>
  <c r="C18" i="46"/>
  <c r="H6" i="46"/>
  <c r="H7" i="46"/>
  <c r="H8" i="46"/>
  <c r="H9" i="46"/>
  <c r="I6" i="46"/>
  <c r="I7" i="46"/>
  <c r="I8" i="46"/>
  <c r="F87" i="70"/>
  <c r="E101" i="70"/>
  <c r="F18" i="43"/>
  <c r="B18" i="43"/>
  <c r="C18" i="40"/>
  <c r="B51" i="69"/>
  <c r="B50" i="69"/>
  <c r="B21" i="45"/>
  <c r="B22" i="45"/>
  <c r="B37" i="46"/>
  <c r="K125" i="35"/>
  <c r="B76" i="54"/>
  <c r="B77" i="54"/>
  <c r="B83" i="54"/>
  <c r="F47" i="46"/>
  <c r="F48" i="46"/>
  <c r="C40" i="70"/>
  <c r="C26" i="70"/>
  <c r="D14" i="70"/>
  <c r="J9" i="70"/>
  <c r="J13" i="70"/>
  <c r="I13" i="70"/>
  <c r="D18" i="39"/>
  <c r="C23" i="39"/>
  <c r="B27" i="69"/>
  <c r="B19" i="69"/>
  <c r="B45" i="70"/>
  <c r="B46" i="70"/>
  <c r="B63" i="70"/>
  <c r="B57" i="70"/>
  <c r="P8" i="70"/>
  <c r="Q8" i="70"/>
  <c r="S113" i="70"/>
  <c r="T87" i="70"/>
  <c r="C130" i="70"/>
  <c r="B53" i="46"/>
  <c r="F53" i="46"/>
  <c r="B51" i="46"/>
  <c r="B52" i="46"/>
  <c r="F52" i="46"/>
  <c r="G9" i="46"/>
  <c r="G8" i="46"/>
  <c r="G7" i="46"/>
  <c r="G6" i="46"/>
  <c r="J82" i="70"/>
  <c r="I86" i="70"/>
  <c r="F10" i="46"/>
  <c r="F9" i="46"/>
  <c r="F8" i="46"/>
  <c r="F7" i="46"/>
  <c r="M81" i="70"/>
  <c r="E113" i="70"/>
  <c r="D130" i="70"/>
  <c r="D87" i="67"/>
  <c r="D88" i="67"/>
  <c r="B88" i="67"/>
  <c r="D94" i="67"/>
  <c r="D95" i="67"/>
  <c r="E88" i="70"/>
  <c r="C220" i="21"/>
  <c r="B221" i="21"/>
  <c r="B222" i="21"/>
  <c r="E87" i="67"/>
  <c r="E88" i="67"/>
  <c r="E95" i="67"/>
  <c r="E136" i="21"/>
  <c r="B172" i="21"/>
  <c r="B173" i="21"/>
  <c r="B49" i="30"/>
  <c r="D9" i="33"/>
  <c r="C9" i="33"/>
  <c r="B143" i="23"/>
  <c r="B146" i="23"/>
  <c r="C21" i="41"/>
  <c r="C22" i="41"/>
  <c r="K9" i="70"/>
  <c r="L9" i="70"/>
  <c r="B68" i="32"/>
  <c r="B69" i="32"/>
  <c r="C283" i="35"/>
  <c r="C284" i="35"/>
  <c r="F88" i="70"/>
  <c r="E14" i="70"/>
  <c r="D15" i="70"/>
  <c r="D40" i="70"/>
  <c r="C44" i="32"/>
  <c r="C46" i="32"/>
  <c r="C47" i="32"/>
  <c r="C51" i="32"/>
  <c r="B105" i="34"/>
  <c r="C221" i="21"/>
  <c r="D220" i="21"/>
  <c r="D90" i="67"/>
  <c r="F51" i="46"/>
  <c r="F54" i="46"/>
  <c r="F56" i="46"/>
  <c r="U87" i="70"/>
  <c r="T113" i="70"/>
  <c r="D26" i="70"/>
  <c r="D28" i="70"/>
  <c r="C28" i="70"/>
  <c r="B52" i="67"/>
  <c r="F64" i="35"/>
  <c r="E67" i="35"/>
  <c r="E175" i="35"/>
  <c r="D23" i="39"/>
  <c r="D27" i="39"/>
  <c r="D28" i="39"/>
  <c r="C27" i="39"/>
  <c r="C28" i="39"/>
  <c r="C56" i="67"/>
  <c r="C60" i="67"/>
  <c r="C52" i="67"/>
  <c r="G175" i="35"/>
  <c r="E90" i="67"/>
  <c r="E130" i="70"/>
  <c r="N81" i="70"/>
  <c r="B56" i="46"/>
  <c r="E52" i="67"/>
  <c r="E53" i="67"/>
  <c r="E56" i="67"/>
  <c r="E60" i="67"/>
  <c r="F56" i="67"/>
  <c r="F60" i="67"/>
  <c r="C29" i="39"/>
  <c r="C31" i="39"/>
  <c r="B102" i="32"/>
  <c r="D233" i="35"/>
  <c r="B90" i="67"/>
  <c r="D97" i="67"/>
  <c r="C23" i="41"/>
  <c r="D29" i="39"/>
  <c r="D31" i="39"/>
  <c r="U113" i="70"/>
  <c r="V87" i="70"/>
  <c r="V113" i="70"/>
  <c r="D91" i="67"/>
  <c r="E21" i="32"/>
  <c r="F14" i="70"/>
  <c r="F15" i="70"/>
  <c r="G64" i="35"/>
  <c r="G67" i="35"/>
  <c r="F67" i="35"/>
  <c r="E26" i="70"/>
  <c r="F26" i="70"/>
  <c r="F28" i="70"/>
  <c r="B94" i="67"/>
  <c r="B97" i="67"/>
  <c r="B91" i="67"/>
  <c r="R8" i="70"/>
  <c r="E94" i="67"/>
  <c r="E97" i="67"/>
  <c r="E220" i="21"/>
  <c r="E221" i="21"/>
  <c r="D221" i="21"/>
  <c r="D57" i="70"/>
  <c r="K13" i="70"/>
  <c r="M9" i="70"/>
  <c r="M13" i="70"/>
  <c r="L13" i="70"/>
  <c r="S8" i="70"/>
  <c r="E28" i="70"/>
  <c r="G14" i="70"/>
  <c r="F40" i="70"/>
  <c r="F57" i="70"/>
  <c r="F220" i="21"/>
  <c r="F221" i="21"/>
  <c r="T8" i="70"/>
  <c r="N9" i="70"/>
  <c r="G220" i="21"/>
  <c r="G221" i="21"/>
  <c r="H220" i="21"/>
  <c r="I220" i="21"/>
  <c r="J220" i="21"/>
  <c r="K220" i="21"/>
  <c r="L220" i="21"/>
  <c r="H221" i="21"/>
  <c r="I221" i="21"/>
  <c r="J221" i="21"/>
  <c r="G17" i="24"/>
  <c r="L221" i="21"/>
  <c r="M220" i="21"/>
  <c r="U8" i="70"/>
  <c r="G15" i="70"/>
  <c r="G40" i="70"/>
  <c r="B77" i="32"/>
  <c r="B79" i="32"/>
  <c r="B87" i="32"/>
  <c r="B70" i="32"/>
  <c r="B72" i="32"/>
  <c r="C27" i="32"/>
  <c r="C31" i="32"/>
  <c r="D31" i="32"/>
  <c r="D28" i="32"/>
  <c r="B22" i="32"/>
  <c r="B23" i="32"/>
  <c r="B31" i="32"/>
  <c r="B33" i="32"/>
  <c r="B34" i="32"/>
  <c r="H232" i="35"/>
  <c r="B124" i="23"/>
  <c r="E287" i="35"/>
  <c r="E288" i="35"/>
  <c r="H55" i="25"/>
  <c r="H56" i="25"/>
  <c r="E55" i="25"/>
  <c r="E56" i="25"/>
  <c r="C47" i="51"/>
  <c r="C272" i="35"/>
  <c r="G232" i="35"/>
  <c r="B81" i="35"/>
  <c r="F76" i="35"/>
  <c r="E76" i="35"/>
  <c r="B79" i="35"/>
  <c r="K221" i="21"/>
  <c r="O9" i="70"/>
  <c r="N13" i="70"/>
  <c r="G26" i="70"/>
  <c r="F16" i="70"/>
  <c r="F17" i="70"/>
  <c r="E28" i="32"/>
  <c r="E15" i="70"/>
  <c r="E40" i="70"/>
  <c r="B80" i="67"/>
  <c r="C50" i="32"/>
  <c r="C52" i="32"/>
  <c r="C54" i="32"/>
  <c r="C48" i="32"/>
  <c r="D52" i="67"/>
  <c r="D53" i="67"/>
  <c r="J86" i="70"/>
  <c r="K82" i="70"/>
  <c r="E195" i="23"/>
  <c r="D195" i="23"/>
  <c r="F195" i="23"/>
  <c r="G195" i="23"/>
  <c r="G196" i="23"/>
  <c r="B201" i="23"/>
  <c r="C97" i="23"/>
  <c r="D98" i="23"/>
  <c r="B98" i="23"/>
  <c r="E232" i="35"/>
  <c r="E233" i="35"/>
  <c r="H233" i="35"/>
  <c r="B69" i="35"/>
  <c r="D17" i="35"/>
  <c r="B23" i="35"/>
  <c r="H14" i="70"/>
  <c r="G76" i="35"/>
  <c r="I233" i="35"/>
  <c r="C53" i="67"/>
  <c r="F53" i="67"/>
  <c r="B53" i="67"/>
  <c r="C222" i="21"/>
  <c r="D222" i="21"/>
  <c r="E222" i="21"/>
  <c r="F222" i="21"/>
  <c r="G222" i="21"/>
  <c r="H222" i="21"/>
  <c r="I222" i="21"/>
  <c r="J222" i="21"/>
  <c r="K222" i="21"/>
  <c r="L222" i="21"/>
  <c r="C57" i="70"/>
  <c r="C82" i="32"/>
  <c r="E78" i="32"/>
  <c r="C77" i="32"/>
  <c r="D283" i="35"/>
  <c r="D284" i="35"/>
  <c r="B286" i="35"/>
  <c r="D43" i="31"/>
  <c r="E91" i="67"/>
  <c r="B146" i="21"/>
  <c r="B139" i="21"/>
  <c r="B143" i="21"/>
  <c r="F99" i="70"/>
  <c r="F113" i="70"/>
  <c r="F268" i="35"/>
  <c r="H158" i="35"/>
  <c r="H175" i="35"/>
  <c r="D175" i="35"/>
  <c r="C288" i="35"/>
  <c r="D21" i="41"/>
  <c r="D22" i="41"/>
  <c r="D23" i="41"/>
  <c r="G166" i="35"/>
  <c r="G168" i="35"/>
  <c r="G96" i="35"/>
  <c r="G97" i="35"/>
  <c r="F97" i="35"/>
  <c r="E97" i="35"/>
  <c r="C97" i="35"/>
  <c r="D29" i="21"/>
  <c r="E29" i="21"/>
  <c r="D30" i="21"/>
  <c r="F30" i="21"/>
  <c r="B42" i="24"/>
  <c r="B40" i="24"/>
  <c r="F51" i="26"/>
  <c r="I13" i="60"/>
  <c r="I33" i="60"/>
  <c r="I21" i="60"/>
  <c r="I74" i="60"/>
  <c r="I26" i="60"/>
  <c r="I18" i="60"/>
  <c r="O81" i="70"/>
  <c r="G87" i="70"/>
  <c r="B79" i="54"/>
  <c r="C79" i="54"/>
  <c r="D272" i="35"/>
  <c r="D268" i="35"/>
  <c r="G233" i="35"/>
  <c r="D232" i="35"/>
  <c r="F271" i="35"/>
  <c r="E272" i="35"/>
  <c r="C89" i="23"/>
  <c r="D88" i="23"/>
  <c r="I26" i="25"/>
  <c r="I27" i="25"/>
  <c r="C146" i="23"/>
  <c r="D48" i="23"/>
  <c r="E46" i="23"/>
  <c r="G26" i="60"/>
  <c r="B28" i="60"/>
  <c r="G18" i="60"/>
  <c r="G13" i="60"/>
  <c r="B16" i="60"/>
  <c r="B230" i="35"/>
  <c r="C124" i="23"/>
  <c r="G74" i="60"/>
  <c r="C20" i="30"/>
  <c r="F233" i="35"/>
  <c r="C233" i="35"/>
  <c r="B248" i="35"/>
  <c r="B232" i="35"/>
  <c r="B233" i="35"/>
  <c r="B33" i="36"/>
  <c r="C17" i="32"/>
  <c r="C71" i="32"/>
  <c r="B6" i="53"/>
  <c r="D5" i="53"/>
  <c r="D6" i="53"/>
  <c r="E111" i="33"/>
  <c r="D58" i="33"/>
  <c r="D55" i="33"/>
  <c r="B65" i="60"/>
  <c r="H30" i="60"/>
  <c r="B268" i="35"/>
  <c r="B270" i="35"/>
  <c r="C50" i="35"/>
  <c r="C52" i="35"/>
  <c r="B57" i="35"/>
  <c r="B27" i="35"/>
  <c r="D85" i="36"/>
  <c r="E85" i="36"/>
  <c r="D29" i="38"/>
  <c r="J29" i="38"/>
  <c r="B30" i="38"/>
  <c r="D56" i="25"/>
  <c r="J27" i="25"/>
  <c r="H21" i="60"/>
  <c r="H18" i="60"/>
  <c r="F166" i="35"/>
  <c r="F168" i="35"/>
  <c r="E125" i="35"/>
  <c r="B129" i="35"/>
  <c r="J89" i="70"/>
  <c r="F89" i="70"/>
  <c r="F90" i="70"/>
  <c r="D16" i="70"/>
  <c r="D17" i="70"/>
  <c r="H16" i="70"/>
  <c r="J16" i="70"/>
  <c r="L16" i="70"/>
  <c r="B31" i="70"/>
  <c r="L89" i="70"/>
  <c r="G89" i="70"/>
  <c r="C89" i="70"/>
  <c r="E16" i="70"/>
  <c r="K89" i="70"/>
  <c r="E89" i="70"/>
  <c r="K16" i="70"/>
  <c r="I89" i="70"/>
  <c r="G16" i="70"/>
  <c r="I16" i="70"/>
  <c r="H89" i="70"/>
  <c r="D89" i="70"/>
  <c r="D90" i="70"/>
  <c r="C16" i="70"/>
  <c r="B67" i="34"/>
  <c r="B41" i="45"/>
  <c r="D41" i="45"/>
  <c r="B42" i="45"/>
  <c r="D42" i="45"/>
  <c r="B58" i="54"/>
  <c r="B82" i="54"/>
  <c r="B85" i="54"/>
  <c r="B87" i="54"/>
  <c r="C205" i="21"/>
  <c r="B206" i="21"/>
  <c r="B207" i="21"/>
  <c r="D105" i="57"/>
  <c r="F117" i="57"/>
  <c r="F108" i="57"/>
  <c r="F76" i="33"/>
  <c r="F78" i="33"/>
  <c r="F111" i="33"/>
  <c r="B52" i="40"/>
  <c r="B56" i="40"/>
  <c r="B42" i="40"/>
  <c r="B44" i="40"/>
  <c r="B31" i="45"/>
  <c r="C89" i="67"/>
  <c r="C87" i="67"/>
  <c r="C88" i="67"/>
  <c r="B46" i="69"/>
  <c r="B45" i="69"/>
  <c r="B18" i="54"/>
  <c r="B17" i="54"/>
  <c r="T14" i="70"/>
  <c r="S40" i="70"/>
  <c r="D91" i="70"/>
  <c r="D112" i="70"/>
  <c r="D114" i="70"/>
  <c r="D116" i="70"/>
  <c r="D118" i="70"/>
  <c r="D119" i="70"/>
  <c r="F87" i="67"/>
  <c r="F88" i="67"/>
  <c r="F89" i="67"/>
  <c r="D18" i="43"/>
  <c r="B19" i="43"/>
  <c r="D111" i="57"/>
  <c r="D35" i="57"/>
  <c r="D111" i="33"/>
  <c r="M7" i="57"/>
  <c r="G116" i="57"/>
  <c r="C87" i="33"/>
  <c r="F58" i="33"/>
  <c r="D100" i="33"/>
  <c r="D102" i="33"/>
  <c r="B31" i="60"/>
  <c r="B35" i="60"/>
  <c r="B34" i="60"/>
  <c r="C90" i="70"/>
  <c r="C91" i="70"/>
  <c r="C102" i="70"/>
  <c r="D102" i="70"/>
  <c r="J30" i="38"/>
  <c r="B31" i="38"/>
  <c r="D30" i="38"/>
  <c r="P9" i="70"/>
  <c r="O13" i="70"/>
  <c r="B89" i="23"/>
  <c r="G271" i="35"/>
  <c r="G272" i="35"/>
  <c r="F272" i="35"/>
  <c r="H272" i="35"/>
  <c r="G88" i="70"/>
  <c r="G113" i="70"/>
  <c r="H87" i="70"/>
  <c r="F29" i="21"/>
  <c r="B15" i="60"/>
  <c r="D99" i="23"/>
  <c r="F287" i="35"/>
  <c r="F288" i="35"/>
  <c r="D112" i="33"/>
  <c r="E111" i="57"/>
  <c r="E54" i="57"/>
  <c r="E97" i="57"/>
  <c r="N7" i="57"/>
  <c r="E35" i="57"/>
  <c r="F91" i="70"/>
  <c r="F112" i="70"/>
  <c r="F114" i="70"/>
  <c r="F116" i="70"/>
  <c r="F118" i="70"/>
  <c r="F119" i="70"/>
  <c r="V8" i="70"/>
  <c r="C94" i="67"/>
  <c r="C97" i="67"/>
  <c r="C90" i="67"/>
  <c r="C91" i="67"/>
  <c r="F112" i="33"/>
  <c r="E65" i="60"/>
  <c r="F65" i="60"/>
  <c r="F75" i="60"/>
  <c r="B66" i="60"/>
  <c r="F94" i="67"/>
  <c r="F97" i="67"/>
  <c r="F90" i="67"/>
  <c r="F91" i="67"/>
  <c r="B90" i="54"/>
  <c r="C90" i="54"/>
  <c r="B93" i="54"/>
  <c r="C93" i="54"/>
  <c r="B89" i="54"/>
  <c r="C89" i="54"/>
  <c r="B102" i="34"/>
  <c r="B107" i="34"/>
  <c r="B81" i="34"/>
  <c r="C62" i="32"/>
  <c r="C70" i="32"/>
  <c r="C72" i="32"/>
  <c r="C87" i="32"/>
  <c r="C29" i="32"/>
  <c r="C33" i="32"/>
  <c r="C34" i="32"/>
  <c r="C79" i="32"/>
  <c r="C90" i="23"/>
  <c r="I158" i="35"/>
  <c r="I175" i="35"/>
  <c r="H166" i="35"/>
  <c r="H168" i="35"/>
  <c r="G28" i="70"/>
  <c r="H26" i="70"/>
  <c r="F130" i="70"/>
  <c r="E112" i="33"/>
  <c r="D59" i="33"/>
  <c r="E57" i="70"/>
  <c r="E17" i="70"/>
  <c r="E18" i="70"/>
  <c r="E39" i="70"/>
  <c r="E41" i="70"/>
  <c r="E43" i="70"/>
  <c r="E45" i="70"/>
  <c r="E46" i="70"/>
  <c r="E63" i="70"/>
  <c r="B80" i="32"/>
  <c r="B85" i="32"/>
  <c r="B86" i="32"/>
  <c r="U14" i="70"/>
  <c r="T40" i="70"/>
  <c r="C206" i="21"/>
  <c r="C207" i="21"/>
  <c r="D205" i="21"/>
  <c r="C17" i="70"/>
  <c r="C18" i="70"/>
  <c r="E90" i="70"/>
  <c r="E91" i="70"/>
  <c r="E112" i="70"/>
  <c r="E114" i="70"/>
  <c r="E116" i="70"/>
  <c r="E118" i="70"/>
  <c r="E119" i="70"/>
  <c r="F18" i="70"/>
  <c r="F39" i="70"/>
  <c r="F41" i="70"/>
  <c r="F43" i="70"/>
  <c r="F45" i="70"/>
  <c r="F46" i="70"/>
  <c r="F63" i="70"/>
  <c r="E48" i="23"/>
  <c r="E47" i="23"/>
  <c r="F46" i="23"/>
  <c r="P81" i="70"/>
  <c r="G99" i="70"/>
  <c r="F101" i="70"/>
  <c r="D288" i="35"/>
  <c r="D82" i="32"/>
  <c r="C83" i="32"/>
  <c r="I14" i="70"/>
  <c r="H15" i="70"/>
  <c r="H40" i="70"/>
  <c r="E98" i="23"/>
  <c r="C98" i="23"/>
  <c r="B99" i="23"/>
  <c r="E99" i="23"/>
  <c r="L82" i="70"/>
  <c r="K86" i="70"/>
  <c r="D18" i="70"/>
  <c r="D39" i="70"/>
  <c r="D41" i="70"/>
  <c r="D43" i="70"/>
  <c r="D45" i="70"/>
  <c r="D46" i="70"/>
  <c r="D63" i="70"/>
  <c r="G17" i="70"/>
  <c r="G18" i="70"/>
  <c r="G39" i="70"/>
  <c r="G41" i="70"/>
  <c r="G43" i="70"/>
  <c r="G45" i="70"/>
  <c r="G46" i="70"/>
  <c r="G63" i="70"/>
  <c r="G57" i="70"/>
  <c r="M221" i="21"/>
  <c r="M222" i="21"/>
  <c r="N220" i="21"/>
  <c r="M82" i="70"/>
  <c r="L86" i="70"/>
  <c r="I26" i="70"/>
  <c r="H28" i="70"/>
  <c r="C85" i="32"/>
  <c r="C80" i="32"/>
  <c r="G287" i="35"/>
  <c r="G288" i="35"/>
  <c r="H288" i="35"/>
  <c r="F35" i="57"/>
  <c r="F111" i="57"/>
  <c r="F97" i="57"/>
  <c r="F105" i="57"/>
  <c r="F54" i="57"/>
  <c r="O7" i="57"/>
  <c r="C99" i="23"/>
  <c r="D100" i="23"/>
  <c r="G130" i="70"/>
  <c r="G90" i="70"/>
  <c r="G91" i="70"/>
  <c r="G112" i="70"/>
  <c r="G114" i="70"/>
  <c r="G116" i="70"/>
  <c r="G118" i="70"/>
  <c r="G119" i="70"/>
  <c r="H99" i="70"/>
  <c r="G101" i="70"/>
  <c r="H17" i="70"/>
  <c r="H18" i="70"/>
  <c r="H39" i="70"/>
  <c r="H41" i="70"/>
  <c r="H43" i="70"/>
  <c r="H45" i="70"/>
  <c r="H46" i="70"/>
  <c r="H63" i="70"/>
  <c r="G46" i="23"/>
  <c r="F48" i="23"/>
  <c r="F47" i="23"/>
  <c r="V14" i="70"/>
  <c r="V40" i="70"/>
  <c r="U40" i="70"/>
  <c r="I166" i="35"/>
  <c r="I168" i="35"/>
  <c r="J158" i="35"/>
  <c r="H113" i="70"/>
  <c r="I87" i="70"/>
  <c r="H88" i="70"/>
  <c r="P13" i="70"/>
  <c r="Q9" i="70"/>
  <c r="N221" i="21"/>
  <c r="N222" i="21"/>
  <c r="O220" i="21"/>
  <c r="I40" i="70"/>
  <c r="J14" i="70"/>
  <c r="I15" i="70"/>
  <c r="Q81" i="70"/>
  <c r="B22" i="60"/>
  <c r="B19" i="60"/>
  <c r="B23" i="60"/>
  <c r="H57" i="70"/>
  <c r="E205" i="21"/>
  <c r="D206" i="21"/>
  <c r="D207" i="21"/>
  <c r="B67" i="60"/>
  <c r="E66" i="60"/>
  <c r="B116" i="67"/>
  <c r="E105" i="57"/>
  <c r="E85" i="57"/>
  <c r="E93" i="57"/>
  <c r="E89" i="23"/>
  <c r="D89" i="23"/>
  <c r="B90" i="23"/>
  <c r="E90" i="23"/>
  <c r="D90" i="23"/>
  <c r="J31" i="38"/>
  <c r="B32" i="38"/>
  <c r="D31" i="38"/>
  <c r="E206" i="21"/>
  <c r="E207" i="21"/>
  <c r="D32" i="38"/>
  <c r="J32" i="38"/>
  <c r="B33" i="38"/>
  <c r="F66" i="60"/>
  <c r="G75" i="60"/>
  <c r="F205" i="21"/>
  <c r="J26" i="70"/>
  <c r="I28" i="70"/>
  <c r="B68" i="60"/>
  <c r="E68" i="60"/>
  <c r="E67" i="60"/>
  <c r="F67" i="60"/>
  <c r="R81" i="70"/>
  <c r="R9" i="70"/>
  <c r="Q13" i="70"/>
  <c r="I17" i="70"/>
  <c r="I18" i="70"/>
  <c r="I39" i="70"/>
  <c r="I41" i="70"/>
  <c r="I43" i="70"/>
  <c r="I45" i="70"/>
  <c r="I46" i="70"/>
  <c r="I63" i="70"/>
  <c r="C86" i="32"/>
  <c r="D85" i="32"/>
  <c r="K158" i="35"/>
  <c r="J166" i="35"/>
  <c r="J168" i="35"/>
  <c r="J175" i="35"/>
  <c r="I57" i="70"/>
  <c r="P220" i="21"/>
  <c r="O221" i="21"/>
  <c r="O222" i="21"/>
  <c r="H90" i="70"/>
  <c r="H91" i="70"/>
  <c r="H112" i="70"/>
  <c r="H114" i="70"/>
  <c r="H116" i="70"/>
  <c r="H118" i="70"/>
  <c r="H119" i="70"/>
  <c r="H130" i="70"/>
  <c r="P28" i="57"/>
  <c r="D91" i="23"/>
  <c r="M28" i="57"/>
  <c r="K14" i="70"/>
  <c r="J15" i="70"/>
  <c r="J40" i="70"/>
  <c r="I88" i="70"/>
  <c r="I113" i="70"/>
  <c r="J87" i="70"/>
  <c r="G47" i="23"/>
  <c r="H46" i="23"/>
  <c r="G48" i="23"/>
  <c r="N28" i="57"/>
  <c r="I99" i="70"/>
  <c r="H101" i="70"/>
  <c r="N82" i="70"/>
  <c r="M86" i="70"/>
  <c r="S81" i="70"/>
  <c r="K26" i="70"/>
  <c r="J28" i="70"/>
  <c r="O82" i="70"/>
  <c r="N86" i="70"/>
  <c r="I90" i="70"/>
  <c r="I91" i="70"/>
  <c r="I112" i="70"/>
  <c r="I114" i="70"/>
  <c r="I116" i="70"/>
  <c r="I118" i="70"/>
  <c r="I119" i="70"/>
  <c r="I130" i="70"/>
  <c r="O28" i="57"/>
  <c r="I75" i="60"/>
  <c r="F206" i="21"/>
  <c r="G205" i="21"/>
  <c r="D33" i="38"/>
  <c r="J33" i="38"/>
  <c r="H47" i="23"/>
  <c r="I46" i="23"/>
  <c r="H48" i="23"/>
  <c r="K40" i="70"/>
  <c r="L14" i="70"/>
  <c r="K15" i="70"/>
  <c r="F207" i="21"/>
  <c r="J99" i="70"/>
  <c r="I101" i="70"/>
  <c r="K166" i="35"/>
  <c r="K168" i="35"/>
  <c r="L158" i="35"/>
  <c r="K175" i="35"/>
  <c r="P221" i="21"/>
  <c r="P222" i="21"/>
  <c r="Q220" i="21"/>
  <c r="K87" i="70"/>
  <c r="J113" i="70"/>
  <c r="J88" i="70"/>
  <c r="J17" i="70"/>
  <c r="J18" i="70"/>
  <c r="J39" i="70"/>
  <c r="J41" i="70"/>
  <c r="J43" i="70"/>
  <c r="J45" i="70"/>
  <c r="J46" i="70"/>
  <c r="J63" i="70"/>
  <c r="J57" i="70"/>
  <c r="S9" i="70"/>
  <c r="R13" i="70"/>
  <c r="R15" i="70"/>
  <c r="F68" i="60"/>
  <c r="H75" i="60"/>
  <c r="B76" i="60"/>
  <c r="J90" i="70"/>
  <c r="J91" i="70"/>
  <c r="J112" i="70"/>
  <c r="J114" i="70"/>
  <c r="J116" i="70"/>
  <c r="J118" i="70"/>
  <c r="J119" i="70"/>
  <c r="J130" i="70"/>
  <c r="M158" i="35"/>
  <c r="L166" i="35"/>
  <c r="L168" i="35"/>
  <c r="M175" i="35"/>
  <c r="L175" i="35"/>
  <c r="B189" i="35"/>
  <c r="K99" i="70"/>
  <c r="J101" i="70"/>
  <c r="H205" i="21"/>
  <c r="G206" i="21"/>
  <c r="P82" i="70"/>
  <c r="O86" i="70"/>
  <c r="M14" i="70"/>
  <c r="L40" i="70"/>
  <c r="L15" i="70"/>
  <c r="I48" i="23"/>
  <c r="I47" i="23"/>
  <c r="J46" i="23"/>
  <c r="R17" i="70"/>
  <c r="R18" i="70"/>
  <c r="R39" i="70"/>
  <c r="R41" i="70"/>
  <c r="R43" i="70"/>
  <c r="R45" i="70"/>
  <c r="R46" i="70"/>
  <c r="R63" i="70"/>
  <c r="R57" i="70"/>
  <c r="L87" i="70"/>
  <c r="K113" i="70"/>
  <c r="K88" i="70"/>
  <c r="T81" i="70"/>
  <c r="T9" i="70"/>
  <c r="S13" i="70"/>
  <c r="S15" i="70"/>
  <c r="R220" i="21"/>
  <c r="Q221" i="21"/>
  <c r="Q222" i="21"/>
  <c r="G207" i="21"/>
  <c r="K17" i="70"/>
  <c r="K18" i="70"/>
  <c r="K39" i="70"/>
  <c r="K41" i="70"/>
  <c r="K43" i="70"/>
  <c r="K45" i="70"/>
  <c r="K46" i="70"/>
  <c r="K63" i="70"/>
  <c r="K57" i="70"/>
  <c r="K28" i="70"/>
  <c r="L26" i="70"/>
  <c r="U9" i="70"/>
  <c r="T13" i="70"/>
  <c r="T15" i="70"/>
  <c r="U81" i="70"/>
  <c r="J48" i="23"/>
  <c r="K46" i="23"/>
  <c r="J47" i="23"/>
  <c r="L17" i="70"/>
  <c r="L18" i="70"/>
  <c r="L39" i="70"/>
  <c r="L41" i="70"/>
  <c r="L43" i="70"/>
  <c r="L45" i="70"/>
  <c r="L46" i="70"/>
  <c r="L63" i="70"/>
  <c r="L113" i="70"/>
  <c r="M87" i="70"/>
  <c r="L88" i="70"/>
  <c r="L28" i="70"/>
  <c r="M26" i="70"/>
  <c r="S220" i="21"/>
  <c r="R221" i="21"/>
  <c r="R222" i="21"/>
  <c r="K130" i="70"/>
  <c r="K90" i="70"/>
  <c r="K91" i="70"/>
  <c r="K112" i="70"/>
  <c r="K114" i="70"/>
  <c r="K116" i="70"/>
  <c r="K118" i="70"/>
  <c r="K119" i="70"/>
  <c r="M40" i="70"/>
  <c r="N14" i="70"/>
  <c r="M15" i="70"/>
  <c r="K101" i="70"/>
  <c r="L99" i="70"/>
  <c r="L57" i="70"/>
  <c r="Q82" i="70"/>
  <c r="P86" i="70"/>
  <c r="S17" i="70"/>
  <c r="S18" i="70"/>
  <c r="S39" i="70"/>
  <c r="S41" i="70"/>
  <c r="S43" i="70"/>
  <c r="S45" i="70"/>
  <c r="S46" i="70"/>
  <c r="S63" i="70"/>
  <c r="S57" i="70"/>
  <c r="H206" i="21"/>
  <c r="H207" i="21"/>
  <c r="I205" i="21"/>
  <c r="M166" i="35"/>
  <c r="M168" i="35"/>
  <c r="N158" i="35"/>
  <c r="V81" i="70"/>
  <c r="T57" i="70"/>
  <c r="T17" i="70"/>
  <c r="T18" i="70"/>
  <c r="T39" i="70"/>
  <c r="T41" i="70"/>
  <c r="T43" i="70"/>
  <c r="T45" i="70"/>
  <c r="T46" i="70"/>
  <c r="T63" i="70"/>
  <c r="M17" i="70"/>
  <c r="M18" i="70"/>
  <c r="M39" i="70"/>
  <c r="M41" i="70"/>
  <c r="M43" i="70"/>
  <c r="M45" i="70"/>
  <c r="M46" i="70"/>
  <c r="M63" i="70"/>
  <c r="M57" i="70"/>
  <c r="O158" i="35"/>
  <c r="N166" i="35"/>
  <c r="N168" i="35"/>
  <c r="O175" i="35"/>
  <c r="N175" i="35"/>
  <c r="N40" i="70"/>
  <c r="O14" i="70"/>
  <c r="N15" i="70"/>
  <c r="S221" i="21"/>
  <c r="S222" i="21"/>
  <c r="T220" i="21"/>
  <c r="L90" i="70"/>
  <c r="L91" i="70"/>
  <c r="L112" i="70"/>
  <c r="L114" i="70"/>
  <c r="L116" i="70"/>
  <c r="L118" i="70"/>
  <c r="L119" i="70"/>
  <c r="L130" i="70"/>
  <c r="M113" i="70"/>
  <c r="N87" i="70"/>
  <c r="M88" i="70"/>
  <c r="K47" i="23"/>
  <c r="K48" i="23"/>
  <c r="L46" i="23"/>
  <c r="V9" i="70"/>
  <c r="V13" i="70"/>
  <c r="V15" i="70"/>
  <c r="U13" i="70"/>
  <c r="U15" i="70"/>
  <c r="M99" i="70"/>
  <c r="L101" i="70"/>
  <c r="I206" i="21"/>
  <c r="I207" i="21"/>
  <c r="J205" i="21"/>
  <c r="R82" i="70"/>
  <c r="Q86" i="70"/>
  <c r="N26" i="70"/>
  <c r="M28" i="70"/>
  <c r="M90" i="70"/>
  <c r="M91" i="70"/>
  <c r="M112" i="70"/>
  <c r="M114" i="70"/>
  <c r="M116" i="70"/>
  <c r="M118" i="70"/>
  <c r="M119" i="70"/>
  <c r="M130" i="70"/>
  <c r="O166" i="35"/>
  <c r="O168" i="35"/>
  <c r="P158" i="35"/>
  <c r="V17" i="70"/>
  <c r="V18" i="70"/>
  <c r="V39" i="70"/>
  <c r="V41" i="70"/>
  <c r="V43" i="70"/>
  <c r="V45" i="70"/>
  <c r="V46" i="70"/>
  <c r="V63" i="70"/>
  <c r="O26" i="70"/>
  <c r="N28" i="70"/>
  <c r="S82" i="70"/>
  <c r="R86" i="70"/>
  <c r="R88" i="70"/>
  <c r="M46" i="23"/>
  <c r="L48" i="23"/>
  <c r="L47" i="23"/>
  <c r="O87" i="70"/>
  <c r="N113" i="70"/>
  <c r="N88" i="70"/>
  <c r="N17" i="70"/>
  <c r="N18" i="70"/>
  <c r="N57" i="70"/>
  <c r="J206" i="21"/>
  <c r="J207" i="21"/>
  <c r="K205" i="21"/>
  <c r="M101" i="70"/>
  <c r="N99" i="70"/>
  <c r="O40" i="70"/>
  <c r="P14" i="70"/>
  <c r="O15" i="70"/>
  <c r="U17" i="70"/>
  <c r="U18" i="70"/>
  <c r="U39" i="70"/>
  <c r="U41" i="70"/>
  <c r="U43" i="70"/>
  <c r="U45" i="70"/>
  <c r="U46" i="70"/>
  <c r="U63" i="70"/>
  <c r="U57" i="70"/>
  <c r="U220" i="21"/>
  <c r="T221" i="21"/>
  <c r="T222" i="21"/>
  <c r="N39" i="70"/>
  <c r="N41" i="70"/>
  <c r="N43" i="70"/>
  <c r="N45" i="70"/>
  <c r="N46" i="70"/>
  <c r="N63" i="70"/>
  <c r="U221" i="21"/>
  <c r="U222" i="21"/>
  <c r="V220" i="21"/>
  <c r="M47" i="23"/>
  <c r="N46" i="23"/>
  <c r="M48" i="23"/>
  <c r="Q14" i="70"/>
  <c r="P40" i="70"/>
  <c r="P15" i="70"/>
  <c r="P87" i="70"/>
  <c r="O113" i="70"/>
  <c r="O88" i="70"/>
  <c r="R90" i="70"/>
  <c r="R91" i="70"/>
  <c r="R112" i="70"/>
  <c r="R114" i="70"/>
  <c r="R116" i="70"/>
  <c r="R118" i="70"/>
  <c r="R119" i="70"/>
  <c r="R130" i="70"/>
  <c r="O28" i="70"/>
  <c r="P26" i="70"/>
  <c r="O99" i="70"/>
  <c r="N101" i="70"/>
  <c r="T82" i="70"/>
  <c r="S86" i="70"/>
  <c r="S88" i="70"/>
  <c r="O57" i="70"/>
  <c r="O17" i="70"/>
  <c r="O18" i="70"/>
  <c r="O39" i="70"/>
  <c r="O41" i="70"/>
  <c r="O43" i="70"/>
  <c r="O45" i="70"/>
  <c r="O46" i="70"/>
  <c r="O63" i="70"/>
  <c r="L205" i="21"/>
  <c r="K206" i="21"/>
  <c r="K207" i="21"/>
  <c r="N130" i="70"/>
  <c r="N90" i="70"/>
  <c r="N91" i="70"/>
  <c r="N112" i="70"/>
  <c r="N114" i="70"/>
  <c r="N116" i="70"/>
  <c r="N118" i="70"/>
  <c r="N119" i="70"/>
  <c r="Q158" i="35"/>
  <c r="P166" i="35"/>
  <c r="P168" i="35"/>
  <c r="P175" i="35"/>
  <c r="U82" i="70"/>
  <c r="T86" i="70"/>
  <c r="T88" i="70"/>
  <c r="O101" i="70"/>
  <c r="P99" i="70"/>
  <c r="Q40" i="70"/>
  <c r="Q15" i="70"/>
  <c r="Q87" i="70"/>
  <c r="P113" i="70"/>
  <c r="P88" i="70"/>
  <c r="Q26" i="70"/>
  <c r="P28" i="70"/>
  <c r="P17" i="70"/>
  <c r="P18" i="70"/>
  <c r="P39" i="70"/>
  <c r="P41" i="70"/>
  <c r="P43" i="70"/>
  <c r="P45" i="70"/>
  <c r="P46" i="70"/>
  <c r="P63" i="70"/>
  <c r="P57" i="70"/>
  <c r="V221" i="21"/>
  <c r="V222" i="21"/>
  <c r="W220" i="21"/>
  <c r="R158" i="35"/>
  <c r="Q166" i="35"/>
  <c r="Q168" i="35"/>
  <c r="Q175" i="35"/>
  <c r="M205" i="21"/>
  <c r="L206" i="21"/>
  <c r="L207" i="21"/>
  <c r="S130" i="70"/>
  <c r="S90" i="70"/>
  <c r="S91" i="70"/>
  <c r="S112" i="70"/>
  <c r="S114" i="70"/>
  <c r="S116" i="70"/>
  <c r="S118" i="70"/>
  <c r="S119" i="70"/>
  <c r="O90" i="70"/>
  <c r="O91" i="70"/>
  <c r="O112" i="70"/>
  <c r="O114" i="70"/>
  <c r="O116" i="70"/>
  <c r="O118" i="70"/>
  <c r="O119" i="70"/>
  <c r="O130" i="70"/>
  <c r="N48" i="23"/>
  <c r="N47" i="23"/>
  <c r="T130" i="70"/>
  <c r="T90" i="70"/>
  <c r="T91" i="70"/>
  <c r="T112" i="70"/>
  <c r="T114" i="70"/>
  <c r="T116" i="70"/>
  <c r="T118" i="70"/>
  <c r="T119" i="70"/>
  <c r="W221" i="21"/>
  <c r="W222" i="21"/>
  <c r="X220" i="21"/>
  <c r="P130" i="70"/>
  <c r="P90" i="70"/>
  <c r="P91" i="70"/>
  <c r="P112" i="70"/>
  <c r="P114" i="70"/>
  <c r="P116" i="70"/>
  <c r="P118" i="70"/>
  <c r="P119" i="70"/>
  <c r="S158" i="35"/>
  <c r="R166" i="35"/>
  <c r="R168" i="35"/>
  <c r="R175" i="35"/>
  <c r="V82" i="70"/>
  <c r="V86" i="70"/>
  <c r="V88" i="70"/>
  <c r="U86" i="70"/>
  <c r="U88" i="70"/>
  <c r="Q17" i="70"/>
  <c r="Q18" i="70"/>
  <c r="Q39" i="70"/>
  <c r="Q41" i="70"/>
  <c r="Q43" i="70"/>
  <c r="Q45" i="70"/>
  <c r="Q46" i="70"/>
  <c r="Q63" i="70"/>
  <c r="Q57" i="70"/>
  <c r="N205" i="21"/>
  <c r="M206" i="21"/>
  <c r="M207" i="21"/>
  <c r="Q28" i="70"/>
  <c r="R26" i="70"/>
  <c r="Q113" i="70"/>
  <c r="Q88" i="70"/>
  <c r="Q99" i="70"/>
  <c r="P101" i="70"/>
  <c r="Q90" i="70"/>
  <c r="Q91" i="70"/>
  <c r="Q112" i="70"/>
  <c r="Q114" i="70"/>
  <c r="Q116" i="70"/>
  <c r="Q118" i="70"/>
  <c r="Q119" i="70"/>
  <c r="Q130" i="70"/>
  <c r="O205" i="21"/>
  <c r="N206" i="21"/>
  <c r="N207" i="21"/>
  <c r="U130" i="70"/>
  <c r="U90" i="70"/>
  <c r="U91" i="70"/>
  <c r="U112" i="70"/>
  <c r="U114" i="70"/>
  <c r="U116" i="70"/>
  <c r="U118" i="70"/>
  <c r="U119" i="70"/>
  <c r="Y220" i="21"/>
  <c r="X221" i="21"/>
  <c r="X222" i="21"/>
  <c r="R99" i="70"/>
  <c r="Q101" i="70"/>
  <c r="S26" i="70"/>
  <c r="R28" i="70"/>
  <c r="V90" i="70"/>
  <c r="V91" i="70"/>
  <c r="V112" i="70"/>
  <c r="V114" i="70"/>
  <c r="V116" i="70"/>
  <c r="V118" i="70"/>
  <c r="V119" i="70"/>
  <c r="V130" i="70"/>
  <c r="B132" i="70"/>
  <c r="S166" i="35"/>
  <c r="S168" i="35"/>
  <c r="T158" i="35"/>
  <c r="S175" i="35"/>
  <c r="Z220" i="21"/>
  <c r="Y221" i="21"/>
  <c r="Y222" i="21"/>
  <c r="U158" i="35"/>
  <c r="T166" i="35"/>
  <c r="T168" i="35"/>
  <c r="T175" i="35"/>
  <c r="S99" i="70"/>
  <c r="R101" i="70"/>
  <c r="T26" i="70"/>
  <c r="S28" i="70"/>
  <c r="O206" i="21"/>
  <c r="O207" i="21"/>
  <c r="P205" i="21"/>
  <c r="U166" i="35"/>
  <c r="U168" i="35"/>
  <c r="V158" i="35"/>
  <c r="U175" i="35"/>
  <c r="Z221" i="21"/>
  <c r="Z222" i="21"/>
  <c r="AA220" i="21"/>
  <c r="T28" i="70"/>
  <c r="U26" i="70"/>
  <c r="S101" i="70"/>
  <c r="T99" i="70"/>
  <c r="P206" i="21"/>
  <c r="P207" i="21"/>
  <c r="Q205" i="21"/>
  <c r="U28" i="70"/>
  <c r="V26" i="70"/>
  <c r="T101" i="70"/>
  <c r="U99" i="70"/>
  <c r="AA221" i="21"/>
  <c r="AA222" i="21"/>
  <c r="AB220" i="21"/>
  <c r="R205" i="21"/>
  <c r="Q206" i="21"/>
  <c r="Q207" i="21"/>
  <c r="W158" i="35"/>
  <c r="V166" i="35"/>
  <c r="V168" i="35"/>
  <c r="V175" i="35"/>
  <c r="AC220" i="21"/>
  <c r="AB221" i="21"/>
  <c r="AB222" i="21"/>
  <c r="V28" i="70"/>
  <c r="V57" i="70"/>
  <c r="B59" i="70"/>
  <c r="X158" i="35"/>
  <c r="W166" i="35"/>
  <c r="W168" i="35"/>
  <c r="W175" i="35"/>
  <c r="V99" i="70"/>
  <c r="V101" i="70"/>
  <c r="U101" i="70"/>
  <c r="R206" i="21"/>
  <c r="R207" i="21"/>
  <c r="S205" i="21"/>
  <c r="T205" i="21"/>
  <c r="S206" i="21"/>
  <c r="S207" i="21"/>
  <c r="Y158" i="35"/>
  <c r="X166" i="35"/>
  <c r="X168" i="35"/>
  <c r="X175" i="35"/>
  <c r="AD220" i="21"/>
  <c r="AC221" i="21"/>
  <c r="AC222" i="21"/>
  <c r="Y166" i="35"/>
  <c r="Y168" i="35"/>
  <c r="Z158" i="35"/>
  <c r="Y175" i="35"/>
  <c r="U205" i="21"/>
  <c r="T206" i="21"/>
  <c r="T207" i="21"/>
  <c r="AD221" i="21"/>
  <c r="AD222" i="21"/>
  <c r="AE220" i="21"/>
  <c r="U206" i="21"/>
  <c r="U207" i="21"/>
  <c r="V205" i="21"/>
  <c r="AA158" i="35"/>
  <c r="Z166" i="35"/>
  <c r="Z168" i="35"/>
  <c r="Z175" i="35"/>
  <c r="AE221" i="21"/>
  <c r="AE222" i="21"/>
  <c r="AF220" i="21"/>
  <c r="V206" i="21"/>
  <c r="W205" i="21"/>
  <c r="V207" i="21"/>
  <c r="AG220" i="21"/>
  <c r="AF221" i="21"/>
  <c r="AF222" i="21"/>
  <c r="AA166" i="35"/>
  <c r="AA168" i="35"/>
  <c r="AB158" i="35"/>
  <c r="AA175" i="35"/>
  <c r="AB166" i="35"/>
  <c r="AB168" i="35"/>
  <c r="AC158" i="35"/>
  <c r="AB175" i="35"/>
  <c r="X205" i="21"/>
  <c r="W206" i="21"/>
  <c r="W207" i="21"/>
  <c r="AG221" i="21"/>
  <c r="AG222" i="21"/>
  <c r="AH220" i="21"/>
  <c r="AH221" i="21"/>
  <c r="AH222" i="21"/>
  <c r="AI220" i="21"/>
  <c r="AC166" i="35"/>
  <c r="AC168" i="35"/>
  <c r="AD158" i="35"/>
  <c r="AC175" i="35"/>
  <c r="Y205" i="21"/>
  <c r="X206" i="21"/>
  <c r="X207" i="21"/>
  <c r="AD166" i="35"/>
  <c r="AD168" i="35"/>
  <c r="AE158" i="35"/>
  <c r="AD175" i="35"/>
  <c r="Z205" i="21"/>
  <c r="Y206" i="21"/>
  <c r="Y207" i="21"/>
  <c r="AI221" i="21"/>
  <c r="AI222" i="21"/>
  <c r="AJ220" i="21"/>
  <c r="Z206" i="21"/>
  <c r="Z207" i="21"/>
  <c r="AJ221" i="21"/>
  <c r="AJ222" i="21"/>
  <c r="AK220" i="21"/>
  <c r="AE166" i="35"/>
  <c r="AE168" i="35"/>
  <c r="AF158" i="35"/>
  <c r="AE175" i="35"/>
  <c r="AA205" i="21"/>
  <c r="AB205" i="21"/>
  <c r="AA206" i="21"/>
  <c r="AA207" i="21"/>
  <c r="AL220" i="21"/>
  <c r="AK221" i="21"/>
  <c r="AK222" i="21"/>
  <c r="AF166" i="35"/>
  <c r="AF168" i="35"/>
  <c r="B171" i="35"/>
  <c r="AF175" i="35"/>
  <c r="B190" i="35"/>
  <c r="B194" i="35"/>
  <c r="AL221" i="21"/>
  <c r="AL222" i="21"/>
  <c r="AM220" i="21"/>
  <c r="AB206" i="21"/>
  <c r="AB207" i="21"/>
  <c r="AC205" i="21"/>
  <c r="AC206" i="21"/>
  <c r="AC207" i="21"/>
  <c r="AD205" i="21"/>
  <c r="AN220" i="21"/>
  <c r="AM221" i="21"/>
  <c r="AM222" i="21"/>
  <c r="AD206" i="21"/>
  <c r="AD207" i="21"/>
  <c r="AE205" i="21"/>
  <c r="AO220" i="21"/>
  <c r="AN221" i="21"/>
  <c r="AN222" i="21"/>
  <c r="AF205" i="21"/>
  <c r="AE206" i="21"/>
  <c r="AE207" i="21"/>
  <c r="AO221" i="21"/>
  <c r="AO222" i="21"/>
  <c r="AP220" i="21"/>
  <c r="AP221" i="21"/>
  <c r="AP222" i="21"/>
  <c r="B225" i="21"/>
  <c r="AF206" i="21"/>
  <c r="AF207" i="21"/>
  <c r="AG205" i="21"/>
  <c r="AH205" i="21"/>
  <c r="AG206" i="21"/>
  <c r="AG207" i="21"/>
  <c r="AH206" i="21"/>
  <c r="AH207" i="21"/>
  <c r="AI205" i="21"/>
  <c r="AJ205" i="21"/>
  <c r="AI206" i="21"/>
  <c r="AI207" i="21"/>
  <c r="AK205" i="21"/>
  <c r="AJ206" i="21"/>
  <c r="AJ207" i="21"/>
  <c r="AL205" i="21"/>
  <c r="AK206" i="21"/>
  <c r="AK207" i="21"/>
  <c r="AL206" i="21"/>
  <c r="AL207" i="21"/>
  <c r="AM205" i="21"/>
  <c r="AN205" i="21"/>
  <c r="AM206" i="21"/>
  <c r="AM207" i="21"/>
  <c r="AN206" i="21"/>
  <c r="AN207" i="21"/>
  <c r="AO205" i="21"/>
  <c r="AO206" i="21"/>
  <c r="AO207" i="21"/>
  <c r="AP205" i="21"/>
  <c r="AP206" i="21"/>
  <c r="AP207" i="21"/>
  <c r="B210" i="21"/>
  <c r="F213" i="21"/>
  <c r="F46" i="57"/>
  <c r="C30" i="45"/>
  <c r="A54" i="39"/>
  <c r="A62" i="39"/>
  <c r="B15" i="29"/>
  <c r="B16" i="29"/>
  <c r="B12" i="29"/>
  <c r="H40" i="57"/>
  <c r="G98" i="57"/>
  <c r="G40" i="57"/>
  <c r="E81" i="57"/>
  <c r="F40" i="57"/>
  <c r="F98" i="57"/>
  <c r="E40" i="57"/>
  <c r="E71" i="57"/>
  <c r="E114" i="57"/>
  <c r="E98" i="57"/>
  <c r="F15" i="57"/>
  <c r="O13" i="57"/>
  <c r="P13" i="57"/>
  <c r="G15" i="57"/>
  <c r="F71" i="57"/>
  <c r="F114" i="57"/>
  <c r="M19" i="57"/>
  <c r="D21" i="57"/>
  <c r="C81" i="57"/>
  <c r="C116" i="57"/>
  <c r="C117" i="57"/>
  <c r="C108" i="57"/>
  <c r="D116" i="57"/>
  <c r="D117" i="57"/>
  <c r="D108" i="57"/>
  <c r="D106" i="57"/>
  <c r="D40" i="57"/>
  <c r="D98" i="57"/>
  <c r="N11" i="57"/>
  <c r="E13" i="57"/>
  <c r="D71" i="57"/>
  <c r="D114" i="57"/>
  <c r="G111" i="57"/>
  <c r="G35" i="57"/>
  <c r="P7" i="57"/>
  <c r="G97" i="57"/>
  <c r="G54" i="57"/>
  <c r="E116" i="57"/>
  <c r="E117" i="57"/>
  <c r="E108" i="57"/>
  <c r="C71" i="57"/>
  <c r="C114" i="57"/>
  <c r="D88" i="57"/>
  <c r="G99" i="57"/>
  <c r="L15" i="57"/>
  <c r="C105" i="57"/>
  <c r="C94" i="57"/>
  <c r="F85" i="57"/>
  <c r="F93" i="57"/>
  <c r="C19" i="57"/>
  <c r="E101" i="57"/>
  <c r="H107" i="57"/>
  <c r="H89" i="57"/>
  <c r="H25" i="57"/>
  <c r="Q21" i="57"/>
  <c r="H112" i="57"/>
  <c r="H115" i="57"/>
  <c r="O12" i="57"/>
  <c r="C51" i="30"/>
  <c r="C42" i="30"/>
  <c r="B43" i="30"/>
  <c r="B45" i="30"/>
  <c r="B46" i="30"/>
  <c r="B48" i="30"/>
  <c r="C23" i="30"/>
  <c r="C25" i="30"/>
  <c r="B23" i="30"/>
  <c r="B24" i="30"/>
  <c r="B26" i="30"/>
  <c r="L17" i="24"/>
  <c r="F17" i="24"/>
  <c r="I17" i="24"/>
  <c r="N17" i="24"/>
  <c r="C17" i="24"/>
  <c r="D17" i="24"/>
  <c r="H17" i="24"/>
  <c r="E17" i="24"/>
  <c r="M17" i="24"/>
  <c r="B20" i="24"/>
  <c r="J17" i="24"/>
  <c r="K16" i="24"/>
  <c r="H16" i="24"/>
  <c r="I16" i="24"/>
  <c r="J16" i="24"/>
  <c r="F16" i="24"/>
  <c r="B14" i="24"/>
  <c r="N16" i="24"/>
  <c r="L16" i="24"/>
  <c r="D16" i="24"/>
  <c r="M16" i="24"/>
  <c r="E16" i="24"/>
  <c r="G16" i="24"/>
  <c r="C16" i="24"/>
  <c r="B13" i="24"/>
  <c r="B196" i="21"/>
  <c r="E87" i="33"/>
  <c r="G58" i="33"/>
  <c r="D78" i="33"/>
  <c r="D103" i="33"/>
  <c r="D104" i="33"/>
  <c r="D105" i="33"/>
  <c r="C103" i="33"/>
  <c r="C50" i="33"/>
  <c r="C49" i="33"/>
  <c r="F79" i="33"/>
  <c r="F80" i="33"/>
  <c r="F81" i="33"/>
  <c r="F52" i="33"/>
  <c r="C83" i="33"/>
  <c r="C85" i="33"/>
  <c r="D79" i="33"/>
  <c r="D80" i="33"/>
  <c r="D81" i="33"/>
  <c r="E100" i="33"/>
  <c r="F100" i="33"/>
  <c r="F102" i="33"/>
  <c r="E78" i="33"/>
  <c r="B36" i="24"/>
  <c r="B37" i="24"/>
  <c r="B35" i="24"/>
  <c r="E102" i="70"/>
  <c r="F102" i="70"/>
  <c r="G102" i="70"/>
  <c r="H102" i="70"/>
  <c r="I102" i="70"/>
  <c r="J102" i="70"/>
  <c r="K102" i="70"/>
  <c r="L102" i="70"/>
  <c r="M102" i="70"/>
  <c r="N102" i="70"/>
  <c r="O102" i="70"/>
  <c r="P102" i="70"/>
  <c r="Q102" i="70"/>
  <c r="R102" i="70"/>
  <c r="S102" i="70"/>
  <c r="T102" i="70"/>
  <c r="U102" i="70"/>
  <c r="V102" i="70"/>
  <c r="C29" i="70"/>
  <c r="D29" i="70"/>
  <c r="E29" i="70"/>
  <c r="F29" i="70"/>
  <c r="G29" i="70"/>
  <c r="H29" i="70"/>
  <c r="I29" i="70"/>
  <c r="J29" i="70"/>
  <c r="K29" i="70"/>
  <c r="L29" i="70"/>
  <c r="M29" i="70"/>
  <c r="N29" i="70"/>
  <c r="O29" i="70"/>
  <c r="P29" i="70"/>
  <c r="Q29" i="70"/>
  <c r="R29" i="70"/>
  <c r="S29" i="70"/>
  <c r="T29" i="70"/>
  <c r="U29" i="70"/>
  <c r="V29" i="70"/>
  <c r="C39" i="70"/>
  <c r="C41" i="70"/>
  <c r="C43" i="70"/>
  <c r="C45" i="70"/>
  <c r="C46" i="70"/>
  <c r="C112" i="70"/>
  <c r="C114" i="70"/>
  <c r="C116" i="70"/>
  <c r="C118" i="70"/>
  <c r="C119" i="70"/>
  <c r="C103" i="70"/>
  <c r="B16" i="40"/>
  <c r="B20" i="40"/>
  <c r="B53" i="40"/>
  <c r="B27" i="40"/>
  <c r="B29" i="40"/>
  <c r="B35" i="40"/>
  <c r="C40" i="40"/>
  <c r="C14" i="40"/>
  <c r="D78" i="40"/>
  <c r="F77" i="40"/>
  <c r="A44" i="39"/>
  <c r="A55" i="39"/>
  <c r="A63" i="39"/>
  <c r="B14" i="38"/>
  <c r="D88" i="33"/>
  <c r="F88" i="33"/>
  <c r="D45" i="44"/>
  <c r="B33" i="44"/>
  <c r="E45" i="44"/>
  <c r="E49" i="44"/>
  <c r="F45" i="44"/>
  <c r="F49" i="44"/>
  <c r="B67" i="44"/>
  <c r="C45" i="44"/>
  <c r="C49" i="44"/>
  <c r="B45" i="44"/>
  <c r="H78" i="21"/>
  <c r="D49" i="44"/>
  <c r="L19" i="57"/>
  <c r="C21" i="57"/>
  <c r="G88" i="57"/>
  <c r="P15" i="57"/>
  <c r="G19" i="57"/>
  <c r="G105" i="57"/>
  <c r="G85" i="57"/>
  <c r="G93" i="57"/>
  <c r="C106" i="57"/>
  <c r="E15" i="57"/>
  <c r="N13" i="57"/>
  <c r="D25" i="57"/>
  <c r="M21" i="57"/>
  <c r="D112" i="57"/>
  <c r="D115" i="57"/>
  <c r="D89" i="57"/>
  <c r="D107" i="57"/>
  <c r="F88" i="57"/>
  <c r="O15" i="57"/>
  <c r="F19" i="57"/>
  <c r="H27" i="57"/>
  <c r="Q25" i="57"/>
  <c r="C43" i="30"/>
  <c r="C45" i="30"/>
  <c r="B47" i="30"/>
  <c r="B50" i="30"/>
  <c r="B25" i="30"/>
  <c r="C24" i="30"/>
  <c r="C26" i="30"/>
  <c r="C28" i="30"/>
  <c r="C47" i="30"/>
  <c r="C46" i="30"/>
  <c r="C48" i="30"/>
  <c r="B28" i="30"/>
  <c r="B18" i="24"/>
  <c r="B22" i="24"/>
  <c r="B23" i="24"/>
  <c r="E88" i="33"/>
  <c r="G59" i="33"/>
  <c r="F56" i="33"/>
  <c r="C86" i="33"/>
  <c r="F57" i="33"/>
  <c r="C89" i="33"/>
  <c r="F60" i="33"/>
  <c r="D109" i="33"/>
  <c r="D107" i="33"/>
  <c r="D114" i="33"/>
  <c r="F83" i="33"/>
  <c r="F90" i="33"/>
  <c r="F85" i="33"/>
  <c r="F103" i="33"/>
  <c r="F104" i="33"/>
  <c r="F105" i="33"/>
  <c r="C104" i="33"/>
  <c r="D83" i="33"/>
  <c r="D90" i="33"/>
  <c r="D47" i="33"/>
  <c r="E102" i="33"/>
  <c r="E79" i="33"/>
  <c r="G50" i="33"/>
  <c r="G49" i="33"/>
  <c r="F54" i="33"/>
  <c r="C90" i="33"/>
  <c r="F61" i="33"/>
  <c r="D103" i="70"/>
  <c r="C104" i="70"/>
  <c r="C30" i="70"/>
  <c r="C63" i="70"/>
  <c r="B65" i="70"/>
  <c r="C16" i="40"/>
  <c r="C48" i="40"/>
  <c r="C52" i="40"/>
  <c r="C42" i="40"/>
  <c r="C44" i="40"/>
  <c r="B28" i="40"/>
  <c r="F76" i="40"/>
  <c r="F78" i="40"/>
  <c r="A45" i="39"/>
  <c r="A56" i="39"/>
  <c r="A64" i="39"/>
  <c r="H45" i="44"/>
  <c r="F46" i="44"/>
  <c r="B50" i="44"/>
  <c r="B52" i="44"/>
  <c r="B54" i="44"/>
  <c r="B49" i="44"/>
  <c r="P19" i="57"/>
  <c r="G106" i="57"/>
  <c r="G21" i="57"/>
  <c r="H36" i="57"/>
  <c r="H39" i="57"/>
  <c r="H41" i="57"/>
  <c r="H47" i="57"/>
  <c r="H50" i="57"/>
  <c r="Q27" i="57"/>
  <c r="H29" i="57"/>
  <c r="M25" i="57"/>
  <c r="D27" i="57"/>
  <c r="L21" i="57"/>
  <c r="C112" i="57"/>
  <c r="C115" i="57"/>
  <c r="C107" i="57"/>
  <c r="C89" i="57"/>
  <c r="C25" i="57"/>
  <c r="F106" i="57"/>
  <c r="O19" i="57"/>
  <c r="F21" i="57"/>
  <c r="E19" i="57"/>
  <c r="N15" i="57"/>
  <c r="E88" i="57"/>
  <c r="B53" i="30"/>
  <c r="C50" i="30"/>
  <c r="C53" i="30"/>
  <c r="B25" i="24"/>
  <c r="F107" i="33"/>
  <c r="F114" i="33"/>
  <c r="F86" i="33"/>
  <c r="F89" i="33"/>
  <c r="D49" i="33"/>
  <c r="E103" i="33"/>
  <c r="D50" i="33"/>
  <c r="D110" i="33"/>
  <c r="D113" i="33"/>
  <c r="E80" i="33"/>
  <c r="D85" i="33"/>
  <c r="C51" i="33"/>
  <c r="C105" i="33"/>
  <c r="D104" i="70"/>
  <c r="E103" i="70"/>
  <c r="D30" i="70"/>
  <c r="C31" i="70"/>
  <c r="C53" i="40"/>
  <c r="C56" i="40"/>
  <c r="A46" i="39"/>
  <c r="A58" i="39"/>
  <c r="A66" i="39"/>
  <c r="A57" i="39"/>
  <c r="A65" i="39"/>
  <c r="O21" i="57"/>
  <c r="F112" i="57"/>
  <c r="F115" i="57"/>
  <c r="F107" i="57"/>
  <c r="F89" i="57"/>
  <c r="F25" i="57"/>
  <c r="Q29" i="57"/>
  <c r="H118" i="57"/>
  <c r="H119" i="57"/>
  <c r="C27" i="57"/>
  <c r="L25" i="57"/>
  <c r="D36" i="57"/>
  <c r="D39" i="57"/>
  <c r="D41" i="57"/>
  <c r="D47" i="57"/>
  <c r="D50" i="57"/>
  <c r="D29" i="57"/>
  <c r="M27" i="57"/>
  <c r="N19" i="57"/>
  <c r="E21" i="57"/>
  <c r="E106" i="57"/>
  <c r="G25" i="57"/>
  <c r="G89" i="57"/>
  <c r="G107" i="57"/>
  <c r="P21" i="57"/>
  <c r="G112" i="57"/>
  <c r="G115" i="57"/>
  <c r="D86" i="33"/>
  <c r="D89" i="33"/>
  <c r="E104" i="33"/>
  <c r="C107" i="33"/>
  <c r="C109" i="33"/>
  <c r="C52" i="33"/>
  <c r="G51" i="33"/>
  <c r="E81" i="33"/>
  <c r="F109" i="33"/>
  <c r="E30" i="70"/>
  <c r="D31" i="70"/>
  <c r="E104" i="70"/>
  <c r="F103" i="70"/>
  <c r="C29" i="57"/>
  <c r="C36" i="57"/>
  <c r="C39" i="57"/>
  <c r="C41" i="57"/>
  <c r="C47" i="57"/>
  <c r="C50" i="57"/>
  <c r="L27" i="57"/>
  <c r="E107" i="57"/>
  <c r="E89" i="57"/>
  <c r="N21" i="57"/>
  <c r="E112" i="57"/>
  <c r="E115" i="57"/>
  <c r="E25" i="57"/>
  <c r="F27" i="57"/>
  <c r="O25" i="57"/>
  <c r="G27" i="57"/>
  <c r="P25" i="57"/>
  <c r="M29" i="57"/>
  <c r="D118" i="57"/>
  <c r="D119" i="57"/>
  <c r="C56" i="33"/>
  <c r="C110" i="33"/>
  <c r="C57" i="33"/>
  <c r="C113" i="33"/>
  <c r="C60" i="33"/>
  <c r="E105" i="33"/>
  <c r="D51" i="33"/>
  <c r="E83" i="33"/>
  <c r="E85" i="33"/>
  <c r="G52" i="33"/>
  <c r="C114" i="33"/>
  <c r="C61" i="33"/>
  <c r="C54" i="33"/>
  <c r="F110" i="33"/>
  <c r="F113" i="33"/>
  <c r="G113" i="33"/>
  <c r="F104" i="70"/>
  <c r="G103" i="70"/>
  <c r="E31" i="70"/>
  <c r="F30" i="70"/>
  <c r="F29" i="57"/>
  <c r="F36" i="57"/>
  <c r="F39" i="57"/>
  <c r="F41" i="57"/>
  <c r="F47" i="57"/>
  <c r="F50" i="57"/>
  <c r="O27" i="57"/>
  <c r="N25" i="57"/>
  <c r="E27" i="57"/>
  <c r="L29" i="57"/>
  <c r="C118" i="57"/>
  <c r="C119" i="57"/>
  <c r="P27" i="57"/>
  <c r="G29" i="57"/>
  <c r="G36" i="57"/>
  <c r="G39" i="57"/>
  <c r="G41" i="57"/>
  <c r="G47" i="57"/>
  <c r="G50" i="57"/>
  <c r="G56" i="33"/>
  <c r="E86" i="33"/>
  <c r="G57" i="33"/>
  <c r="E89" i="33"/>
  <c r="G60" i="33"/>
  <c r="G54" i="33"/>
  <c r="E90" i="33"/>
  <c r="G61" i="33"/>
  <c r="D52" i="33"/>
  <c r="E107" i="33"/>
  <c r="H103" i="70"/>
  <c r="G104" i="70"/>
  <c r="F31" i="70"/>
  <c r="G30" i="70"/>
  <c r="E36" i="57"/>
  <c r="E39" i="57"/>
  <c r="E41" i="57"/>
  <c r="E47" i="57"/>
  <c r="E50" i="57"/>
  <c r="E29" i="57"/>
  <c r="N27" i="57"/>
  <c r="G118" i="57"/>
  <c r="G119" i="57"/>
  <c r="P29" i="57"/>
  <c r="F118" i="57"/>
  <c r="F119" i="57"/>
  <c r="O29" i="57"/>
  <c r="E114" i="33"/>
  <c r="D61" i="33"/>
  <c r="D54" i="33"/>
  <c r="E109" i="33"/>
  <c r="H104" i="70"/>
  <c r="I103" i="70"/>
  <c r="G31" i="70"/>
  <c r="H30" i="70"/>
  <c r="N29" i="57"/>
  <c r="E118" i="57"/>
  <c r="E119" i="57"/>
  <c r="E113" i="33"/>
  <c r="D60" i="33"/>
  <c r="D56" i="33"/>
  <c r="E110" i="33"/>
  <c r="D57" i="33"/>
  <c r="I30" i="70"/>
  <c r="H31" i="70"/>
  <c r="J103" i="70"/>
  <c r="I104" i="70"/>
  <c r="J104" i="70"/>
  <c r="K103" i="70"/>
  <c r="J30" i="70"/>
  <c r="I31" i="70"/>
  <c r="J31" i="70"/>
  <c r="K30" i="70"/>
  <c r="L103" i="70"/>
  <c r="K104" i="70"/>
  <c r="L30" i="70"/>
  <c r="K31" i="70"/>
  <c r="L104" i="70"/>
  <c r="M103" i="70"/>
  <c r="M30" i="70"/>
  <c r="L31" i="70"/>
  <c r="N103" i="70"/>
  <c r="M104" i="70"/>
  <c r="M31" i="70"/>
  <c r="N30" i="70"/>
  <c r="N104" i="70"/>
  <c r="O103" i="70"/>
  <c r="P103" i="70"/>
  <c r="O104" i="70"/>
  <c r="O30" i="70"/>
  <c r="N31" i="70"/>
  <c r="Q103" i="70"/>
  <c r="P104" i="70"/>
  <c r="O31" i="70"/>
  <c r="P30" i="70"/>
  <c r="R103" i="70"/>
  <c r="Q104" i="70"/>
  <c r="P31" i="70"/>
  <c r="Q30" i="70"/>
  <c r="R30" i="70"/>
  <c r="Q31" i="70"/>
  <c r="S103" i="70"/>
  <c r="R104" i="70"/>
  <c r="S104" i="70"/>
  <c r="T103" i="70"/>
  <c r="S30" i="70"/>
  <c r="R31" i="70"/>
  <c r="T104" i="70"/>
  <c r="U103" i="70"/>
  <c r="S31" i="70"/>
  <c r="T30" i="70"/>
  <c r="V103" i="70"/>
  <c r="V104" i="70"/>
  <c r="U104" i="70"/>
  <c r="U30" i="70"/>
  <c r="T31" i="70"/>
  <c r="U31" i="70"/>
  <c r="V30" i="70"/>
  <c r="V31"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37" authorId="0" shapeId="0" xr:uid="{5130DE2C-2F58-4946-A85E-3463AB5E7AB1}">
      <text>
        <r>
          <rPr>
            <sz val="8"/>
            <color indexed="81"/>
            <rFont val="Tahoma"/>
            <family val="2"/>
          </rPr>
          <t>Escomptes accordés déduits du chiffre d'affaires.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pascal quiry</author>
  </authors>
  <commentList>
    <comment ref="C62" authorId="0" shapeId="0" xr:uid="{00000000-0006-0000-0B00-000001000000}">
      <text>
        <r>
          <rPr>
            <b/>
            <sz val="9"/>
            <color indexed="81"/>
            <rFont val="Arial"/>
            <family val="2"/>
          </rPr>
          <t>pascal quiry:</t>
        </r>
        <r>
          <rPr>
            <sz val="9"/>
            <color indexed="81"/>
            <rFont val="Arial"/>
            <family val="2"/>
          </rPr>
          <t xml:space="preserve">
yc avances clienst pour 4253
</t>
        </r>
      </text>
    </comment>
  </commentList>
</comments>
</file>

<file path=xl/sharedStrings.xml><?xml version="1.0" encoding="utf-8"?>
<sst xmlns="http://schemas.openxmlformats.org/spreadsheetml/2006/main" count="3093" uniqueCount="1795">
  <si>
    <t>Si le producteur achète le distributeur, il porte un besoin de trésorerie de 900 pendant 90 jours et de 100 pendant 30 jours, soit 933 en moyenne sur 90 jours contre 900 sur 60 jours. Son BFR a donc augmenté.</t>
  </si>
  <si>
    <t>EXERCICE  1</t>
  </si>
  <si>
    <t>EXERCICE  2</t>
  </si>
  <si>
    <t>EXERCICE  3</t>
  </si>
  <si>
    <t>aujourd hui</t>
  </si>
  <si>
    <t>dans</t>
  </si>
  <si>
    <t xml:space="preserve">dans </t>
  </si>
  <si>
    <t>taux d'intérêt</t>
  </si>
  <si>
    <t>EXERCICE  4</t>
  </si>
  <si>
    <t>encours avec 75 jours</t>
  </si>
  <si>
    <t>HT</t>
  </si>
  <si>
    <t>TVA</t>
  </si>
  <si>
    <t>encours avec 60 jours</t>
  </si>
  <si>
    <t>gain de trésorerie</t>
  </si>
  <si>
    <t>EXERCICE  5</t>
  </si>
  <si>
    <t>Marge mensuelle : 100 000 × 25 % = 25 000 €. Risque financier de l’entreprise : 100 000 × (1 – 25 %) × 3 mois = 225 000 €. 225 / 25 = 9 mois de marge encaissées. Délai 9 + 3 mois de marges non encaissé = 1 an. 2 mois de délais veut dire 3 mois de facturation car le client fait faillite juste avant une échéance et non juste après.</t>
  </si>
  <si>
    <t>subventions d'exploitation</t>
  </si>
  <si>
    <t>soldes des autres produits et charges d'exploitation (y.c. cessions d'exploitation)</t>
  </si>
  <si>
    <t>charges financières</t>
  </si>
  <si>
    <t>produits financiers</t>
  </si>
  <si>
    <t>Charges exceptionelles de gestion</t>
  </si>
  <si>
    <t>impôt sur les bénéfices</t>
  </si>
  <si>
    <t>dotations aux amortissements nettes des reprises</t>
  </si>
  <si>
    <t>Résultat d'exploitation (avant amortissement de la survaleur)</t>
  </si>
  <si>
    <t>Rentabilité des capitaux propres part du groupe</t>
  </si>
  <si>
    <t>+ Clients</t>
  </si>
  <si>
    <t xml:space="preserve">3ans, 5 mois et 17 Jours = </t>
  </si>
  <si>
    <t>Résultat =</t>
  </si>
  <si>
    <t>Nbre PC produits</t>
  </si>
  <si>
    <t>Exercice 2:</t>
  </si>
  <si>
    <t>Valeur au 1er janvier</t>
  </si>
  <si>
    <t>Ecart Type</t>
  </si>
  <si>
    <t>Rentabilité moyenne</t>
  </si>
  <si>
    <t>σ E</t>
  </si>
  <si>
    <t>Rentabilité H</t>
  </si>
  <si>
    <t>σ H</t>
  </si>
  <si>
    <t>XH</t>
  </si>
  <si>
    <t>XH (Z)</t>
  </si>
  <si>
    <t>β Shell</t>
  </si>
  <si>
    <t>β Deutsche Telekom</t>
  </si>
  <si>
    <t>r Deutsche Telekom</t>
  </si>
  <si>
    <t>r Shell</t>
  </si>
  <si>
    <t>prix estimé Lapparent.com</t>
  </si>
  <si>
    <t>Société Boilevé</t>
  </si>
  <si>
    <t>Tableau des flux de trésorerie</t>
  </si>
  <si>
    <t>Bilan</t>
  </si>
  <si>
    <t>Jours de crédit client</t>
  </si>
  <si>
    <t>Jours de stocks</t>
  </si>
  <si>
    <t>Jours de fournisseurs</t>
  </si>
  <si>
    <t>Achats en % du chiffre d'affaires</t>
  </si>
  <si>
    <t>Concours bancaires courants</t>
  </si>
  <si>
    <t>Produits d'exploitation</t>
  </si>
  <si>
    <t>Achats de marchandises et de matières premières</t>
  </si>
  <si>
    <t>Variation de stocks</t>
  </si>
  <si>
    <t>Autres charges externes</t>
  </si>
  <si>
    <t>Charges de personnel</t>
  </si>
  <si>
    <t>Charges d'exploitation</t>
  </si>
  <si>
    <t>Résultat financier</t>
  </si>
  <si>
    <t>Résultat exceptionnel</t>
  </si>
  <si>
    <t>Dividendes versés (D)</t>
  </si>
  <si>
    <t>= Flux d'investissement (B)</t>
  </si>
  <si>
    <t>Effets remis à l'escompte et non échus</t>
  </si>
  <si>
    <t>Consommation de matières premières</t>
  </si>
  <si>
    <t>Endettement bancaire net</t>
  </si>
  <si>
    <t>Ratios</t>
  </si>
  <si>
    <t>Capitaux propres / Endettement net</t>
  </si>
  <si>
    <t>Entreprise</t>
  </si>
  <si>
    <t>a)</t>
  </si>
  <si>
    <t>b)</t>
  </si>
  <si>
    <t>Frais variables</t>
  </si>
  <si>
    <t>Frais fixes</t>
  </si>
  <si>
    <t>EBE</t>
  </si>
  <si>
    <t>Résutalt d'exploitation</t>
  </si>
  <si>
    <t>Résultat courant avant impôt</t>
  </si>
  <si>
    <t>A</t>
  </si>
  <si>
    <t>B</t>
  </si>
  <si>
    <t>C</t>
  </si>
  <si>
    <t>D</t>
  </si>
  <si>
    <t>Point mort après frais financiers</t>
  </si>
  <si>
    <t>Point mort avant frais financiers</t>
  </si>
  <si>
    <t>CA/Point mort</t>
  </si>
  <si>
    <t>Dotations aux provisions</t>
  </si>
  <si>
    <t>Impôts sur les sociétés</t>
  </si>
  <si>
    <t>Politique de distribution de SEB, voir le corrigé dans le livre</t>
  </si>
  <si>
    <t>Exercice 2 : entreprise Gassoumi</t>
  </si>
  <si>
    <t>créances douteuses</t>
  </si>
  <si>
    <t>Taux d'impôt sur les sociétés</t>
  </si>
  <si>
    <t>Valeur percue dans 3 ans</t>
  </si>
  <si>
    <t>2. annuités égales</t>
  </si>
  <si>
    <t>1. paiement</t>
  </si>
  <si>
    <t>Multiplicateur</t>
  </si>
  <si>
    <t>Valeur actuelle de la rente sur 3 ans</t>
  </si>
  <si>
    <t>rente</t>
  </si>
  <si>
    <t>Différence</t>
  </si>
  <si>
    <t>E*</t>
  </si>
  <si>
    <t>Obligation</t>
  </si>
  <si>
    <t>Échéance (an)</t>
  </si>
  <si>
    <t>Coupon annuel</t>
  </si>
  <si>
    <t>- IS</t>
  </si>
  <si>
    <t>Structure financière "cible"</t>
  </si>
  <si>
    <t>Taux de croissance à l'infini</t>
  </si>
  <si>
    <t>Valeur terminale</t>
  </si>
  <si>
    <t>VD</t>
  </si>
  <si>
    <t>VCP</t>
  </si>
  <si>
    <t>- des flux sur l'horizon explicite</t>
  </si>
  <si>
    <t>- de la valeur terminale</t>
  </si>
  <si>
    <t>Multiple REX</t>
  </si>
  <si>
    <t>Flux normatif</t>
  </si>
  <si>
    <t>Nb de voix</t>
  </si>
  <si>
    <t>-&gt; En possédant 1/3 des actions +1, l'actionnaire contrôle l'AGO</t>
  </si>
  <si>
    <t>-&gt; En possédant 50% des actions +1, l'actionnaire contrôle l'AGE</t>
  </si>
  <si>
    <t>Droits de vote</t>
  </si>
  <si>
    <t>Droit de vote</t>
  </si>
  <si>
    <t>Cas 1/3 - 2/3</t>
  </si>
  <si>
    <t>Cas 50-50</t>
  </si>
  <si>
    <t>Part</t>
  </si>
  <si>
    <t>Actions à droit de vote double</t>
  </si>
  <si>
    <t>Actions "classiques"</t>
  </si>
  <si>
    <t>Rentabilité</t>
  </si>
  <si>
    <t>Taux zéro coupons</t>
  </si>
  <si>
    <t>Prévisionnel</t>
  </si>
  <si>
    <t>Consommation de matières</t>
  </si>
  <si>
    <t>Autres services externes</t>
  </si>
  <si>
    <t>Sous-traitance</t>
  </si>
  <si>
    <t>Autres services externes (50%)</t>
  </si>
  <si>
    <t>Point mort opérationnel</t>
  </si>
  <si>
    <t>Point mort total</t>
  </si>
  <si>
    <t>Frais directs de production</t>
  </si>
  <si>
    <t>Frais généraux</t>
  </si>
  <si>
    <t>Cycle d'exploitation</t>
  </si>
  <si>
    <t>Stocks de matière premières</t>
  </si>
  <si>
    <t>jours</t>
  </si>
  <si>
    <t>Durée du cycle de production</t>
  </si>
  <si>
    <t>Stocks de produits finis</t>
  </si>
  <si>
    <t>mois</t>
  </si>
  <si>
    <t>Termes de paiement</t>
  </si>
  <si>
    <t>Clients</t>
  </si>
  <si>
    <t>Matières premières</t>
  </si>
  <si>
    <t>Créance client</t>
  </si>
  <si>
    <t>M€</t>
  </si>
  <si>
    <t>Encours production</t>
  </si>
  <si>
    <t>Frais de production</t>
  </si>
  <si>
    <t>% du CA</t>
  </si>
  <si>
    <t>Délai de règlement ou d'écoulement</t>
  </si>
  <si>
    <t>Stock matières premières</t>
  </si>
  <si>
    <t>Jours par mois</t>
  </si>
  <si>
    <t>BFR permanent</t>
  </si>
  <si>
    <t>CA année 1</t>
  </si>
  <si>
    <t>CA année 2</t>
  </si>
  <si>
    <t>EBE année 2</t>
  </si>
  <si>
    <t>Excédent de Trésorie d'Exploitation année 2</t>
  </si>
  <si>
    <t>Stocks (produits finis)</t>
  </si>
  <si>
    <t>Clients et effet à recevoir</t>
  </si>
  <si>
    <t>Fournisseurs et effets à payer</t>
  </si>
  <si>
    <t>Compte de Résultat</t>
  </si>
  <si>
    <t>Chiffre d'affaires HT</t>
  </si>
  <si>
    <t>Chiffre d'affaires TTC</t>
  </si>
  <si>
    <t>Achats TTC</t>
  </si>
  <si>
    <t>Rotation des stocks</t>
  </si>
  <si>
    <t>BFR en jours de CA</t>
  </si>
  <si>
    <t>Exercice 4</t>
  </si>
  <si>
    <t>Rotation stocks</t>
  </si>
  <si>
    <t>fois par an</t>
  </si>
  <si>
    <t>Prix revient marchandises</t>
  </si>
  <si>
    <t>CA HT</t>
  </si>
  <si>
    <t>Clients paient</t>
  </si>
  <si>
    <t>jours fin de mois</t>
  </si>
  <si>
    <t>Fournisseurs payés</t>
  </si>
  <si>
    <t>Salaire payés fin de mois</t>
  </si>
  <si>
    <t>TVA 19,6</t>
  </si>
  <si>
    <t>du mois suivant</t>
  </si>
  <si>
    <t>salaires, payées au</t>
  </si>
  <si>
    <t>payée au</t>
  </si>
  <si>
    <t>Solde TVA</t>
  </si>
  <si>
    <t>Exercice 5</t>
  </si>
  <si>
    <t>Crédit clients</t>
  </si>
  <si>
    <t>Crédit fournisseurs</t>
  </si>
  <si>
    <t>No TAV</t>
  </si>
  <si>
    <t>Actif immobilisé net</t>
  </si>
  <si>
    <t>Besoin en fonds de roulement</t>
  </si>
  <si>
    <t>nd</t>
  </si>
  <si>
    <t>Tableau de flux</t>
  </si>
  <si>
    <t>Flux de trésorie provenant de l'exploitation (A)</t>
  </si>
  <si>
    <t>Flux d'investissement (B)</t>
  </si>
  <si>
    <t>Augmentations de capital (C)</t>
  </si>
  <si>
    <t>(A)-(B)+(C)-(D)=Désendettement net</t>
  </si>
  <si>
    <t>Δ BFR</t>
  </si>
  <si>
    <t>Marge sur CA après IS</t>
  </si>
  <si>
    <t>Coût d'endettement avant IS</t>
  </si>
  <si>
    <t>Taux IS</t>
  </si>
  <si>
    <t>Actif Economique</t>
  </si>
  <si>
    <t>Structure financière</t>
  </si>
  <si>
    <t>Dette</t>
  </si>
  <si>
    <t>Rentabilité sur capitaux propres</t>
  </si>
  <si>
    <t>Effet de levier</t>
  </si>
  <si>
    <t>Entrez les capitaux propres</t>
  </si>
  <si>
    <t>Exercice 3</t>
  </si>
  <si>
    <t>Frais financiers avant impôts</t>
  </si>
  <si>
    <t>Taux d'imposition</t>
  </si>
  <si>
    <t>Re</t>
  </si>
  <si>
    <t>i</t>
  </si>
  <si>
    <t>Levier financier</t>
  </si>
  <si>
    <t>Rentabilité des capitaux propres</t>
  </si>
  <si>
    <t>Impôts sur les bénéfices</t>
  </si>
  <si>
    <t>Flux de trésorerie disponible</t>
  </si>
  <si>
    <t>Réduction du BFR</t>
  </si>
  <si>
    <t>Actif immobilisé</t>
  </si>
  <si>
    <t>Autres créances d'exploitation</t>
  </si>
  <si>
    <t>Capitaux propres part du groupe</t>
  </si>
  <si>
    <t>Dettes bancaires et financières LMT</t>
  </si>
  <si>
    <t>Rcp</t>
  </si>
  <si>
    <t>Exercice 1: Société HIC</t>
  </si>
  <si>
    <t>Exercice 2: Société Boilevé - plan de trésorie</t>
  </si>
  <si>
    <t>Valeur ajoutée</t>
  </si>
  <si>
    <t>pour la seconde obligation, on a 99 = 7/(1+t1) + 107/(1+t2)^2 ou t2 est la seule inconnue puisque maintenant on connait t1, on trouve alors t2</t>
  </si>
  <si>
    <t>on calcule d'abord le premier taux d'actualisation T1 qui ressort du calcul 99=107/(1+T1)</t>
  </si>
  <si>
    <t>pour les autres, on continue selon ce même raisonnement car à chaque fois on ajoute une année.</t>
  </si>
  <si>
    <t>Flux d'investissement</t>
  </si>
  <si>
    <t>Valeur de l'emprunt</t>
  </si>
  <si>
    <t>+</t>
  </si>
  <si>
    <t>-</t>
  </si>
  <si>
    <t>++</t>
  </si>
  <si>
    <t>+++</t>
  </si>
  <si>
    <t>++++</t>
  </si>
  <si>
    <t>--</t>
  </si>
  <si>
    <t>---</t>
  </si>
  <si>
    <t>----</t>
  </si>
  <si>
    <t>En cas d'anticipation de hausse des taux d'intérêt, choisir la tranche A</t>
  </si>
  <si>
    <t>c)</t>
  </si>
  <si>
    <t>d)</t>
  </si>
  <si>
    <t>Syldaves a, en définitive, emprunté à un taux inférieur à celui du marché</t>
  </si>
  <si>
    <t>Taux sans risque</t>
  </si>
  <si>
    <t>Prime de risque du marché</t>
  </si>
  <si>
    <t>Risque</t>
  </si>
  <si>
    <t>Faible</t>
  </si>
  <si>
    <t>Création de valeur</t>
  </si>
  <si>
    <t>Croissance anticipée</t>
  </si>
  <si>
    <t>très faible</t>
  </si>
  <si>
    <t>Valeur du sous-jacent</t>
  </si>
  <si>
    <t>Application de Black Scholes - recalcul de la valeur</t>
  </si>
  <si>
    <t>Actions nouvelles</t>
  </si>
  <si>
    <t>Actions existantes</t>
  </si>
  <si>
    <t>Prix avant émission</t>
  </si>
  <si>
    <t>DS</t>
  </si>
  <si>
    <t>Cap. bours. ap. augm.</t>
  </si>
  <si>
    <t>Cours théorique après émission</t>
  </si>
  <si>
    <t>=</t>
  </si>
  <si>
    <t>Patrimoine avant opération</t>
  </si>
  <si>
    <t>Patrimoine après opération</t>
  </si>
  <si>
    <t>Cash</t>
  </si>
  <si>
    <t>- Cession</t>
  </si>
  <si>
    <t>Opération</t>
  </si>
  <si>
    <t>Nombre</t>
  </si>
  <si>
    <t>- Cash issu de l'opération</t>
  </si>
  <si>
    <t>- Actions</t>
  </si>
  <si>
    <t>a) Taux éxigé</t>
  </si>
  <si>
    <t>b) &amp; c)</t>
  </si>
  <si>
    <t>Aucun impact sur la trésorerie d'entreprise</t>
  </si>
  <si>
    <t>e)</t>
  </si>
  <si>
    <t>rent. exigée</t>
  </si>
  <si>
    <t>rent. dégagée</t>
  </si>
  <si>
    <t>&gt;</t>
  </si>
  <si>
    <t>Destruction de valeur</t>
  </si>
  <si>
    <t>&lt;</t>
  </si>
  <si>
    <t>Bénéfice</t>
  </si>
  <si>
    <t>Valeur des capitaux propres</t>
  </si>
  <si>
    <t>Nouveau résultat net</t>
  </si>
  <si>
    <t>Croissance du BPA</t>
  </si>
  <si>
    <t>Synergies industrielles</t>
  </si>
  <si>
    <t>Résultat net D</t>
  </si>
  <si>
    <t>Résultat net C</t>
  </si>
  <si>
    <t>Augm. nb. actions</t>
  </si>
  <si>
    <t>Augm. bénéfice</t>
  </si>
  <si>
    <t>Prix (transaction)</t>
  </si>
  <si>
    <t>CMPC</t>
  </si>
  <si>
    <t>Taux d'IS</t>
  </si>
  <si>
    <t>MVA</t>
  </si>
  <si>
    <t>EVA</t>
  </si>
  <si>
    <t>Dette sous-jacente</t>
  </si>
  <si>
    <t>Exercice 2: emprunt des Eaux Minérales Syldaves</t>
  </si>
  <si>
    <t>Les Eaux Minérales Syldaves ont emprunté au taux de 8%, anticipant une hausse des taux d'intérêt</t>
  </si>
  <si>
    <t>cours avant aug. de cap.</t>
  </si>
  <si>
    <t>valeur du DS</t>
  </si>
  <si>
    <t>ou</t>
  </si>
  <si>
    <t>Vente des actions B</t>
  </si>
  <si>
    <t>Reproduction de structure financière</t>
  </si>
  <si>
    <t>Titres C</t>
  </si>
  <si>
    <t>Placement en cash</t>
  </si>
  <si>
    <t>Revenus sur les actions</t>
  </si>
  <si>
    <t>Revenus sur le cash</t>
  </si>
  <si>
    <t>Rentabilité du portefeuille</t>
  </si>
  <si>
    <t>Pour un même niveau de risque :</t>
  </si>
  <si>
    <t>Cash disponible</t>
  </si>
  <si>
    <t>% du portefeuille en cash</t>
  </si>
  <si>
    <t>L'arbitrage cesse lorsque les VAE des deux sociétés convergent.</t>
  </si>
  <si>
    <t>Exemple :</t>
  </si>
  <si>
    <t>PER implicite</t>
  </si>
  <si>
    <t>VAE1</t>
  </si>
  <si>
    <t>b. valorisation des CP et D</t>
  </si>
  <si>
    <t>c. augmentation val des CP</t>
  </si>
  <si>
    <t>-&gt; transfert de valeur du créancier vers l'actionnaire</t>
  </si>
  <si>
    <t>Option 3 : échange de tout ou partie des titres Uninet contre des titres plus risqués</t>
  </si>
  <si>
    <t>-&gt; transfert de valeur des créanciers vers les actionnaires</t>
  </si>
  <si>
    <t>VAE</t>
  </si>
  <si>
    <t>Volatilité AE</t>
  </si>
  <si>
    <t>Taux actuariel dette</t>
  </si>
  <si>
    <t>Actionnaires</t>
  </si>
  <si>
    <t>Avant</t>
  </si>
  <si>
    <t>Après</t>
  </si>
  <si>
    <t>Créanciers</t>
  </si>
  <si>
    <t>Proposition sous-traitant</t>
  </si>
  <si>
    <t>Nbre de pièces/an</t>
  </si>
  <si>
    <t>Chronique de flux solution interne par rapport à solution sous-traitée</t>
  </si>
  <si>
    <t>-&gt; ça dépend effectivement du nbre de pièces produites ! (voir ci-dessous)</t>
  </si>
  <si>
    <t>Re moyen</t>
  </si>
  <si>
    <t>Moins-value de cession</t>
  </si>
  <si>
    <t>Exercice 4 : société Rowak</t>
  </si>
  <si>
    <t>Var. bén./var.CP</t>
  </si>
  <si>
    <t>-&gt; Politique de distribution cohérente</t>
  </si>
  <si>
    <t>nouveau % de contrôle</t>
  </si>
  <si>
    <t>% contrôle initial</t>
  </si>
  <si>
    <t>% de contrôle ap detenu par actionnaire X</t>
  </si>
  <si>
    <t>% de contrôle detenu par 1 actionnaire X</t>
  </si>
  <si>
    <t>Poids de la dette</t>
  </si>
  <si>
    <t>Soldes des plus ou moins-values de cession</t>
  </si>
  <si>
    <t>mis en équivalence</t>
  </si>
  <si>
    <t>+ Résultat des sociétés mise en équivalence</t>
  </si>
  <si>
    <t>= Résultat net part du groupe</t>
  </si>
  <si>
    <t>Créances clients</t>
  </si>
  <si>
    <t>= Capacité d'autofinancement</t>
  </si>
  <si>
    <t>Croissance du CA</t>
  </si>
  <si>
    <t>Marge d'exploitation</t>
  </si>
  <si>
    <t>Marge nette</t>
  </si>
  <si>
    <t>Rentabilité économique</t>
  </si>
  <si>
    <t>Rentabilité économique après impôts</t>
  </si>
  <si>
    <t>Charges d'exploitation non maîtrisées</t>
  </si>
  <si>
    <t>en % des charges d'exploitation totales</t>
  </si>
  <si>
    <t>en % du CA</t>
  </si>
  <si>
    <t>Exposition</t>
  </si>
  <si>
    <t>Augmentation des matières premières</t>
  </si>
  <si>
    <t>Augmentation du coût de la main d'œuvre</t>
  </si>
  <si>
    <t>Incidence</t>
  </si>
  <si>
    <t>Rentabilité financière</t>
  </si>
  <si>
    <t>Marge brute</t>
  </si>
  <si>
    <t>Bénéfice net attendu</t>
  </si>
  <si>
    <t>Charges financières nettes</t>
  </si>
  <si>
    <t>Marges</t>
  </si>
  <si>
    <t>Retraitements</t>
  </si>
  <si>
    <t>du CA</t>
  </si>
  <si>
    <t>Dettes charges sociales</t>
  </si>
  <si>
    <t>Dettes personnel</t>
  </si>
  <si>
    <t>Variation du BFR</t>
  </si>
  <si>
    <t>- Intérêts minoritaires</t>
  </si>
  <si>
    <t xml:space="preserve"> </t>
  </si>
  <si>
    <t>- Fournisseurs</t>
  </si>
  <si>
    <t>Nouveaux actionnaires</t>
  </si>
  <si>
    <t>Anciens actionnaires</t>
  </si>
  <si>
    <t>part dans le capital</t>
  </si>
  <si>
    <t>part dans les capitaux propres</t>
  </si>
  <si>
    <t>Taux</t>
  </si>
  <si>
    <t>Valeur actuelle</t>
  </si>
  <si>
    <t>Valeur percue</t>
  </si>
  <si>
    <t>Durée</t>
  </si>
  <si>
    <t>Coefficient d'actualisation</t>
  </si>
  <si>
    <t>Valeur placée aujourd'hui</t>
  </si>
  <si>
    <t>Alternative</t>
  </si>
  <si>
    <t>Date (année)</t>
  </si>
  <si>
    <t>Taux d'actualisation</t>
  </si>
  <si>
    <t>Paiements actualisés</t>
  </si>
  <si>
    <t>Paiements bruts</t>
  </si>
  <si>
    <t>Exercice 6</t>
  </si>
  <si>
    <t>Valeur aujourd'hui</t>
  </si>
  <si>
    <t>Exercice 7</t>
  </si>
  <si>
    <t>Coefficient de capitalisation</t>
  </si>
  <si>
    <t>Durée (ans)</t>
  </si>
  <si>
    <t>Somme capitalisée</t>
  </si>
  <si>
    <t>Somme placée</t>
  </si>
  <si>
    <t>Exercice 8</t>
  </si>
  <si>
    <t>Aujourd'hui</t>
  </si>
  <si>
    <t>Dans 4 ans</t>
  </si>
  <si>
    <t>Exercice 9</t>
  </si>
  <si>
    <t>75%/n</t>
  </si>
  <si>
    <t>Exercice 10</t>
  </si>
  <si>
    <t>125%/n</t>
  </si>
  <si>
    <t>Exercice 11</t>
  </si>
  <si>
    <t>Valeur capitalisée</t>
  </si>
  <si>
    <t>Taux mini</t>
  </si>
  <si>
    <t>Exercice 12</t>
  </si>
  <si>
    <t>Capital initial</t>
  </si>
  <si>
    <t>Date de placement</t>
  </si>
  <si>
    <t>deniers</t>
  </si>
  <si>
    <t>Exercice 13</t>
  </si>
  <si>
    <t>K€</t>
  </si>
  <si>
    <t>Exercice 14</t>
  </si>
  <si>
    <t>Taux exigé</t>
  </si>
  <si>
    <t>$</t>
  </si>
  <si>
    <t>Prix maxi aujourd'hui</t>
  </si>
  <si>
    <t>Vo</t>
  </si>
  <si>
    <t>Flux</t>
  </si>
  <si>
    <t>VAN</t>
  </si>
  <si>
    <t>Rente annuelle</t>
  </si>
  <si>
    <t>Valeur actuelle de la rente perpétuelle</t>
  </si>
  <si>
    <t>Valeur actuelle de la rente perpétuelle revalorisée</t>
  </si>
  <si>
    <t>Taux de revalorisation</t>
  </si>
  <si>
    <t>Date</t>
  </si>
  <si>
    <t>Taux éxigé</t>
  </si>
  <si>
    <t>Prix maxi</t>
  </si>
  <si>
    <t>Prix marché</t>
  </si>
  <si>
    <t>-&gt; acheter car:</t>
  </si>
  <si>
    <t>Taux de rentabilité obtenu</t>
  </si>
  <si>
    <t>Valeur rente perpetuelle</t>
  </si>
  <si>
    <t>Années</t>
  </si>
  <si>
    <t>Valeur titre</t>
  </si>
  <si>
    <t>Prix annuel</t>
  </si>
  <si>
    <t>Croissance</t>
  </si>
  <si>
    <t>Coût d'opportunité</t>
  </si>
  <si>
    <t>Valeur offre location annuelle</t>
  </si>
  <si>
    <t>Droit TV</t>
  </si>
  <si>
    <t>0t7</t>
  </si>
  <si>
    <t>Valeur 30 ans</t>
  </si>
  <si>
    <t>Valeur infini</t>
  </si>
  <si>
    <t>Nbre de parutions</t>
  </si>
  <si>
    <t>Loyer</t>
  </si>
  <si>
    <t>Prix achat</t>
  </si>
  <si>
    <t>Revenu annuel</t>
  </si>
  <si>
    <t>Revenu avec MBA</t>
  </si>
  <si>
    <t>Interruption (an)</t>
  </si>
  <si>
    <t>Taux actualisation</t>
  </si>
  <si>
    <t>VA sans MBA</t>
  </si>
  <si>
    <t>VA avec MBA</t>
  </si>
  <si>
    <t>Coût du MBA</t>
  </si>
  <si>
    <t>VA nette du MBA</t>
  </si>
  <si>
    <t>Taux tous les 2 ans</t>
  </si>
  <si>
    <t>Taux actuariel</t>
  </si>
  <si>
    <t>Taux proportionnel sur 3 mois</t>
  </si>
  <si>
    <t>V0</t>
  </si>
  <si>
    <t>V2</t>
  </si>
  <si>
    <t>V7</t>
  </si>
  <si>
    <t>Durée (an)</t>
  </si>
  <si>
    <t>Vf</t>
  </si>
  <si>
    <t>Fréquence versement</t>
  </si>
  <si>
    <t>an</t>
  </si>
  <si>
    <t>TRA</t>
  </si>
  <si>
    <t>Titre 1</t>
  </si>
  <si>
    <t>Titre 2</t>
  </si>
  <si>
    <t>VAN Titre 1</t>
  </si>
  <si>
    <t>VAN Titre 2</t>
  </si>
  <si>
    <t>€</t>
  </si>
  <si>
    <t>Durée (Jours)</t>
  </si>
  <si>
    <t>Taux rentabilité</t>
  </si>
  <si>
    <t>Banquier 1</t>
  </si>
  <si>
    <t>Banquier 2</t>
  </si>
  <si>
    <t>Fréquence (mois)</t>
  </si>
  <si>
    <t>Taux actuariel eq</t>
  </si>
  <si>
    <t>Remboursement par annuité constante</t>
  </si>
  <si>
    <t>Remboursement par amortissement constant</t>
  </si>
  <si>
    <t>Capital restant dû</t>
  </si>
  <si>
    <t>Intérêts</t>
  </si>
  <si>
    <t>Annuité</t>
  </si>
  <si>
    <t>Amort. du capital</t>
  </si>
  <si>
    <t>Taux émission</t>
  </si>
  <si>
    <t>Taux remboursement</t>
  </si>
  <si>
    <t>Taux des intérêts</t>
  </si>
  <si>
    <t>Flux acheteur</t>
  </si>
  <si>
    <t>Flux émetteur</t>
  </si>
  <si>
    <t>Com placement</t>
  </si>
  <si>
    <t>Gestion annuelle</t>
  </si>
  <si>
    <t>Coût final</t>
  </si>
  <si>
    <t>Mensualité</t>
  </si>
  <si>
    <t>Valeur</t>
  </si>
  <si>
    <t>Nbre mensualités</t>
  </si>
  <si>
    <t>Date (mois)</t>
  </si>
  <si>
    <t>TRA (annuel)</t>
  </si>
  <si>
    <t>Taux d'intérêt mensuel</t>
  </si>
  <si>
    <t>Valeur marché</t>
  </si>
  <si>
    <t>Taux sur 2 périodes</t>
  </si>
  <si>
    <t>Rentabilité indice</t>
  </si>
  <si>
    <t>Rentabilités périodiques</t>
  </si>
  <si>
    <t>ou de manière plus détaillée</t>
  </si>
  <si>
    <t>Taux de rentabilité</t>
  </si>
  <si>
    <t>Ecart type</t>
  </si>
  <si>
    <t>Titres</t>
  </si>
  <si>
    <t>Rentabilité attendue</t>
  </si>
  <si>
    <t>Ecart-type</t>
  </si>
  <si>
    <t>ρ C,D</t>
  </si>
  <si>
    <t>Portefeuille</t>
  </si>
  <si>
    <t>β</t>
  </si>
  <si>
    <t>% d'actif sans risque ajouté</t>
  </si>
  <si>
    <t>% d'actif sans risque endetté</t>
  </si>
  <si>
    <t>r sans risque</t>
  </si>
  <si>
    <t>Action</t>
  </si>
  <si>
    <t>r observé</t>
  </si>
  <si>
    <t>prime risque marché</t>
  </si>
  <si>
    <t>évaluation</t>
  </si>
  <si>
    <t>EUR</t>
  </si>
  <si>
    <t>β Alboni.com</t>
  </si>
  <si>
    <t>prix max aujourd'hui</t>
  </si>
  <si>
    <t>r attendue</t>
  </si>
  <si>
    <t>bj1</t>
  </si>
  <si>
    <t>rj</t>
  </si>
  <si>
    <t>bj2</t>
  </si>
  <si>
    <t>rj - r medaf</t>
  </si>
  <si>
    <t>r medaf</t>
  </si>
  <si>
    <t>r marché</t>
  </si>
  <si>
    <t>Montant</t>
  </si>
  <si>
    <t>MEUR</t>
  </si>
  <si>
    <t>Prix d'émission</t>
  </si>
  <si>
    <t>Date de jouissance</t>
  </si>
  <si>
    <t>Date de règlement</t>
  </si>
  <si>
    <t>ans</t>
  </si>
  <si>
    <t>Intérêt annuel</t>
  </si>
  <si>
    <t>Chronique des flux</t>
  </si>
  <si>
    <t>Flux actualisés</t>
  </si>
  <si>
    <t>Taux rendement actuariel</t>
  </si>
  <si>
    <t>Sensibilité</t>
  </si>
  <si>
    <t>Duration</t>
  </si>
  <si>
    <t>VA</t>
  </si>
  <si>
    <t>Taux requis</t>
  </si>
  <si>
    <t xml:space="preserve">flux </t>
  </si>
  <si>
    <t>durée</t>
  </si>
  <si>
    <t>TMO</t>
  </si>
  <si>
    <t>Taux emprunt TA</t>
  </si>
  <si>
    <t>Taux emprunt TB</t>
  </si>
  <si>
    <t>Date d'échéance</t>
  </si>
  <si>
    <t>Cours</t>
  </si>
  <si>
    <t>Taux actuariels</t>
  </si>
  <si>
    <t>0t1</t>
  </si>
  <si>
    <t>0t2</t>
  </si>
  <si>
    <t>0t3</t>
  </si>
  <si>
    <t>0t4</t>
  </si>
  <si>
    <t>0t5</t>
  </si>
  <si>
    <t>0t6</t>
  </si>
  <si>
    <t>g</t>
  </si>
  <si>
    <t>V</t>
  </si>
  <si>
    <t>Cours action</t>
  </si>
  <si>
    <t>BPA</t>
  </si>
  <si>
    <t>Taux distribution</t>
  </si>
  <si>
    <t>PER</t>
  </si>
  <si>
    <t>PER (année 3)</t>
  </si>
  <si>
    <t>Bénéfice net par action (année 3)</t>
  </si>
  <si>
    <t>Valeur action (année 3)</t>
  </si>
  <si>
    <t>Dettes/CP</t>
  </si>
  <si>
    <t>Exercice 2: Ouragan</t>
  </si>
  <si>
    <t>Exercice 3: Norne</t>
  </si>
  <si>
    <t>Exercice 1: emprunt Sanzot</t>
  </si>
  <si>
    <t>Exercice 2 : Nestor SA</t>
  </si>
  <si>
    <t>Nbre d'actions de Séraphin</t>
  </si>
  <si>
    <t>rCP</t>
  </si>
  <si>
    <t>PBR</t>
  </si>
  <si>
    <t>(opérateur de marcher)</t>
  </si>
  <si>
    <t>Alternative 1: par l'opérateur</t>
  </si>
  <si>
    <t>J'emprunte dans 3 mois</t>
  </si>
  <si>
    <t>Je rends dans 6 mois</t>
  </si>
  <si>
    <t>Alternative 2: par l'arbitrage suivant</t>
  </si>
  <si>
    <t>je place aujourd'hui pour 3 mois</t>
  </si>
  <si>
    <t>Recapitalisation</t>
  </si>
  <si>
    <t>On me rends 3 mois plus tard</t>
  </si>
  <si>
    <t>Je rends au terme des 6 mois</t>
  </si>
  <si>
    <t>Gain alternative 2 sur 1</t>
  </si>
  <si>
    <t>d</t>
  </si>
  <si>
    <t>Option d'achat</t>
  </si>
  <si>
    <t>Échéance</t>
  </si>
  <si>
    <t>N(d2)</t>
  </si>
  <si>
    <t>N(d1)</t>
  </si>
  <si>
    <t>V act sj</t>
  </si>
  <si>
    <t>T</t>
  </si>
  <si>
    <t>d1</t>
  </si>
  <si>
    <t>d2</t>
  </si>
  <si>
    <t>ln(V/K)</t>
  </si>
  <si>
    <t>Exercice K</t>
  </si>
  <si>
    <t>(rF+σ²/2)*T</t>
  </si>
  <si>
    <t>σ*√T</t>
  </si>
  <si>
    <t>exp(-T*rF)</t>
  </si>
  <si>
    <t>Vol σ</t>
  </si>
  <si>
    <t>Valeur option</t>
  </si>
  <si>
    <t>option 1</t>
  </si>
  <si>
    <t>option 2</t>
  </si>
  <si>
    <t>Option d'achat (option 1)</t>
  </si>
  <si>
    <t>CP + endettement net = AE</t>
  </si>
  <si>
    <t>Valeur en jours de CA</t>
  </si>
  <si>
    <t>Part du risque total dû au marché</t>
  </si>
  <si>
    <t>Question 2</t>
  </si>
  <si>
    <t>Montant investissement</t>
  </si>
  <si>
    <t>Bénéfices annuels inf.</t>
  </si>
  <si>
    <t>Valeur action</t>
  </si>
  <si>
    <t>Bénéfice net</t>
  </si>
  <si>
    <t>Division</t>
  </si>
  <si>
    <t>Taux de rentabilité éxigé par le marché</t>
  </si>
  <si>
    <t>Résultat économique après impôt</t>
  </si>
  <si>
    <t>Distribution</t>
  </si>
  <si>
    <t>Investissement dans …</t>
  </si>
  <si>
    <t>Valeur créée</t>
  </si>
  <si>
    <t>Valeur de marché</t>
  </si>
  <si>
    <t>Résultat d'exp. sur nouvel investissement</t>
  </si>
  <si>
    <t>Résultat d'exp. actu</t>
  </si>
  <si>
    <t>Valeur de la division</t>
  </si>
  <si>
    <t>Valeur éxigée</t>
  </si>
  <si>
    <t>Vcp/V</t>
  </si>
  <si>
    <t>kcp</t>
  </si>
  <si>
    <t>Vd/V</t>
  </si>
  <si>
    <t>kd</t>
  </si>
  <si>
    <t>k</t>
  </si>
  <si>
    <t>Société</t>
  </si>
  <si>
    <t>Résultat d'exp.</t>
  </si>
  <si>
    <t>Vcp</t>
  </si>
  <si>
    <t>Vd</t>
  </si>
  <si>
    <t>Vd/(Vcp+Vd)</t>
  </si>
  <si>
    <t>Taux de distribution</t>
  </si>
  <si>
    <t>dividendes annuels</t>
  </si>
  <si>
    <t>dette</t>
  </si>
  <si>
    <t>Portefeuille perso</t>
  </si>
  <si>
    <t>valeur des actions</t>
  </si>
  <si>
    <t>% d'actions initial</t>
  </si>
  <si>
    <t>montant</t>
  </si>
  <si>
    <t>placement</t>
  </si>
  <si>
    <t>revenus totaux</t>
  </si>
  <si>
    <t>Arbitrage</t>
  </si>
  <si>
    <t>Dette sousjacente</t>
  </si>
  <si>
    <t>kcp0</t>
  </si>
  <si>
    <t>kd1</t>
  </si>
  <si>
    <t>k0</t>
  </si>
  <si>
    <t>AE0</t>
  </si>
  <si>
    <t>Vd1</t>
  </si>
  <si>
    <t>Vcp1</t>
  </si>
  <si>
    <t>AE1</t>
  </si>
  <si>
    <t>kcp1</t>
  </si>
  <si>
    <t>β0</t>
  </si>
  <si>
    <t>k1</t>
  </si>
  <si>
    <t>β1</t>
  </si>
  <si>
    <t>βcp0</t>
  </si>
  <si>
    <t>βcp1</t>
  </si>
  <si>
    <t>βd1</t>
  </si>
  <si>
    <t>IS</t>
  </si>
  <si>
    <t>Vcp0</t>
  </si>
  <si>
    <t>V eco impôt</t>
  </si>
  <si>
    <t>Vd total</t>
  </si>
  <si>
    <t>Nouvelle dette</t>
  </si>
  <si>
    <t>Δ Vd1</t>
  </si>
  <si>
    <t>Δ Vd2</t>
  </si>
  <si>
    <t>V eco impôt non reçue &gt; 4 ans</t>
  </si>
  <si>
    <t>Impôts totaux</t>
  </si>
  <si>
    <t>Verfinance</t>
  </si>
  <si>
    <t>V actions Uninet</t>
  </si>
  <si>
    <t>n actions Uninet</t>
  </si>
  <si>
    <t>Options d'achat Uninet</t>
  </si>
  <si>
    <t>Prix exercice</t>
  </si>
  <si>
    <t>Option à 5 ans</t>
  </si>
  <si>
    <t>Options à 7 ans</t>
  </si>
  <si>
    <t>Vcp verfinance</t>
  </si>
  <si>
    <t>Vd verfinance</t>
  </si>
  <si>
    <t>Vd verfinance/n actions</t>
  </si>
  <si>
    <t>Option 1: Repousser la date d'échéance de la dette à 7 ans, alors:</t>
  </si>
  <si>
    <t>nbre actions cédées</t>
  </si>
  <si>
    <t>Option 2: Céder une partie des actions</t>
  </si>
  <si>
    <t>Vae</t>
  </si>
  <si>
    <t>avant</t>
  </si>
  <si>
    <t>après</t>
  </si>
  <si>
    <t>Augmentation de capital</t>
  </si>
  <si>
    <t>Δ Vcp</t>
  </si>
  <si>
    <t>Δ Vd</t>
  </si>
  <si>
    <t>Holding SA</t>
  </si>
  <si>
    <t>Options d'achat Fille SA</t>
  </si>
  <si>
    <t>V actions Fille SA</t>
  </si>
  <si>
    <t>Option à 3 ans</t>
  </si>
  <si>
    <t>Valeur unit.</t>
  </si>
  <si>
    <t>nbre</t>
  </si>
  <si>
    <t>V actions Holding SA</t>
  </si>
  <si>
    <t>Obligations émises</t>
  </si>
  <si>
    <t>Actions Fille SA vendues</t>
  </si>
  <si>
    <t>Vcp avant</t>
  </si>
  <si>
    <t>Vd avant</t>
  </si>
  <si>
    <t>Vcp après</t>
  </si>
  <si>
    <t>Vd après</t>
  </si>
  <si>
    <t>Dette/n actions Holding SA</t>
  </si>
  <si>
    <t>option d'achat de 94 actions Fille SA au prix de 300 000, soit:</t>
  </si>
  <si>
    <t>Prix d'exercice</t>
  </si>
  <si>
    <t>Valeur de l'option</t>
  </si>
  <si>
    <t>achat matériel</t>
  </si>
  <si>
    <t>M EUR</t>
  </si>
  <si>
    <t>frais d'installation</t>
  </si>
  <si>
    <t>durée d'utilisation</t>
  </si>
  <si>
    <t>valeur résiduelle</t>
  </si>
  <si>
    <t>augmentation du BFR</t>
  </si>
  <si>
    <t>augmentation annuel de l'EBE</t>
  </si>
  <si>
    <t>amortissement sur</t>
  </si>
  <si>
    <t>Echéancier des flux du projet</t>
  </si>
  <si>
    <t>Flux total</t>
  </si>
  <si>
    <t>Amortissement</t>
  </si>
  <si>
    <t>Δ EBE</t>
  </si>
  <si>
    <t>TRI</t>
  </si>
  <si>
    <t>Achat nouvelle machine</t>
  </si>
  <si>
    <t>Calcul VAN</t>
  </si>
  <si>
    <t>Calcul TRI</t>
  </si>
  <si>
    <t>durée de vie</t>
  </si>
  <si>
    <t>coût</t>
  </si>
  <si>
    <t>amortissement linéaire sur 5 ans</t>
  </si>
  <si>
    <t>économies annuelles de charges</t>
  </si>
  <si>
    <t>Cession machine actuelle</t>
  </si>
  <si>
    <t>coût achat an dernier</t>
  </si>
  <si>
    <t>valeur nette comptable aujourd'hui</t>
  </si>
  <si>
    <t>prix de cession possible</t>
  </si>
  <si>
    <t>Taux de rentabilité éxigé</t>
  </si>
  <si>
    <t>achat</t>
  </si>
  <si>
    <t>Δ impôt</t>
  </si>
  <si>
    <t>cession</t>
  </si>
  <si>
    <t>moins value de cession</t>
  </si>
  <si>
    <t>Flux actualisés et cumulés</t>
  </si>
  <si>
    <t>subvention</t>
  </si>
  <si>
    <t>investissement initial</t>
  </si>
  <si>
    <t>Chronique de flux</t>
  </si>
  <si>
    <t>- Flux d'investissement</t>
  </si>
  <si>
    <t>acheteur/ emprunte</t>
  </si>
  <si>
    <t>vendeur/ prête</t>
  </si>
  <si>
    <t>(point de vue de la banque)</t>
  </si>
  <si>
    <t>Dividendes (p)</t>
  </si>
  <si>
    <t>1 - en se plaçant en début d'année 0</t>
  </si>
  <si>
    <t xml:space="preserve">Flux actualisés </t>
  </si>
  <si>
    <t>2- en se plaçant en fin de période 0</t>
  </si>
  <si>
    <t>date</t>
  </si>
  <si>
    <t>investissement</t>
  </si>
  <si>
    <t>Investissement machine</t>
  </si>
  <si>
    <t>Coût unitaire</t>
  </si>
  <si>
    <t>Nbre de pieces/an</t>
  </si>
  <si>
    <t>Charges</t>
  </si>
  <si>
    <t>Exploitation</t>
  </si>
  <si>
    <t>Amortissements</t>
  </si>
  <si>
    <t>Produits</t>
  </si>
  <si>
    <t>Parking</t>
  </si>
  <si>
    <t>Garage</t>
  </si>
  <si>
    <t>Station service</t>
  </si>
  <si>
    <t>Investissement initial</t>
  </si>
  <si>
    <t>Revenus net</t>
  </si>
  <si>
    <t>Flux cumulés et actualisés</t>
  </si>
  <si>
    <t>Délai de récupération</t>
  </si>
  <si>
    <t>VAN à 10%</t>
  </si>
  <si>
    <t>Calcul de la rentabilité économique</t>
  </si>
  <si>
    <t>Calcul du délai de récupération &amp; VAN à 10%</t>
  </si>
  <si>
    <t>Calcul du TRI</t>
  </si>
  <si>
    <t>VNC des immo</t>
  </si>
  <si>
    <t>BFR moyen</t>
  </si>
  <si>
    <t>Chronique de flux nouvelle machine</t>
  </si>
  <si>
    <t>Cession ancienne machine</t>
  </si>
  <si>
    <t>Taux de crédit d'impôt sur - values</t>
  </si>
  <si>
    <t>Prix d'achat</t>
  </si>
  <si>
    <t>Durée totale d'amortissement</t>
  </si>
  <si>
    <t>Crédit d'impôt</t>
  </si>
  <si>
    <t>Valeur nominalement d'amortissement</t>
  </si>
  <si>
    <t>Production annuelle</t>
  </si>
  <si>
    <t>Coûts nouvelle machine</t>
  </si>
  <si>
    <t>Coûts machine initiale</t>
  </si>
  <si>
    <t>main d'œuvre dir/unité</t>
  </si>
  <si>
    <t>mat prem/unité</t>
  </si>
  <si>
    <t>admin/unité</t>
  </si>
  <si>
    <t>Δ IS</t>
  </si>
  <si>
    <t>Δ IS (hors crédit d'impôt)</t>
  </si>
  <si>
    <t>Cession fin de vie</t>
  </si>
  <si>
    <t>Gain coût de fab</t>
  </si>
  <si>
    <t>Gain sur achat extérieur</t>
  </si>
  <si>
    <t>Allongement de la durée du crédit (jours)</t>
  </si>
  <si>
    <t>Accroissement des ventes</t>
  </si>
  <si>
    <t>Chiffre d'affaires annuel</t>
  </si>
  <si>
    <t>Prix vente/unité</t>
  </si>
  <si>
    <t>Prix de revient</t>
  </si>
  <si>
    <t>Coûts fixes</t>
  </si>
  <si>
    <t>Rentabilité exigée avant impôt sur CP</t>
  </si>
  <si>
    <t>CA</t>
  </si>
  <si>
    <t>Chronique des flux actualisés</t>
  </si>
  <si>
    <t>Durée d'allongement optimum</t>
  </si>
  <si>
    <t>Augmentation des créance douteuses</t>
  </si>
  <si>
    <t>Créances douteuses/ventes</t>
  </si>
  <si>
    <t>crédit d'impôt</t>
  </si>
  <si>
    <t>Δ amortissement</t>
  </si>
  <si>
    <t>Chronique des flux de la nouvelle machine par rapport à l'ancienne</t>
  </si>
  <si>
    <t>pièces</t>
  </si>
  <si>
    <t>paiement client actualisé à la date de paiement</t>
  </si>
  <si>
    <t>coûts de fabrication</t>
  </si>
  <si>
    <t>nbre de pièces fabriquées ( en milliers)</t>
  </si>
  <si>
    <t>résultat d'expl.</t>
  </si>
  <si>
    <t>Δ résultat d'expl.</t>
  </si>
  <si>
    <t>VAN av IS</t>
  </si>
  <si>
    <t>VAN ap IS</t>
  </si>
  <si>
    <t>a. Cacul des dilutions</t>
  </si>
  <si>
    <t>Chronique des flux différentiels &amp; actualisés</t>
  </si>
  <si>
    <t>Cotation de l'action</t>
  </si>
  <si>
    <t>Dividendes 5 1ères années</t>
  </si>
  <si>
    <t>Dividendes après</t>
  </si>
  <si>
    <t>flux</t>
  </si>
  <si>
    <t>Valeur nominale de la dette</t>
  </si>
  <si>
    <t>Cotation de la dette</t>
  </si>
  <si>
    <t>rd</t>
  </si>
  <si>
    <t>flux actualisés</t>
  </si>
  <si>
    <t>Nbre d'actions émises</t>
  </si>
  <si>
    <t>Montant comptable</t>
  </si>
  <si>
    <t>CP</t>
  </si>
  <si>
    <t>presentation par destination</t>
  </si>
  <si>
    <t>Cout des ventes</t>
  </si>
  <si>
    <t>Rémunération perpétuelle</t>
  </si>
  <si>
    <t>Calcul du coût du capital</t>
  </si>
  <si>
    <t>Coût</t>
  </si>
  <si>
    <t>Flux avant impôt</t>
  </si>
  <si>
    <t>Structure de financement</t>
  </si>
  <si>
    <t>Proportion</t>
  </si>
  <si>
    <t>Coût avant impôt</t>
  </si>
  <si>
    <t>Coût après impôt</t>
  </si>
  <si>
    <t>flux av IS</t>
  </si>
  <si>
    <t>flux ap IS</t>
  </si>
  <si>
    <t>Exercice 6: cas Cyclone</t>
  </si>
  <si>
    <t>Division trasport maritime</t>
  </si>
  <si>
    <t>Division chantier naval</t>
  </si>
  <si>
    <t>Capitalisation boursière</t>
  </si>
  <si>
    <t>Re av IS</t>
  </si>
  <si>
    <t>βd estimé</t>
  </si>
  <si>
    <t>βcp observé</t>
  </si>
  <si>
    <t>Taux ss risque</t>
  </si>
  <si>
    <t>rm</t>
  </si>
  <si>
    <t>Groupe</t>
  </si>
  <si>
    <t>Apport aujourd'hui</t>
  </si>
  <si>
    <t>Retour dans 5 ans</t>
  </si>
  <si>
    <t>maxi!</t>
  </si>
  <si>
    <t>Investissement proposé</t>
  </si>
  <si>
    <t>Re ap IS</t>
  </si>
  <si>
    <t>g objectif</t>
  </si>
  <si>
    <t>rd av IS</t>
  </si>
  <si>
    <t>Structure financière implicitement choisie</t>
  </si>
  <si>
    <t>D/C</t>
  </si>
  <si>
    <t>Taux de croissance implicitement prévu</t>
  </si>
  <si>
    <t>AE</t>
  </si>
  <si>
    <t>Res. d'expl. ap IS</t>
  </si>
  <si>
    <t>Frais fi. ap IS</t>
  </si>
  <si>
    <t>Résultat réinvesti</t>
  </si>
  <si>
    <t>CP ap répartition</t>
  </si>
  <si>
    <t>rendement net</t>
  </si>
  <si>
    <t>nb actions</t>
  </si>
  <si>
    <t>Levée</t>
  </si>
  <si>
    <t>valeur action émise</t>
  </si>
  <si>
    <t>Vdps</t>
  </si>
  <si>
    <t>dil apparente</t>
  </si>
  <si>
    <t>dil réelle</t>
  </si>
  <si>
    <t>dil technique</t>
  </si>
  <si>
    <t>coef d'ajustement</t>
  </si>
  <si>
    <t>Proportion de souscription</t>
  </si>
  <si>
    <t>Distribution d'actions gratuites?</t>
  </si>
  <si>
    <t>produit de la vente des DPS</t>
  </si>
  <si>
    <t>nb de DPS à vendre</t>
  </si>
  <si>
    <t>achat d'actions avec les DPS restants</t>
  </si>
  <si>
    <t>bilan vente/achat</t>
  </si>
  <si>
    <t>nb d'actions achetées</t>
  </si>
  <si>
    <t>C'est équivalent à la distribution de</t>
  </si>
  <si>
    <t>actions gratuites</t>
  </si>
  <si>
    <t>L'actionnaire ne suit pas…</t>
  </si>
  <si>
    <t>Tous les actionnaires suivent</t>
  </si>
  <si>
    <t>augmentation capital</t>
  </si>
  <si>
    <t>souscription par actionnaire X</t>
  </si>
  <si>
    <t>Nouveau BPA</t>
  </si>
  <si>
    <t>Ancien BPA</t>
  </si>
  <si>
    <t>Croissance des CP</t>
  </si>
  <si>
    <t>CP av</t>
  </si>
  <si>
    <t>CP ap</t>
  </si>
  <si>
    <t>croissance CP</t>
  </si>
  <si>
    <t>CPA av</t>
  </si>
  <si>
    <t>CPA ap</t>
  </si>
  <si>
    <t>sans brutale fièvre</t>
  </si>
  <si>
    <t>avec brutale fièvre</t>
  </si>
  <si>
    <t>Nb actions</t>
  </si>
  <si>
    <t>Rapport de souscription</t>
  </si>
  <si>
    <t>en % de Vcp</t>
  </si>
  <si>
    <t>V AE</t>
  </si>
  <si>
    <t>Placement</t>
  </si>
  <si>
    <t>revenu</t>
  </si>
  <si>
    <t>Comparaison des 2 investissements concurrents</t>
  </si>
  <si>
    <t>% d'actions</t>
  </si>
  <si>
    <t>Somme initiale à investir</t>
  </si>
  <si>
    <t>j'emprunte aujourd'hui pour 6 mois</t>
  </si>
  <si>
    <t>Δ coût crédit client</t>
  </si>
  <si>
    <t>Actions</t>
  </si>
  <si>
    <t>Obligations</t>
  </si>
  <si>
    <t>Valeur nominale</t>
  </si>
  <si>
    <t>Bénéfice attendu</t>
  </si>
  <si>
    <t>Taux imposition</t>
  </si>
  <si>
    <t>BPA "fully diluted"</t>
  </si>
  <si>
    <t>Obligation convertible</t>
  </si>
  <si>
    <t>Taux d'intérêt</t>
  </si>
  <si>
    <t>Prix de souscription de l'action X</t>
  </si>
  <si>
    <t>Taux de placement avant impôt</t>
  </si>
  <si>
    <t>OBSA
(placement fonds à 8%)</t>
  </si>
  <si>
    <t>OBSA
(rachat actions)</t>
  </si>
  <si>
    <t>Taux emprunt initial</t>
  </si>
  <si>
    <t>Émission de l'OBSA pour rembourser un emprunt</t>
  </si>
  <si>
    <t>Gain</t>
  </si>
  <si>
    <t>Gain par action (fully diluted)</t>
  </si>
  <si>
    <t>Nbre d'actions</t>
  </si>
  <si>
    <t>Cours de bourse</t>
  </si>
  <si>
    <t>Capitaux propres comptables</t>
  </si>
  <si>
    <t>Rachat</t>
  </si>
  <si>
    <t>Prix</t>
  </si>
  <si>
    <t>CPA</t>
  </si>
  <si>
    <t>initial</t>
  </si>
  <si>
    <t>Coût dette après impôt</t>
  </si>
  <si>
    <t>rachat à 500</t>
  </si>
  <si>
    <t>rachat à 1500</t>
  </si>
  <si>
    <t>un indice est donne case A137 de cette feuille</t>
  </si>
  <si>
    <t>Société Boislevé - compte de résultat (présentation par fonction)</t>
  </si>
  <si>
    <t>Capitaux propres comptables part du groupe</t>
  </si>
  <si>
    <t>- Δ BFR</t>
  </si>
  <si>
    <t>Frais financiers avant impôt</t>
  </si>
  <si>
    <t>Taux impôt</t>
  </si>
  <si>
    <t>Financement par capitaux propres …</t>
  </si>
  <si>
    <t>Taux de croissance du BPA</t>
  </si>
  <si>
    <t>… ou par endettement</t>
  </si>
  <si>
    <t>Valeur attendue</t>
  </si>
  <si>
    <t>Avant absorbsion</t>
  </si>
  <si>
    <t>Après absorbsion…</t>
  </si>
  <si>
    <t>Méthode bénéfice net</t>
  </si>
  <si>
    <t>Méthode Vcp</t>
  </si>
  <si>
    <t>Méthode CP</t>
  </si>
  <si>
    <t>b. PER différents</t>
  </si>
  <si>
    <t>c. Partage des synergies?</t>
  </si>
  <si>
    <t>Accroissement du bénéf</t>
  </si>
  <si>
    <t>PER ap fusion</t>
  </si>
  <si>
    <t>Valeur créée par la fusion</t>
  </si>
  <si>
    <t>e. Valeur créée</t>
  </si>
  <si>
    <t>V créée</t>
  </si>
  <si>
    <t>Synergie</t>
  </si>
  <si>
    <t>… dans (ans)</t>
  </si>
  <si>
    <t>Consommations</t>
  </si>
  <si>
    <t>Flux d'exploitation</t>
  </si>
  <si>
    <t>Moyenne PER</t>
  </si>
  <si>
    <t>Période</t>
  </si>
  <si>
    <t>Recettes d'explotation</t>
  </si>
  <si>
    <t>Dépenses d'exploitation</t>
  </si>
  <si>
    <t>ETE</t>
  </si>
  <si>
    <t>Investissement</t>
  </si>
  <si>
    <t>Flux de trésorie disponible avant impôt</t>
  </si>
  <si>
    <t>Flux revenant aux créanciers</t>
  </si>
  <si>
    <t>Flux revenant aux actionnaires</t>
  </si>
  <si>
    <t>Stock</t>
  </si>
  <si>
    <t>Frais de personnel</t>
  </si>
  <si>
    <t>Transport</t>
  </si>
  <si>
    <t>Total</t>
  </si>
  <si>
    <t>Prêt</t>
  </si>
  <si>
    <t>Intérêt</t>
  </si>
  <si>
    <t>Année</t>
  </si>
  <si>
    <t>Présentation par nature</t>
  </si>
  <si>
    <t>Moyenne des Re</t>
  </si>
  <si>
    <t>Augmentation du chiffre d'affaires</t>
  </si>
  <si>
    <t>Production vendue</t>
  </si>
  <si>
    <t>Production stockée</t>
  </si>
  <si>
    <t>Production</t>
  </si>
  <si>
    <t>Charges d'exploitation consommées</t>
  </si>
  <si>
    <t>Impôts sur les résultats</t>
  </si>
  <si>
    <t>Carlsberg</t>
  </si>
  <si>
    <t>L'Oréal</t>
  </si>
  <si>
    <t xml:space="preserve">COMPTE DE RESULTAT </t>
  </si>
  <si>
    <t xml:space="preserve">BILAN simplifié </t>
  </si>
  <si>
    <t>En Md€</t>
  </si>
  <si>
    <t>en MdDKR</t>
  </si>
  <si>
    <t>Capitaux propres totaux</t>
  </si>
  <si>
    <t xml:space="preserve">Résultat net </t>
  </si>
  <si>
    <t>après JC</t>
  </si>
  <si>
    <t>Flux de l'année</t>
  </si>
  <si>
    <t>vaut</t>
  </si>
  <si>
    <t>cumul</t>
  </si>
  <si>
    <t>placé au bout de …. ans</t>
  </si>
  <si>
    <t xml:space="preserve">Si valeur finale = </t>
  </si>
  <si>
    <t>par an</t>
  </si>
  <si>
    <t>alors la somme annuelle placée à 4 % est :</t>
  </si>
  <si>
    <t>sans calcul</t>
  </si>
  <si>
    <t xml:space="preserve">3 pour 4 </t>
  </si>
  <si>
    <t>Prix d'émission de 3 actions +4 DS</t>
  </si>
  <si>
    <t>Valeur de 3 actions - 3 DS</t>
  </si>
  <si>
    <t>- 3 DS</t>
  </si>
  <si>
    <t>+ 4 DS</t>
  </si>
  <si>
    <t>Capitalisation Boursière</t>
  </si>
  <si>
    <t xml:space="preserve">BFR induit </t>
  </si>
  <si>
    <t>Taux d' IS</t>
  </si>
  <si>
    <t>Flux de tresorererie</t>
  </si>
  <si>
    <t>amortissement lineaire sur … ans</t>
  </si>
  <si>
    <t>année</t>
  </si>
  <si>
    <t>dotation aux amortissements</t>
  </si>
  <si>
    <t>Flux de tresorerie</t>
  </si>
  <si>
    <t>amortissement dégressif sur … ans</t>
  </si>
  <si>
    <t>le calcul du taux de rentabilité économique est donné dans le Vernimmen.</t>
  </si>
  <si>
    <t>Fond Objectif Syldavie</t>
  </si>
  <si>
    <t>Fond Syldavie Diversification</t>
  </si>
  <si>
    <t>Klow 300</t>
  </si>
  <si>
    <t>Exédent Brut d'Exploitation (EBE)</t>
  </si>
  <si>
    <t>Dotations aux amortissements</t>
  </si>
  <si>
    <t>Société Castafiore Spa</t>
  </si>
  <si>
    <t>Société Nestor</t>
  </si>
  <si>
    <t>Sociétés Tryphon et Tournesol</t>
  </si>
  <si>
    <t>Tryphon</t>
  </si>
  <si>
    <t>Tournesol</t>
  </si>
  <si>
    <t>Société Ottokar</t>
  </si>
  <si>
    <t>Société Bianca</t>
  </si>
  <si>
    <t>Société Castafiore</t>
  </si>
  <si>
    <t>Exercice 1: La machine à coudre nucléaire !</t>
  </si>
  <si>
    <t>Société Enron</t>
  </si>
  <si>
    <t>Publicis</t>
  </si>
  <si>
    <t>Dupont</t>
  </si>
  <si>
    <t>Control par Mr Dupont</t>
  </si>
  <si>
    <t>Dupond</t>
  </si>
  <si>
    <t>Control par Mr Dupond</t>
  </si>
  <si>
    <t>Séraphin</t>
  </si>
  <si>
    <t>Lampion</t>
  </si>
  <si>
    <t>a. Après absorbsion de Lampion par Séraphin…</t>
  </si>
  <si>
    <t>Actionnaires Séraphin</t>
  </si>
  <si>
    <t>Actionnaires Lampion</t>
  </si>
  <si>
    <t>PER de Séraphin</t>
  </si>
  <si>
    <t>Parité min (Séraphin/Lampion)</t>
  </si>
  <si>
    <t>Parité max (Séraphin/Lampion)</t>
  </si>
  <si>
    <t>d. Valeur de Mondass</t>
  </si>
  <si>
    <t>V Mondass</t>
  </si>
  <si>
    <t>Revalorisation de Lampion</t>
  </si>
  <si>
    <t>Variation des provisions sur actifs immobilisés</t>
  </si>
  <si>
    <t>Résultat d'exploitation</t>
  </si>
  <si>
    <t>Charges financières nettes des produits financiers</t>
  </si>
  <si>
    <t>Resultat courant</t>
  </si>
  <si>
    <t>Resultat exceptionnel</t>
  </si>
  <si>
    <t>Impôt sur les sociétés</t>
  </si>
  <si>
    <t>Resultat net</t>
  </si>
  <si>
    <t>Dividendes</t>
  </si>
  <si>
    <t>Résultat mis en réserve</t>
  </si>
  <si>
    <t>Produits finis</t>
  </si>
  <si>
    <t>Valeur unitaire</t>
  </si>
  <si>
    <t>Boitier</t>
  </si>
  <si>
    <t>Carte mère</t>
  </si>
  <si>
    <t>Processeur</t>
  </si>
  <si>
    <t>Mémoire vive</t>
  </si>
  <si>
    <t>Carte graphique</t>
  </si>
  <si>
    <t>Disque dur</t>
  </si>
  <si>
    <t>Ecran</t>
  </si>
  <si>
    <t>Consommation composants</t>
  </si>
  <si>
    <t>Variation de stock composants</t>
  </si>
  <si>
    <t>Composants</t>
  </si>
  <si>
    <t>Prix de vente</t>
  </si>
  <si>
    <t>Plus value vente locaux</t>
  </si>
  <si>
    <t>Achat local</t>
  </si>
  <si>
    <t>Vente local</t>
  </si>
  <si>
    <t>Durée amort</t>
  </si>
  <si>
    <t>Durée amortie</t>
  </si>
  <si>
    <t>Amortissement locaux</t>
  </si>
  <si>
    <t>Nombre de mois</t>
  </si>
  <si>
    <t>Intérêt emprunt</t>
  </si>
  <si>
    <t>Emprunt</t>
  </si>
  <si>
    <t>Taux annuel</t>
  </si>
  <si>
    <t>Nbre de mois de l'année avant remboursement</t>
  </si>
  <si>
    <t>Taux d'imposition sur les sociétés</t>
  </si>
  <si>
    <t>Excédent brut d'exploitation (EBE)</t>
  </si>
  <si>
    <t>Dotation aux amortissements</t>
  </si>
  <si>
    <t>Charges financières</t>
  </si>
  <si>
    <t>Résultat courant</t>
  </si>
  <si>
    <t>Résultat net</t>
  </si>
  <si>
    <t>Immobilisation nettes (A)</t>
  </si>
  <si>
    <t>Actif économique (A+B)</t>
  </si>
  <si>
    <t xml:space="preserve">Capitaux propres (C) </t>
  </si>
  <si>
    <t>dont dividendes à verser</t>
  </si>
  <si>
    <t>Eléments exceptionnels</t>
  </si>
  <si>
    <t>Bénéfice par action dilué</t>
  </si>
  <si>
    <t>Spread Boucherie Sanzot</t>
  </si>
  <si>
    <t>Taux + spread Sanzot</t>
  </si>
  <si>
    <t>Flux Boucherie Sanzot</t>
  </si>
  <si>
    <t>VA Oblig. Boucherie Sanzot</t>
  </si>
  <si>
    <t>source : Les Echos de Moulinsart</t>
  </si>
  <si>
    <t>Exercice 3: emprunts d'Etat belges</t>
  </si>
  <si>
    <t>faible</t>
  </si>
  <si>
    <t>Application de Black Scholes pour recalcul de la valeur</t>
  </si>
  <si>
    <t>Variation de valeur</t>
  </si>
  <si>
    <t>Exercice 1 : Soazic SA</t>
  </si>
  <si>
    <t xml:space="preserve">Exercice 3 : Picchi </t>
  </si>
  <si>
    <t>Exercice 4 : Nestlé</t>
  </si>
  <si>
    <t>Pourcentage détenu</t>
  </si>
  <si>
    <t>mise en équivalence</t>
  </si>
  <si>
    <t>L'Oréal (Cosmétiques)</t>
  </si>
  <si>
    <t>MdFS</t>
  </si>
  <si>
    <t>Vcp Nestlé</t>
  </si>
  <si>
    <t>soit</t>
  </si>
  <si>
    <t>Avant augmentation de capital</t>
  </si>
  <si>
    <t>Dernier cours</t>
  </si>
  <si>
    <t>Termes de l'augmentation</t>
  </si>
  <si>
    <t>CP comptables</t>
  </si>
  <si>
    <t>Montant de l'augmentation</t>
  </si>
  <si>
    <t>Dilution</t>
  </si>
  <si>
    <t>Nbre actions Séraphin</t>
  </si>
  <si>
    <t>action Séraphin pour 1 action Lampion</t>
  </si>
  <si>
    <t>Actionnaires hors augmentation de capital</t>
  </si>
  <si>
    <t>Enrichissement/appauvrissement</t>
  </si>
  <si>
    <t>Actionnaires ayant souscrit l'augmentation de capital</t>
  </si>
  <si>
    <t>Je place dans 3 mois</t>
  </si>
  <si>
    <t>On me rends dans 6 mois</t>
  </si>
  <si>
    <t>Capitaux propres par action</t>
  </si>
  <si>
    <t>Beta</t>
  </si>
  <si>
    <t>Gain de l'arbitrage</t>
  </si>
  <si>
    <t>Stratégie d'arbitrage</t>
  </si>
  <si>
    <t>Je rend dans 6 mois</t>
  </si>
  <si>
    <t>Résultat opérationnel</t>
  </si>
  <si>
    <t>Dividende par action</t>
  </si>
  <si>
    <t>Total de l'actif</t>
  </si>
  <si>
    <t>Flux de trésorerie d'exploitation (hors variation du BFR)</t>
  </si>
  <si>
    <t>Cours de l'action au 31/12</t>
  </si>
  <si>
    <t>Comptes non audités en M$</t>
  </si>
  <si>
    <t>Pourquoi les comptes sont-ils non audités ?</t>
  </si>
  <si>
    <t>L'exceptionnel est-il récurrent ou non ?</t>
  </si>
  <si>
    <t>Quel est l'impact du BFR et de la variation de BFR ?</t>
  </si>
  <si>
    <t>Pourquoi les multiples (PER) sont-ils élevés ?</t>
  </si>
  <si>
    <t>Points essentiels à étudier</t>
  </si>
  <si>
    <t>Indice : il s'agit des comptes d'Enron</t>
  </si>
  <si>
    <t>Exercice 2: société Filao</t>
  </si>
  <si>
    <t>Exercice 3: société Evezard</t>
  </si>
  <si>
    <t>Coût des ventes</t>
  </si>
  <si>
    <t>Frais commerciaux</t>
  </si>
  <si>
    <t>Frais administratifs</t>
  </si>
  <si>
    <t>Marge commerciale</t>
  </si>
  <si>
    <t>Consommations de matières premières</t>
  </si>
  <si>
    <t>Autres consommations externes</t>
  </si>
  <si>
    <t>Excédent Brut d'Exploitation</t>
  </si>
  <si>
    <t>Production d'électricité</t>
  </si>
  <si>
    <t>Dotations aux am.</t>
  </si>
  <si>
    <t>Grande distribution</t>
  </si>
  <si>
    <t>Marge comm. faible</t>
  </si>
  <si>
    <t>Travail temporaire</t>
  </si>
  <si>
    <t>Distribution spécialisée</t>
  </si>
  <si>
    <t>Marge comm. forte</t>
  </si>
  <si>
    <t>BTP</t>
  </si>
  <si>
    <t>Secteur</t>
  </si>
  <si>
    <t>Indices</t>
  </si>
  <si>
    <t>Dettes bancaires et financières à court, moyen et long terme</t>
  </si>
  <si>
    <t>- Disponible</t>
  </si>
  <si>
    <t>- Placement financier</t>
  </si>
  <si>
    <t>Capitaux investis dans l'exploitation (C+D)</t>
  </si>
  <si>
    <t>+ Créances d'exploitation</t>
  </si>
  <si>
    <t>- Dettes d'exploitation</t>
  </si>
  <si>
    <t>= Besoin en fond de roulement d'exploitation</t>
  </si>
  <si>
    <t>+ Besoin en fond de roulement hors exploitation</t>
  </si>
  <si>
    <t>= Besoin en fond de roulement (B)</t>
  </si>
  <si>
    <t>= Endettement net (D)</t>
  </si>
  <si>
    <t>Recettes d'exploitation</t>
  </si>
  <si>
    <t>Qté initiale</t>
  </si>
  <si>
    <t>Qté finale</t>
  </si>
  <si>
    <t>Valeur initiale</t>
  </si>
  <si>
    <t>Valeur finale</t>
  </si>
  <si>
    <t>Variation</t>
  </si>
  <si>
    <t>Achat</t>
  </si>
  <si>
    <t>Coûts de main d'œuvre associés</t>
  </si>
  <si>
    <t>Coût de main d'œuvre sur l'exercice</t>
  </si>
  <si>
    <t>Valeur matière de la production</t>
  </si>
  <si>
    <t>Vendue</t>
  </si>
  <si>
    <t>Salaires</t>
  </si>
  <si>
    <t>Charges sociales</t>
  </si>
  <si>
    <t>Valeur amortie</t>
  </si>
  <si>
    <t>Plus value</t>
  </si>
  <si>
    <t>Désendettement net</t>
  </si>
  <si>
    <t>+ Dotations aux amortissements</t>
  </si>
  <si>
    <t>+ Variation des provisions pour dépréciation d'actifs immobilisés</t>
  </si>
  <si>
    <t>- Variation du besoin en fonds de roulement d'exploitation</t>
  </si>
  <si>
    <t>- Investissements</t>
  </si>
  <si>
    <t>+ Cessions d'actifs</t>
  </si>
  <si>
    <t>+ Augmentation de capital</t>
  </si>
  <si>
    <t>- Dividendes versés</t>
  </si>
  <si>
    <t>Achats</t>
  </si>
  <si>
    <t>Ventes</t>
  </si>
  <si>
    <t>- coûts administratifs et commerciaux</t>
  </si>
  <si>
    <t>- frais de recherche et développement</t>
  </si>
  <si>
    <t>- coût de production</t>
  </si>
  <si>
    <t>date 0</t>
  </si>
  <si>
    <t>fin année 1</t>
  </si>
  <si>
    <t>fin année 2</t>
  </si>
  <si>
    <t>Stock produits finis</t>
  </si>
  <si>
    <t>Stock composants</t>
  </si>
  <si>
    <t>Capacité d'autofinancement</t>
  </si>
  <si>
    <t>Flux de trésorie disponible après impôt et frais financiers</t>
  </si>
  <si>
    <t>Flux de trésorie provenant de l'exploitation</t>
  </si>
  <si>
    <t>Remboursement d'emprunts</t>
  </si>
  <si>
    <t>- Nouveaux emprunts</t>
  </si>
  <si>
    <t>+ Variation des placements financiers</t>
  </si>
  <si>
    <t>+ Variation du disponible</t>
  </si>
  <si>
    <t>fin année 3</t>
  </si>
  <si>
    <t>Année 1</t>
  </si>
  <si>
    <t>Année 2</t>
  </si>
  <si>
    <t>Année 3</t>
  </si>
  <si>
    <t>Eléments du compte de résultat</t>
  </si>
  <si>
    <t>Sociétés</t>
  </si>
  <si>
    <t>Chiffre d'affaires</t>
  </si>
  <si>
    <t>Achats consommés</t>
  </si>
  <si>
    <t>Autres charges d'exploitation</t>
  </si>
  <si>
    <t>dont frais de personnel</t>
  </si>
  <si>
    <t>Frais financiers</t>
  </si>
  <si>
    <t>Impôts</t>
  </si>
  <si>
    <t>Frais d'installation</t>
  </si>
  <si>
    <t>Immobilisations corporelles</t>
  </si>
  <si>
    <t>dont terrains et constructions</t>
  </si>
  <si>
    <t>dont agencements et installations</t>
  </si>
  <si>
    <t>dont matériel de transport</t>
  </si>
  <si>
    <t>dont matériel de bureau</t>
  </si>
  <si>
    <t>Immobilisations financières</t>
  </si>
  <si>
    <t>Immobilisations incorporelles</t>
  </si>
  <si>
    <t>Stocks</t>
  </si>
  <si>
    <t>Créances d'exploitation</t>
  </si>
  <si>
    <t>Disponibilités</t>
  </si>
  <si>
    <t>Total Actif</t>
  </si>
  <si>
    <t>Capitaux propres</t>
  </si>
  <si>
    <t>Dettes à long et moyen terme</t>
  </si>
  <si>
    <t>Fournisseurs</t>
  </si>
  <si>
    <t>Autres dettes d'exploitation</t>
  </si>
  <si>
    <t>Dettes bancaires à court terme</t>
  </si>
  <si>
    <t>Total passif</t>
  </si>
  <si>
    <t>Produits financiers</t>
  </si>
  <si>
    <t>Excédent brut d'exploitation</t>
  </si>
  <si>
    <t>Besoin en fond de roulement</t>
  </si>
  <si>
    <t>Actif économique</t>
  </si>
  <si>
    <t>Endettement net</t>
  </si>
  <si>
    <t>Actif</t>
  </si>
  <si>
    <t>Immobilisations corporelles et incorporelles</t>
  </si>
  <si>
    <t>Titres de participation</t>
  </si>
  <si>
    <t>de la filiale</t>
  </si>
  <si>
    <t>autres</t>
  </si>
  <si>
    <t>Actif circulant</t>
  </si>
  <si>
    <t>M</t>
  </si>
  <si>
    <t>Passif</t>
  </si>
  <si>
    <t>Capital social</t>
  </si>
  <si>
    <t>Réserves</t>
  </si>
  <si>
    <t>Passif exigible</t>
  </si>
  <si>
    <t>Compte de résultat</t>
  </si>
  <si>
    <t>+ Chiffre d'affaires</t>
  </si>
  <si>
    <t>+ Produits financiers</t>
  </si>
  <si>
    <t>+ Produits exceptionnels</t>
  </si>
  <si>
    <t>= Résultat net</t>
  </si>
  <si>
    <t>- Impôt sur les bénéfices</t>
  </si>
  <si>
    <t>- Charges exceptionnelles</t>
  </si>
  <si>
    <t>- Charges financières</t>
  </si>
  <si>
    <t>- Charges de personnel</t>
  </si>
  <si>
    <t>- Autres services externes</t>
  </si>
  <si>
    <t>- Variations de stock</t>
  </si>
  <si>
    <t>- Achat</t>
  </si>
  <si>
    <t>Part du groupe</t>
  </si>
  <si>
    <t>Intérêts minoritaires</t>
  </si>
  <si>
    <t>Exercice 1</t>
  </si>
  <si>
    <t>BFR</t>
  </si>
  <si>
    <t>Exercice 2</t>
  </si>
  <si>
    <t>Etat du monde</t>
  </si>
  <si>
    <t>Remboursement de dette</t>
  </si>
  <si>
    <t>Flux pour les actionnaires</t>
  </si>
  <si>
    <t>Valeur de la dette</t>
  </si>
  <si>
    <t>Valeur de l'actif économique</t>
  </si>
  <si>
    <t>Valeur du projet d'investissement</t>
  </si>
  <si>
    <t>Financement maximum par les actionnaires</t>
  </si>
  <si>
    <t>Cas 1 : financement par dette</t>
  </si>
  <si>
    <t>Cas 2 : financement par CP</t>
  </si>
  <si>
    <t>Condition pour l'entrée de nouveaux créanciers : remboursement prioritaire par rapport aux créanciers existants</t>
  </si>
  <si>
    <t>Oui, mais problème amplifié par la situation en quasi-faillite de la société</t>
  </si>
  <si>
    <t>Dettes subordonnées</t>
  </si>
  <si>
    <t>Dettes senior</t>
  </si>
  <si>
    <t>Valeur de la dette sub.</t>
  </si>
  <si>
    <t>Valeur de la dette senior</t>
  </si>
  <si>
    <t>Activité en décroissance</t>
  </si>
  <si>
    <t>Marges négatives en chute</t>
  </si>
  <si>
    <t>-&gt; Menace de faillite</t>
  </si>
  <si>
    <t>Cession d'une partie de l'AE</t>
  </si>
  <si>
    <t>actions nouvelles</t>
  </si>
  <si>
    <t>prix d'émission</t>
  </si>
  <si>
    <t>Dette subordonnée</t>
  </si>
  <si>
    <t>Remboursement</t>
  </si>
  <si>
    <t>Dette senior</t>
  </si>
  <si>
    <t>Abndon de créance</t>
  </si>
  <si>
    <t>Emission bons de souscription</t>
  </si>
  <si>
    <t>Valeur d'un bon</t>
  </si>
  <si>
    <t>Créanciers senior</t>
  </si>
  <si>
    <t>Valeur ap. augm. cap.</t>
  </si>
  <si>
    <t>Remboursement issu de l'augm. cap</t>
  </si>
  <si>
    <t>Valeur des bons</t>
  </si>
  <si>
    <t>Patrimoine</t>
  </si>
  <si>
    <t>Valeur av. augm. cap</t>
  </si>
  <si>
    <t>Dette sub.</t>
  </si>
  <si>
    <t>Valeur par action</t>
  </si>
  <si>
    <t>Créanciers subordonnés</t>
  </si>
  <si>
    <t>d) Les créanciers sont les grands bénéficiaires du plan</t>
  </si>
  <si>
    <t>MARGE BRUTE</t>
  </si>
  <si>
    <t>VALEUR AJOUTEE</t>
  </si>
  <si>
    <t>Impôts et taxes</t>
  </si>
  <si>
    <t>EXCEDENT BRUT D'EXPLOITATION</t>
  </si>
  <si>
    <t>RESULTAT D'EXPLOITATION</t>
  </si>
  <si>
    <t>RESULTAT FINANCIER</t>
  </si>
  <si>
    <t>RESULTAT COURANT</t>
  </si>
  <si>
    <t>RESULTAT EXCEPTIONNEL</t>
  </si>
  <si>
    <t>Impôt sur les bénéfices</t>
  </si>
  <si>
    <t>RESULTAT NET</t>
  </si>
  <si>
    <t>Exercice</t>
  </si>
  <si>
    <t>Résultat net part du groupe</t>
  </si>
  <si>
    <t>Dettes fournisseurs</t>
  </si>
  <si>
    <t>+ Autres créances d'exploitation courante</t>
  </si>
  <si>
    <t>+ Autres dettes d'exploitation courante</t>
  </si>
  <si>
    <t>ACTIF IMMOBILISE (Immo)</t>
  </si>
  <si>
    <t>Stock Total</t>
  </si>
  <si>
    <t>+ Créances clients nettes de provisions</t>
  </si>
  <si>
    <t>= EMPLOI DU CYCLE D'EXPLOITATION (1)</t>
  </si>
  <si>
    <t>Encours fournisseurs d'exploitation (net des avances)</t>
  </si>
  <si>
    <t>= RESSOURCES DU CYCLE D'EXPLOITATION (2)</t>
  </si>
  <si>
    <t>BESOIN EN FONDS DE ROULEMENT HORS EXPLOITATION</t>
  </si>
  <si>
    <t>ACTIF ECONOMIQUE (IMMO + BFR) + BFR HORS EXPLOITATION</t>
  </si>
  <si>
    <t>CAPITAUX PROPRES TOTAUX (CP)</t>
  </si>
  <si>
    <t>Dettes bancaires et financières LMT (y compris crédit-bail)</t>
  </si>
  <si>
    <t>+ Concours bancaires courant</t>
  </si>
  <si>
    <t>- Placements financiers et disponible</t>
  </si>
  <si>
    <t>= ENDETTEMENT NET (D)</t>
  </si>
  <si>
    <t xml:space="preserve">Compte de résultat </t>
  </si>
  <si>
    <t>Fabrication et distribution</t>
  </si>
  <si>
    <t>Recettes</t>
  </si>
  <si>
    <t>Dépenses</t>
  </si>
  <si>
    <t>Flux de trésorerie d'exploitation</t>
  </si>
  <si>
    <t>Prix d'un abonnement</t>
  </si>
  <si>
    <t>Nbre d'abonnements vendus</t>
  </si>
  <si>
    <t>Nbre de numéros dans l'année</t>
  </si>
  <si>
    <t>Coût unitaire fabrication/livraison</t>
  </si>
  <si>
    <t>Coût de main d'œuvre par numéro</t>
  </si>
  <si>
    <t>+ Provisions à caractère d'endettement net</t>
  </si>
  <si>
    <t>Frais de R&amp;D</t>
  </si>
  <si>
    <t>Agence de voyage</t>
  </si>
  <si>
    <t xml:space="preserve">Marge d'expl. faible
Coût des ventes élevé </t>
  </si>
  <si>
    <t>Produits de luxe</t>
  </si>
  <si>
    <t>Equipement télécom</t>
  </si>
  <si>
    <t>Biens de grande conso.</t>
  </si>
  <si>
    <t>Frais comm. et 
R&amp;D élevés</t>
  </si>
  <si>
    <t>Production de ciment</t>
  </si>
  <si>
    <t>R&amp;D limité</t>
  </si>
  <si>
    <t>R&amp;D élevé</t>
  </si>
  <si>
    <t>Marge d'expl. élevée
Frais comm. élevés</t>
  </si>
  <si>
    <t>Exercice 1: Société Daniel Lucot</t>
  </si>
  <si>
    <t>Exercice 2: Société Jean-Michel Palaric</t>
  </si>
  <si>
    <t>Coût de distribution et de marketing</t>
  </si>
  <si>
    <t>Frais généraux et administratifs</t>
  </si>
  <si>
    <t>Autres produits et charges d'exploitation</t>
  </si>
  <si>
    <t>Résultat d'exploitation récurrent</t>
  </si>
  <si>
    <t>Résultat d'exploitation total</t>
  </si>
  <si>
    <t>Autres actifs non courants</t>
  </si>
  <si>
    <t>Dettes fournisseurs d'exploitation</t>
  </si>
  <si>
    <t xml:space="preserve">Besoin en fond de roulement </t>
  </si>
  <si>
    <t>Besoin en fond de roulement hors d'exploitation</t>
  </si>
  <si>
    <t>Besoin en fond de roulement d'exploitation</t>
  </si>
  <si>
    <t>Engagements de retraite</t>
  </si>
  <si>
    <t>Impôts différés passifs</t>
  </si>
  <si>
    <t>Frais de recherche et développement</t>
  </si>
  <si>
    <t>Autres immobilisations incorporelles</t>
  </si>
  <si>
    <t>Sociétés mises en équivalence et participations</t>
  </si>
  <si>
    <t>Résultat des sociétés mises en équivalence ou participation</t>
  </si>
  <si>
    <t>Trésorerie et équivalent trésorerie</t>
  </si>
  <si>
    <t>Nb actions ap. augm.</t>
  </si>
  <si>
    <t>- Plus-values de cession</t>
  </si>
  <si>
    <t>- Variation du besoin en fonds de roulement</t>
  </si>
  <si>
    <t>= Flux de trésorerie provenant de l'exploitation (A)</t>
  </si>
  <si>
    <t>Investissement d'exploitation</t>
  </si>
  <si>
    <t>+ Investissements financiers</t>
  </si>
  <si>
    <t>- Cessions d'immobilisations</t>
  </si>
  <si>
    <t>Augmentation de capital en numéraire ( C )</t>
  </si>
  <si>
    <t>(A-B+C-D) = Désendettement net</t>
  </si>
  <si>
    <t>n+1</t>
  </si>
  <si>
    <t>n+2</t>
  </si>
  <si>
    <t>Variation BFR</t>
  </si>
  <si>
    <t>n</t>
  </si>
  <si>
    <t>Variation des effets remis à l'escompte et non échus</t>
  </si>
  <si>
    <t>Calcul de la variation de BFR</t>
  </si>
  <si>
    <t>Société Masque</t>
  </si>
  <si>
    <t>CHIFFRES D'AFFAIRES</t>
  </si>
  <si>
    <t>PRODUCTION (100%)</t>
  </si>
  <si>
    <t>achats consommés</t>
  </si>
  <si>
    <t>autres consommations et charges externes (hors crédit-bail et sous-traitance)</t>
  </si>
  <si>
    <t>frais de personnel (y.c. sous-traitance et participation)</t>
  </si>
  <si>
    <t>impôts et taxes</t>
  </si>
  <si>
    <t>Exercice 2 : Alcazar</t>
  </si>
  <si>
    <t>CAC 40</t>
  </si>
  <si>
    <t>Ecart type rent CAC 40</t>
  </si>
  <si>
    <t>cyclique</t>
  </si>
  <si>
    <t>Actif économique fin d'année</t>
  </si>
  <si>
    <t>Re sur AE moyen</t>
  </si>
  <si>
    <t>β TI</t>
  </si>
  <si>
    <t>kcp TI</t>
  </si>
  <si>
    <t>k TI</t>
  </si>
  <si>
    <t>kd TI</t>
  </si>
  <si>
    <t>Vcp/V TI</t>
  </si>
  <si>
    <t>Vd/V TI</t>
  </si>
  <si>
    <t>Vd/Vcp TI</t>
  </si>
  <si>
    <t xml:space="preserve">Exercice </t>
  </si>
  <si>
    <t>Participation</t>
  </si>
  <si>
    <t>Sans droits de vote double</t>
  </si>
  <si>
    <t>Avec droits de vote doubles</t>
  </si>
  <si>
    <t>Représentation en AG</t>
  </si>
  <si>
    <t>% en AG</t>
  </si>
  <si>
    <t>du capital</t>
  </si>
  <si>
    <t>DPA</t>
  </si>
  <si>
    <t>pour VAE =</t>
  </si>
  <si>
    <t>n+3</t>
  </si>
  <si>
    <t>n+4</t>
  </si>
  <si>
    <t>n+5</t>
  </si>
  <si>
    <t>Total 3 ans</t>
  </si>
  <si>
    <t>Total année 1</t>
  </si>
  <si>
    <t>Total année 2</t>
  </si>
  <si>
    <t>Total année 3</t>
  </si>
  <si>
    <t>Matieres premieres</t>
  </si>
  <si>
    <t>Chiffres clés</t>
  </si>
  <si>
    <t>Société Remy</t>
  </si>
  <si>
    <t>A noter que contrairement à ce qui est indiqué dans le corrigé les créances clients doivent être 120% en inlcuant la TVA et non 119,6%</t>
  </si>
  <si>
    <t>Exercice 1 : Carlsberg et L'Oréal</t>
  </si>
  <si>
    <t>Flux net</t>
  </si>
  <si>
    <t>Objectif d'écart type 14%</t>
  </si>
  <si>
    <t>Objectif d'écart type 23%</t>
  </si>
  <si>
    <t>chute du cours à 4,5 €</t>
  </si>
  <si>
    <t>Division vente d'équipement</t>
  </si>
  <si>
    <t>gain de frais financiers à 4%</t>
  </si>
  <si>
    <t>EXERCICE  6</t>
  </si>
  <si>
    <t>EXERCICE  7</t>
  </si>
  <si>
    <t xml:space="preserve">Coût du capital </t>
  </si>
  <si>
    <t>BFR/ Actif économique</t>
  </si>
  <si>
    <t>Baisse du résultat d'exploitation</t>
  </si>
  <si>
    <t>Coût de l'opération</t>
  </si>
  <si>
    <t>A noter dans le corrigé papier un 50% "en trop" dans la formule</t>
  </si>
  <si>
    <t>Exercice 1 : Tapioca</t>
  </si>
  <si>
    <t>Apport</t>
  </si>
  <si>
    <t>% du capital obtenu</t>
  </si>
  <si>
    <t>Valeur post money</t>
  </si>
  <si>
    <t>Valeur pre-money</t>
  </si>
  <si>
    <t>Financement</t>
  </si>
  <si>
    <t>Apport de l'Entrepreneur</t>
  </si>
  <si>
    <t>% du capital busines angels</t>
  </si>
  <si>
    <t>Valeur 2 mois plus tard</t>
  </si>
  <si>
    <t>Gain (perte) entrepreneur</t>
  </si>
  <si>
    <t>Gain (perte) business angels</t>
  </si>
  <si>
    <t>Cas 1</t>
  </si>
  <si>
    <t>Cas 2</t>
  </si>
  <si>
    <t>Goodwill</t>
  </si>
  <si>
    <t>Prix par action investisseurs</t>
  </si>
  <si>
    <t>Nombre d'actions fondateurs</t>
  </si>
  <si>
    <t>Nombre d'actions investisseurs</t>
  </si>
  <si>
    <t>Prix par action fondateurs</t>
  </si>
  <si>
    <t>Investissement Fonds</t>
  </si>
  <si>
    <t>% obtenu</t>
  </si>
  <si>
    <t>% fondateurs</t>
  </si>
  <si>
    <t>% investisseurs</t>
  </si>
  <si>
    <t>% Fonds</t>
  </si>
  <si>
    <t>Sans full ratchet</t>
  </si>
  <si>
    <t>Avec full ratchet</t>
  </si>
  <si>
    <t>Valeur implicite pour 100%</t>
  </si>
  <si>
    <t>Options</t>
  </si>
  <si>
    <t>25%-30%</t>
  </si>
  <si>
    <t>30%-35%</t>
  </si>
  <si>
    <t>&gt;35%</t>
  </si>
  <si>
    <t>Prix à 5 ans</t>
  </si>
  <si>
    <t>TRI avant option</t>
  </si>
  <si>
    <t>TRI après option</t>
  </si>
  <si>
    <t>Taux de réinvestissement</t>
  </si>
  <si>
    <t>TRAM (TRIG)</t>
  </si>
  <si>
    <t>Flux capitalisés au taux de réinvestissement</t>
  </si>
  <si>
    <t>Nouvelle séquence de flux</t>
  </si>
  <si>
    <t>= CAPITAUX INVESTIS DANS L'EXPLOITATION (CP+D)</t>
  </si>
  <si>
    <t>S</t>
  </si>
  <si>
    <t>Bilan M+S</t>
  </si>
  <si>
    <t>Voir corrigé dans l'ouvrage</t>
  </si>
  <si>
    <t>P1</t>
  </si>
  <si>
    <t>P2</t>
  </si>
  <si>
    <t>P3</t>
  </si>
  <si>
    <t>P4</t>
  </si>
  <si>
    <t>P5</t>
  </si>
  <si>
    <t>kcp Orange</t>
  </si>
  <si>
    <t>kd Orange</t>
  </si>
  <si>
    <t>Vd/Vcp Orange</t>
  </si>
  <si>
    <t>Vcp/V Orange</t>
  </si>
  <si>
    <t>Vd/V Orange</t>
  </si>
  <si>
    <t>k Orange</t>
  </si>
  <si>
    <t>Corrigé dans l'ouvrage</t>
  </si>
  <si>
    <t>Simulation crise (sur la base du CA 2008)</t>
  </si>
  <si>
    <t>Hypothèse : simulation bâtie sur un chiffre d'affaires 2009 égal à celui de 2008</t>
  </si>
  <si>
    <t xml:space="preserve">très forte </t>
  </si>
  <si>
    <t>Exercice Lefuribard</t>
  </si>
  <si>
    <t>COMPTE DE RESULTAT</t>
  </si>
  <si>
    <t>N</t>
  </si>
  <si>
    <t>N+1</t>
  </si>
  <si>
    <t>N+2</t>
  </si>
  <si>
    <t>N+3</t>
  </si>
  <si>
    <t>N+4</t>
  </si>
  <si>
    <t>N+5</t>
  </si>
  <si>
    <t>N+6</t>
  </si>
  <si>
    <t>N+7</t>
  </si>
  <si>
    <t>N+8</t>
  </si>
  <si>
    <t>N+9</t>
  </si>
  <si>
    <t>N+10</t>
  </si>
  <si>
    <t>N+11</t>
  </si>
  <si>
    <t>N+12</t>
  </si>
  <si>
    <t>N+13</t>
  </si>
  <si>
    <t>N+14</t>
  </si>
  <si>
    <t>N+15</t>
  </si>
  <si>
    <t>N+16</t>
  </si>
  <si>
    <t>N+17</t>
  </si>
  <si>
    <t>N+18</t>
  </si>
  <si>
    <t>N+19</t>
  </si>
  <si>
    <t>N+20</t>
  </si>
  <si>
    <t>Autres charges d'exploitation (hors loyers et dotation aux amortissements)</t>
  </si>
  <si>
    <t>Loyers</t>
  </si>
  <si>
    <t>IS (35%)</t>
  </si>
  <si>
    <t>Résultat Net</t>
  </si>
  <si>
    <t>BILAN</t>
  </si>
  <si>
    <t>Immobilisations</t>
  </si>
  <si>
    <t>Dette financière nette</t>
  </si>
  <si>
    <t>Capitaux investis</t>
  </si>
  <si>
    <t>TABLEAU DE FLUX</t>
  </si>
  <si>
    <t>Variation de BFR</t>
  </si>
  <si>
    <t>Flux de trésorerie d'exploitation (*)</t>
  </si>
  <si>
    <t>Investissements</t>
  </si>
  <si>
    <t>Augmentation (Diminution) de l'endettement net</t>
  </si>
  <si>
    <t>Hypothèse dette</t>
  </si>
  <si>
    <t>kd avant impôt</t>
  </si>
  <si>
    <t>(*) Après frais financiers.</t>
  </si>
  <si>
    <t>Flux post financement</t>
  </si>
  <si>
    <t>EN LOCATION</t>
  </si>
  <si>
    <t>EN PROPRIETE</t>
  </si>
  <si>
    <t>LVMH</t>
  </si>
  <si>
    <t>Exercice 1: LVMH</t>
  </si>
  <si>
    <t>Rentabilité LVMH</t>
  </si>
  <si>
    <t>Risque total de LVMH</t>
  </si>
  <si>
    <t>Risque de marché de LVMH</t>
  </si>
  <si>
    <t>Risque  spécifique de LVMH</t>
  </si>
  <si>
    <t>Rentabilité C</t>
  </si>
  <si>
    <t>ρ H,C</t>
  </si>
  <si>
    <t>XC</t>
  </si>
  <si>
    <t>σ H,C</t>
  </si>
  <si>
    <t>E(r H,C)</t>
  </si>
  <si>
    <t>XC (Z)</t>
  </si>
  <si>
    <t>Exercice 2 : ArcelorMittal</t>
  </si>
  <si>
    <t>en M$</t>
  </si>
  <si>
    <t>β Orange</t>
  </si>
  <si>
    <t>Produits (charges) non récurrentes</t>
  </si>
  <si>
    <t>Exercice 3: Société Marié-Sall</t>
  </si>
  <si>
    <t>Voir corrigé dans le livre</t>
  </si>
  <si>
    <t>[4 ou 5 ans… l'énnoncé dit plutôt 5 soit 35$ et non 31.]</t>
  </si>
  <si>
    <t>Exercice 15 - Le Furibard</t>
  </si>
  <si>
    <t>Exercice 16</t>
  </si>
  <si>
    <t>Exercice 17</t>
  </si>
  <si>
    <t>Exercice 18</t>
  </si>
  <si>
    <t>Exercice 19</t>
  </si>
  <si>
    <t>Exercice 20</t>
  </si>
  <si>
    <t>Exercice 21</t>
  </si>
  <si>
    <t>Exercice 22</t>
  </si>
  <si>
    <t>Exercice 23</t>
  </si>
  <si>
    <t>Exercice 24</t>
  </si>
  <si>
    <t>Exercice 25</t>
  </si>
  <si>
    <t>Les écarts avec le corrigé du livre s'expliquent par les arrondis</t>
  </si>
  <si>
    <t>Impérial Tobacco</t>
  </si>
  <si>
    <t>Rémy Cointreau</t>
  </si>
  <si>
    <t>Nokia</t>
  </si>
  <si>
    <t>nulle</t>
  </si>
  <si>
    <t>hausse cours à 13,5 €</t>
  </si>
  <si>
    <t>Compte de résultat en %</t>
  </si>
  <si>
    <t>En % du chiffre d'affaires</t>
  </si>
  <si>
    <t>- Charges externes</t>
  </si>
  <si>
    <t>= Valeur ajoutée</t>
  </si>
  <si>
    <t xml:space="preserve">- Impôts et taxes </t>
  </si>
  <si>
    <t xml:space="preserve">+/- Autres produits/ charges </t>
  </si>
  <si>
    <t>= Excédent brut d'exploitation</t>
  </si>
  <si>
    <t>= Résultat d'exploitation</t>
  </si>
  <si>
    <t>- Coût de l'endettement net</t>
  </si>
  <si>
    <t>+ Autres éléments financiers</t>
  </si>
  <si>
    <t>+ Eléments non récurrents</t>
  </si>
  <si>
    <t>= Résultat avant impôt</t>
  </si>
  <si>
    <t xml:space="preserve">- Impôt sur les bénéfices </t>
  </si>
  <si>
    <t>+ Dotation aux amortissements</t>
  </si>
  <si>
    <t>+ Charges et produits sans incidence sur la trésorerie</t>
  </si>
  <si>
    <t>= Capacité d’autofinancement</t>
  </si>
  <si>
    <t>= Flux d’exploitation (1)</t>
  </si>
  <si>
    <t xml:space="preserve">- Investissements industriels </t>
  </si>
  <si>
    <t>+ Produits nets des cessions</t>
  </si>
  <si>
    <t>= Flux d'investissement (2)</t>
  </si>
  <si>
    <t>Flux de trésorerie disponible après charges financières (1)+(2)</t>
  </si>
  <si>
    <t>+ Augmentation (réduction) de capital</t>
  </si>
  <si>
    <t>- Dividendes</t>
  </si>
  <si>
    <t>= Réduction (augmentation) de l’endettement net</t>
  </si>
  <si>
    <t>+ Immobilisations corporelles</t>
  </si>
  <si>
    <t>+ Immobilisations financières</t>
  </si>
  <si>
    <t>= Actifs immobilisés (1)</t>
  </si>
  <si>
    <t>+ Autres actifs d'exploitation</t>
  </si>
  <si>
    <t>- Autres dettes d'exploitation</t>
  </si>
  <si>
    <t>= Besoin en fonds de roulement (2)</t>
  </si>
  <si>
    <t>Actifs hors exploitation</t>
  </si>
  <si>
    <t>+ Intérêts minoritaires</t>
  </si>
  <si>
    <t>Dettes financières LT</t>
  </si>
  <si>
    <t>- Trésorerie et équivalents de trésorerie</t>
  </si>
  <si>
    <t>Productivité</t>
  </si>
  <si>
    <t>Chiffre d'affaires / effectifs</t>
  </si>
  <si>
    <t>Valeur ajoutée / effectifs</t>
  </si>
  <si>
    <t>Résultat d'exploitation / effectifs</t>
  </si>
  <si>
    <t>Salaire brut moyen, charges patronales inclues</t>
  </si>
  <si>
    <t>Politique d'investissement</t>
  </si>
  <si>
    <t>Investissements corporels net / dotations aux amortissements</t>
  </si>
  <si>
    <t>Rotation du BFR d'exploitation</t>
  </si>
  <si>
    <t>BFR d'exploitation / Chiffre d'affaires, en jours de chiffre d'affaires</t>
  </si>
  <si>
    <t>Délai clients en jours de CA</t>
  </si>
  <si>
    <t>Stocks en jours de CA</t>
  </si>
  <si>
    <t>Fournisseurs en jours d'achat</t>
  </si>
  <si>
    <t>Taux de TVA</t>
  </si>
  <si>
    <t>Capacité d'endettement</t>
  </si>
  <si>
    <t>Dettes nettes/ EBE</t>
  </si>
  <si>
    <t>Résultat d'exploitation / coût de l'endettement</t>
  </si>
  <si>
    <t>Dettes nettes /capitaux propres</t>
  </si>
  <si>
    <t>Rentabilités</t>
  </si>
  <si>
    <t xml:space="preserve">Résultat d'exploitation après impôt sur les sociétés / Chiffre d'affaires </t>
  </si>
  <si>
    <t>x</t>
  </si>
  <si>
    <t>Chiffre d'affaires / Actif économique</t>
  </si>
  <si>
    <t>= Rentabilité économique après impôt</t>
  </si>
  <si>
    <t>Coût de la dette après impôt sur les sociétés</t>
  </si>
  <si>
    <t>Levier financier (Endettement bancaire et financier net / Capitaux propres)</t>
  </si>
  <si>
    <t>Rentabilité des capitaux propres après impôt</t>
  </si>
  <si>
    <t>Part de la rentabilité des capitaux propres expliquée par l'effet de levier</t>
  </si>
  <si>
    <t xml:space="preserve">Taux d'imposition </t>
  </si>
  <si>
    <t>Projet A</t>
  </si>
  <si>
    <t>Projet B</t>
  </si>
  <si>
    <t>Van @ 5%</t>
  </si>
  <si>
    <t>Van @ 10%</t>
  </si>
  <si>
    <t>Projet B (avec réinvestissement du coupon)</t>
  </si>
  <si>
    <t>Flux en période 2 en fonction du taux de réinvestissement</t>
  </si>
  <si>
    <t>Glencore (£)</t>
  </si>
  <si>
    <t>élevé</t>
  </si>
  <si>
    <t>BPA estimé</t>
  </si>
  <si>
    <t>Md CHF</t>
  </si>
  <si>
    <t>Côte d'Ivoire</t>
  </si>
  <si>
    <t>US</t>
  </si>
  <si>
    <t>D=0</t>
  </si>
  <si>
    <t>D=500 à 7%</t>
  </si>
  <si>
    <t>Résultat avant impôt sur les sociétés</t>
  </si>
  <si>
    <t>Dividende</t>
  </si>
  <si>
    <t>Impôt sur le revenu sur les dividendes</t>
  </si>
  <si>
    <t>Impôt sur le revenu sur les intérêts</t>
  </si>
  <si>
    <t>Revenu net pour l'actionnaire</t>
  </si>
  <si>
    <t>Taux de rentabilité pour l'actionnaire</t>
  </si>
  <si>
    <t>Revenu net pour le créancier</t>
  </si>
  <si>
    <t>Taux de rentabilité net pour le créancier</t>
  </si>
  <si>
    <t>Revenu net pour les investisseurs</t>
  </si>
  <si>
    <t>Impôt sur le revenu sur les dividendes à 42,5%</t>
  </si>
  <si>
    <t>Impôt sur le revenu sur les intérêts à 60,5%</t>
  </si>
  <si>
    <t>Etats-Unis</t>
  </si>
  <si>
    <t>Ecarts d'acquisition</t>
  </si>
  <si>
    <t>Titres mis en équivalence</t>
  </si>
  <si>
    <t>Impôts différés actifs</t>
  </si>
  <si>
    <t>Total de l'actif non courant</t>
  </si>
  <si>
    <t>Capitaux propres du groupe</t>
  </si>
  <si>
    <t>Capitaux propres de l'ensemble consolidé</t>
  </si>
  <si>
    <t>Créances d'impôts courants</t>
  </si>
  <si>
    <t>Dettes financières long terme - part long terme</t>
  </si>
  <si>
    <t>Autres créances</t>
  </si>
  <si>
    <t>Provisions pour retraites et avantages au personnel</t>
  </si>
  <si>
    <t>Actifs détenus en vue de la vente</t>
  </si>
  <si>
    <t>Disponibilités et équivalents trésorerie</t>
  </si>
  <si>
    <t>Autres provisions et passifs non courants</t>
  </si>
  <si>
    <t>Total de l'actif courant</t>
  </si>
  <si>
    <t>Total des dettes non courantes</t>
  </si>
  <si>
    <t xml:space="preserve">Dettes financières long terme - part court terme </t>
  </si>
  <si>
    <t>Autres provisions et passifs courants</t>
  </si>
  <si>
    <t>Dettes d'impôts courants</t>
  </si>
  <si>
    <t>Autres dettes</t>
  </si>
  <si>
    <t>Passifs détenus en vue de la vente</t>
  </si>
  <si>
    <t>Emprunts à moins d'un an et banques créditrices</t>
  </si>
  <si>
    <t>Total des dettes courantes</t>
  </si>
  <si>
    <t>Total du passif</t>
  </si>
  <si>
    <t>Bilan économique de Saint-Gobain (en Md€)</t>
  </si>
  <si>
    <t>Ports USB</t>
  </si>
  <si>
    <t>1.      Le producteur paie à tous ses fournisseurs 900 le jour 1 et reçoit de son client distributeur 980 le jour 60. Le distributeur paie le jour 60 son fournisseur (le producteur) 980 et 100 à d’autres fournisseurs et touche le jour 90 1100 de ses clients. Pendant 60 jours le producteur a un déficit de trésorerie de 900, c’est son BFR, et il réalise une marge de 80. Pendant 30 jours le distributeur a un déficit de trésorerie de 1 080, c’est son BFR, et il réalise une marge de 1 100 – 980 – 100 = 20.</t>
  </si>
  <si>
    <t>    Reprenons l’exemple précédent. C’est maintenant le distributeur qui achète le producteur. Il portait 1 080 pendant 30 jours. Maintenant il doit porter 900 pendant 90 jours et 100 pendant 30 jours, soit 933 en moyenne sur 90 jours. Son BFR a donc augmenté.</t>
  </si>
  <si>
    <r>
      <t xml:space="preserve">c) </t>
    </r>
    <r>
      <rPr>
        <i/>
        <u/>
        <sz val="10"/>
        <rFont val="Calibri"/>
        <family val="2"/>
        <scheme val="minor"/>
      </rPr>
      <t>Bilan de l'opération</t>
    </r>
  </si>
  <si>
    <r>
      <t>k</t>
    </r>
    <r>
      <rPr>
        <vertAlign val="subscript"/>
        <sz val="10"/>
        <rFont val="Calibri"/>
        <family val="2"/>
        <scheme val="minor"/>
      </rPr>
      <t>CP</t>
    </r>
  </si>
  <si>
    <r>
      <t>V</t>
    </r>
    <r>
      <rPr>
        <vertAlign val="subscript"/>
        <sz val="10"/>
        <rFont val="Calibri"/>
        <family val="2"/>
        <scheme val="minor"/>
      </rPr>
      <t>CP</t>
    </r>
  </si>
  <si>
    <r>
      <t>V</t>
    </r>
    <r>
      <rPr>
        <vertAlign val="subscript"/>
        <sz val="10"/>
        <rFont val="Calibri"/>
        <family val="2"/>
        <scheme val="minor"/>
      </rPr>
      <t>D</t>
    </r>
  </si>
  <si>
    <r>
      <t>V</t>
    </r>
    <r>
      <rPr>
        <vertAlign val="subscript"/>
        <sz val="10"/>
        <rFont val="Calibri"/>
        <family val="2"/>
        <scheme val="minor"/>
      </rPr>
      <t>D</t>
    </r>
    <r>
      <rPr>
        <sz val="10"/>
        <rFont val="Calibri"/>
        <family val="2"/>
        <scheme val="minor"/>
      </rPr>
      <t>/(V</t>
    </r>
    <r>
      <rPr>
        <vertAlign val="subscript"/>
        <sz val="10"/>
        <rFont val="Calibri"/>
        <family val="2"/>
        <scheme val="minor"/>
      </rPr>
      <t>CP</t>
    </r>
    <r>
      <rPr>
        <sz val="10"/>
        <rFont val="Calibri"/>
        <family val="2"/>
        <scheme val="minor"/>
      </rPr>
      <t>+V</t>
    </r>
    <r>
      <rPr>
        <vertAlign val="subscript"/>
        <sz val="10"/>
        <rFont val="Calibri"/>
        <family val="2"/>
        <scheme val="minor"/>
      </rPr>
      <t>D</t>
    </r>
    <r>
      <rPr>
        <sz val="10"/>
        <rFont val="Calibri"/>
        <family val="2"/>
        <scheme val="minor"/>
      </rPr>
      <t>)</t>
    </r>
  </si>
  <si>
    <r>
      <t>k</t>
    </r>
    <r>
      <rPr>
        <vertAlign val="subscript"/>
        <sz val="8"/>
        <rFont val="Calibri"/>
        <family val="2"/>
        <scheme val="minor"/>
      </rPr>
      <t>D</t>
    </r>
  </si>
  <si>
    <r>
      <t>r</t>
    </r>
    <r>
      <rPr>
        <vertAlign val="subscript"/>
        <sz val="10"/>
        <rFont val="Calibri"/>
        <family val="2"/>
        <scheme val="minor"/>
      </rPr>
      <t>F</t>
    </r>
  </si>
  <si>
    <r>
      <t>(r</t>
    </r>
    <r>
      <rPr>
        <vertAlign val="subscript"/>
        <sz val="10"/>
        <rFont val="Calibri"/>
        <family val="2"/>
        <scheme val="minor"/>
      </rPr>
      <t>F</t>
    </r>
    <r>
      <rPr>
        <sz val="10"/>
        <rFont val="Calibri"/>
        <family val="2"/>
        <scheme val="minor"/>
      </rPr>
      <t>+σ²/2)*T</t>
    </r>
  </si>
  <si>
    <r>
      <t>r</t>
    </r>
    <r>
      <rPr>
        <vertAlign val="subscript"/>
        <sz val="10"/>
        <rFont val="Calibri"/>
        <family val="2"/>
        <scheme val="minor"/>
      </rPr>
      <t>CP</t>
    </r>
  </si>
  <si>
    <t xml:space="preserve">=BESOIN EN FONDS DE ROULEMENT D'EXPLOITATION (BFR) (1+2) = </t>
  </si>
  <si>
    <t>Air Liquide alterne depuis 1993 des phases d'investissements très nettement supérieurs à celles des années précédentes (souvent un doublement), comme en 1996-1999 ou en 2006-2008 et en 2012-2013, suivies de phases d'investissements nettement plus modérées. Les phases de fort investissement suivent en générale les périodes où les flux de trésorerie générés par l'exploitation étaient devenus stagnants (1993-1995, 2000-2005, 2009-2011 et 2013-2015). Les phases de gros efforts d'investissements sont suivies de périodes de croissance accélérée des flux de trésorerie d'exploitation (2000-2002, 2008-2009, 2016-2018) qui témoignent de la bonne rentabilité de ces investissements. La forte hausse des flux de trésorerie d'exploitation en 2017, malgré une baisse des investissements corporels, est due à l'acquisition d'Airgas, qui a donné des capacité de production supplémentaires à Air Liquide sans investissements corporels nouveaux.</t>
  </si>
  <si>
    <t>. Pour consolider F, H utilise l'intégration globale car H contrôle F (H détient 56% de F).
. Pour consolider H, V utilise l'intégration proportionnelle car V partage le contrôe de H avec K (50% / 50%).
. Si le résultat net de F est de 100, H en constatera 100 dans ses comptes dont 44 en minoritaires et V en constatera 50 dans ses comptes dont 50% x 56% = 28 en part du groupe et 50% x 44 = 22 en minoritaires.
Mais avec les nouvelles normes IFRS, suivant la gouvernance dans la société H, V pourrait à l'avenir être contraint de consolidé H par mise en équivalence.</t>
  </si>
  <si>
    <t>AB Inbev</t>
  </si>
  <si>
    <t>Axa</t>
  </si>
  <si>
    <t>r calculé</t>
  </si>
  <si>
    <t>Exercice 2 : Air France</t>
  </si>
  <si>
    <t>Il s'agit d'une option d'achat à prix d'exercice nul couplé à une option de vente à prix d'exercice nul dont la valeur dépend de l'affluence au concert.</t>
  </si>
  <si>
    <t>Exercice 3 : Air France</t>
  </si>
  <si>
    <t>Le coût de l’électricité varie dans l’année et il peut ne pas être économiquement viable de faire fonctionner la centrale à tout moment. Le management d’Enron se fondait sur des données historiques montrant que ponctuellement le prix de l’électricité pouvait grimper de 40 $ à 7 000 $ certains jours de très forte consommation. La centrale pouvait alors être rentable en ne fonctionnant que quelques jours par an. Les limites de ce raisonnement sont la capacité de n’opérer que quelques jours par an (nécessité d’avoir la centrale parfaitement disponible, difficulté de gestion des ressources humaines, capacité de mettre en oeuvre la production suffisamment rapidement…), la très forte dépendance à la volatilité de la consommation d’électricité (et donc un très fort risque pris : si deux années de suite l’hiver est très doux !), la capacité à maintenir réduits les coûts de maintenance lorsque la centrale ne fonctionne pas…
Rien d’évident !</t>
  </si>
  <si>
    <t>Exercices 2, 3 et 4</t>
  </si>
  <si>
    <t>Tesla ($)</t>
  </si>
  <si>
    <t>ANALYSE FINANCIERE - Cogelec</t>
  </si>
  <si>
    <t>+ Production immobilisée</t>
  </si>
  <si>
    <t>+ Production stockée</t>
  </si>
  <si>
    <t>= Production</t>
  </si>
  <si>
    <t>- Achats consommés</t>
  </si>
  <si>
    <t>= Marge brute</t>
  </si>
  <si>
    <t xml:space="preserve">- Charges de personnel </t>
  </si>
  <si>
    <t xml:space="preserve">- Dotations aux amortissements </t>
  </si>
  <si>
    <t>Résultat net de l'ensemble consolidé</t>
  </si>
  <si>
    <t>- Variation du besoin en fonds de roulement hors exploitation</t>
  </si>
  <si>
    <t>- Investissements financiers</t>
  </si>
  <si>
    <t xml:space="preserve"> Immobilisations incorporelles (frais de R&amp;D)</t>
  </si>
  <si>
    <t>+ Immobilisations incorporelles (fonds de commerce)</t>
  </si>
  <si>
    <t>+ Immobilisations incorporelles (goodwill)</t>
  </si>
  <si>
    <t xml:space="preserve">- Produits constatés d'avance </t>
  </si>
  <si>
    <t>- Passifs hors exploitation (fournisseurs d'immobilisations)</t>
  </si>
  <si>
    <t>= BFR hors exploitation (3)</t>
  </si>
  <si>
    <t>Actif économique = (1)+(2)+(3)</t>
  </si>
  <si>
    <t xml:space="preserve">+ Impôts différés </t>
  </si>
  <si>
    <t>+ Subventions et CIR</t>
  </si>
  <si>
    <t>= Capitaux propres (4)</t>
  </si>
  <si>
    <t xml:space="preserve">+ Dettes financières CT </t>
  </si>
  <si>
    <t>= Endettement bancaire et financier net (5)</t>
  </si>
  <si>
    <t>Capitaux investis = (4)+(5)</t>
  </si>
  <si>
    <t>Effectifs consolidés moyen</t>
  </si>
  <si>
    <t>Exercice 26</t>
  </si>
  <si>
    <t>K</t>
  </si>
  <si>
    <t>Compte de résultat* (en milliers d'euros)</t>
  </si>
  <si>
    <t>*Clôture des comptes le 31 décembre de chaque exercice</t>
  </si>
  <si>
    <t>Bilan (en milliers d'euros)</t>
  </si>
  <si>
    <t>Tableau de flux (en milliers d'euros)</t>
  </si>
  <si>
    <t>2022e</t>
  </si>
  <si>
    <t>Taux de distribution 2021e</t>
  </si>
  <si>
    <t>Taux de rendement 2021e</t>
  </si>
  <si>
    <t>Taux de croissance du BPA 2020-2022</t>
  </si>
  <si>
    <t>PER 2021</t>
  </si>
  <si>
    <t>n.s. : Non significatif</t>
  </si>
  <si>
    <t>1/ Fever Tech.</t>
  </si>
  <si>
    <t>2/ Société Boislevé - compte de résultat (présentation par nature)</t>
  </si>
  <si>
    <t>3/ Tour du monde magazine</t>
  </si>
  <si>
    <t>1/ Société Boislevé - bilan économique</t>
  </si>
  <si>
    <t xml:space="preserve">2/ Saint Gobain </t>
  </si>
  <si>
    <t>Exercice 7: UWS</t>
  </si>
  <si>
    <t>Charges fixes</t>
  </si>
  <si>
    <t>Charges variables</t>
  </si>
  <si>
    <t>n-1</t>
  </si>
  <si>
    <t>Stock de produits finis</t>
  </si>
  <si>
    <t>Point mort / chiffre d'affaires</t>
  </si>
  <si>
    <t>Point mort / production</t>
  </si>
  <si>
    <t>2010-2020</t>
  </si>
  <si>
    <t>Taux SYC 3 mois</t>
  </si>
  <si>
    <t>Taux BOK 3 mois</t>
  </si>
  <si>
    <t>BOK</t>
  </si>
  <si>
    <t>1 SYK</t>
  </si>
  <si>
    <t>1 BOK</t>
  </si>
  <si>
    <t>SYK</t>
  </si>
  <si>
    <t>la banque vends dans 3 mois 1 BOK pour ? SYK</t>
  </si>
  <si>
    <t>Je place mes SYK</t>
  </si>
  <si>
    <t>J'emprunte mes SYK</t>
  </si>
  <si>
    <t>Ct (1 SYK)</t>
  </si>
  <si>
    <t>Ct (1 BOK)</t>
  </si>
  <si>
    <t>la banque achète dans 3 mois 1 BOK pour ? SYK</t>
  </si>
  <si>
    <t>J'emprunte BOK</t>
  </si>
  <si>
    <t>Je place mes BOK</t>
  </si>
  <si>
    <t>La banque m'achète mes BOK</t>
  </si>
  <si>
    <t>La banque me vends des BOK</t>
  </si>
  <si>
    <t>Cs (1 BOK)</t>
  </si>
  <si>
    <t>Taux SYK 6 mois</t>
  </si>
  <si>
    <t>1 SYK Spot</t>
  </si>
  <si>
    <t>1 SYK à 6 mois</t>
  </si>
  <si>
    <t>j'emprunte des SYK</t>
  </si>
  <si>
    <t>J'emprunte à quel taux BOK à 6 mois?</t>
  </si>
  <si>
    <t>Je place à quel taux BOK à 6 mois?</t>
  </si>
  <si>
    <t>je vends des BOK</t>
  </si>
  <si>
    <t>je place des SYK</t>
  </si>
  <si>
    <t>j'achète des BOK</t>
  </si>
  <si>
    <t>je vends des BOK dans 6 mois</t>
  </si>
  <si>
    <t>j'achète des BOK dans 6 mois</t>
  </si>
  <si>
    <t>Taux BOK 6 mois</t>
  </si>
  <si>
    <t>500 MBOK dans 3 mois et pour 3 mois</t>
  </si>
  <si>
    <t>Durée en 2022</t>
  </si>
  <si>
    <t>BESOIN EN FONDS DE ROULEMENT</t>
  </si>
  <si>
    <t>IS à 24% et 22%</t>
  </si>
  <si>
    <t>Au 21 février 2023</t>
  </si>
  <si>
    <t>TF1 (€)</t>
  </si>
  <si>
    <t xml:space="preserve">B </t>
  </si>
  <si>
    <t xml:space="preserve">Exercice 4: </t>
  </si>
  <si>
    <t>Cours en €</t>
  </si>
  <si>
    <t>PER 2022</t>
  </si>
  <si>
    <t>Dividende 2021</t>
  </si>
  <si>
    <t>BPA 2022</t>
  </si>
  <si>
    <t>Dividende 2022</t>
  </si>
  <si>
    <t>Taux de distribution 2022</t>
  </si>
  <si>
    <t>Taux de rendement 2022</t>
  </si>
  <si>
    <t>Nombre d'actions en M</t>
  </si>
  <si>
    <t>Capitalisation boursière M€</t>
  </si>
  <si>
    <t>Capitaux propres comptables 2021</t>
  </si>
  <si>
    <t>Price to book ratio (PBR)</t>
  </si>
  <si>
    <t xml:space="preserve">C </t>
  </si>
  <si>
    <t>fort</t>
  </si>
  <si>
    <t>faible mais en haut de cycle</t>
  </si>
  <si>
    <t>elevé</t>
  </si>
  <si>
    <t>2023e</t>
  </si>
  <si>
    <t>Endettement net (31/12/2021)</t>
  </si>
  <si>
    <t>REX 2022e</t>
  </si>
  <si>
    <t>Résultat net 2022e</t>
  </si>
  <si>
    <t>REX 2021</t>
  </si>
  <si>
    <t>Multiple REX 2021 Agroalimentaire</t>
  </si>
  <si>
    <t>Exercice 2 : augmentation de capital de Figeac Aero</t>
  </si>
  <si>
    <t>Bénéfice net (M)</t>
  </si>
  <si>
    <t>Capitaux propres comptables (M)</t>
  </si>
  <si>
    <t>Nombre d'actions (M)</t>
  </si>
  <si>
    <t>Années avant retraite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</si>
</sst>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64" formatCode="_(* #,##0.00_);_(* \(#,##0.00\);_(* &quot;-&quot;??_);_(@_)"/>
    <numFmt numFmtId="165" formatCode="#,##0.00\ &quot;€&quot;;[Red]\-#,##0.00\ &quot;€&quot;"/>
    <numFmt numFmtId="166" formatCode="_-* #,##0.00\ _F_-;\-* #,##0.00\ _F_-;_-* &quot;-&quot;??\ _F_-;_-@_-"/>
    <numFmt numFmtId="167" formatCode="0.0"/>
    <numFmt numFmtId="168" formatCode="#,##0.00\ _F"/>
    <numFmt numFmtId="169" formatCode="#,##0.0\ _F"/>
    <numFmt numFmtId="170" formatCode="#,##0\ _F"/>
    <numFmt numFmtId="171" formatCode="0.0%"/>
    <numFmt numFmtId="172" formatCode="0.000"/>
    <numFmt numFmtId="173" formatCode="0.0000"/>
    <numFmt numFmtId="174" formatCode="_-* #,##0\ _F_-;\-* #,##0\ _F_-;_-* &quot;-&quot;??\ _F_-;_-@_-"/>
    <numFmt numFmtId="175" formatCode="0.000%"/>
    <numFmt numFmtId="176" formatCode="0.0000%"/>
    <numFmt numFmtId="177" formatCode="0.00000%"/>
    <numFmt numFmtId="178" formatCode="#,##0\ _€"/>
    <numFmt numFmtId="179" formatCode="#,##0.0\ _€"/>
    <numFmt numFmtId="180" formatCode="#,##0.00\ _€"/>
    <numFmt numFmtId="181" formatCode="#,##0.0"/>
    <numFmt numFmtId="182" formatCode="#,##0_);\(#,##0\);&quot;-&quot;_);@_)"/>
    <numFmt numFmtId="183" formatCode="#,##0.0_);\(#,##0.0\);&quot;-&quot;_);@_)"/>
    <numFmt numFmtId="184" formatCode="#,##0.000"/>
    <numFmt numFmtId="185" formatCode="#,##0\ &quot;€&quot;"/>
    <numFmt numFmtId="186" formatCode="0.00000000000000000%"/>
    <numFmt numFmtId="187" formatCode="_-* #,##0.0000\ _€_-;\-* #,##0.0000\ _€_-;_-* &quot;-&quot;????\ _€_-;_-@_-"/>
    <numFmt numFmtId="188" formatCode="_-* #,##0.0\ _F_-;\-* #,##0.0\ _F_-;_-* &quot;-&quot;??\ _F_-;_-@_-"/>
    <numFmt numFmtId="189" formatCode="mmm"/>
    <numFmt numFmtId="190" formatCode="#,##0;\(#,##0\);&quot;-&quot;"/>
    <numFmt numFmtId="191" formatCode="#,##0_ ;[Red]\-#,##0\ "/>
    <numFmt numFmtId="192" formatCode="#,##0_);\ \(#,##0\);&quot;-&quot;_);@_)"/>
    <numFmt numFmtId="193" formatCode="#,##0.000\ _F"/>
    <numFmt numFmtId="194" formatCode="0.00000"/>
    <numFmt numFmtId="195" formatCode="#,##0.0_);\ \(#,##0.0\);&quot;-&quot;_);@_)"/>
    <numFmt numFmtId="196" formatCode="#&quot;j&quot;\ "/>
    <numFmt numFmtId="197" formatCode="_-* #,##0.00\ _€_-;\-* #,##0.00\ _€_-;_-* &quot;-&quot;??\ _€_-;_-@_-"/>
    <numFmt numFmtId="198" formatCode="0.0;\(0.0\);0.0;&quot;n.s.&quot;"/>
    <numFmt numFmtId="199" formatCode="0.000E+00"/>
    <numFmt numFmtId="200" formatCode="#,##0.0_);\(#,##0.0\)"/>
  </numFmts>
  <fonts count="61" x14ac:knownFonts="1">
    <font>
      <sz val="10"/>
      <name val="Verdana"/>
      <family val="2"/>
    </font>
    <font>
      <sz val="10"/>
      <name val="Arial"/>
      <family val="2"/>
    </font>
    <font>
      <b/>
      <sz val="10"/>
      <name val="Verdana"/>
      <family val="2"/>
    </font>
    <font>
      <b/>
      <sz val="11"/>
      <name val="Verdana"/>
      <family val="2"/>
    </font>
    <font>
      <sz val="8"/>
      <name val="Verdana"/>
      <family val="2"/>
    </font>
    <font>
      <sz val="10"/>
      <name val="Verdana"/>
      <family val="2"/>
    </font>
    <font>
      <i/>
      <u/>
      <sz val="10"/>
      <name val="Verdana"/>
      <family val="2"/>
    </font>
    <font>
      <i/>
      <sz val="10"/>
      <color indexed="53"/>
      <name val="Verdana"/>
      <family val="2"/>
    </font>
    <font>
      <sz val="8"/>
      <color indexed="81"/>
      <name val="Tahoma"/>
      <family val="2"/>
    </font>
    <font>
      <b/>
      <sz val="9"/>
      <color indexed="81"/>
      <name val="Arial"/>
      <family val="2"/>
    </font>
    <font>
      <sz val="9"/>
      <color indexed="81"/>
      <name val="Arial"/>
      <family val="2"/>
    </font>
    <font>
      <b/>
      <sz val="11"/>
      <color indexed="8"/>
      <name val="Calibri"/>
      <family val="2"/>
      <scheme val="minor"/>
    </font>
    <font>
      <sz val="11"/>
      <color indexed="8"/>
      <name val="Calibri"/>
      <family val="2"/>
      <scheme val="minor"/>
    </font>
    <font>
      <sz val="10"/>
      <name val="Calibri"/>
      <family val="2"/>
      <scheme val="minor"/>
    </font>
    <font>
      <b/>
      <sz val="10"/>
      <name val="Calibri"/>
      <family val="2"/>
      <scheme val="minor"/>
    </font>
    <font>
      <b/>
      <sz val="11"/>
      <name val="Calibri"/>
      <family val="2"/>
      <scheme val="minor"/>
    </font>
    <font>
      <sz val="8"/>
      <name val="Calibri"/>
      <family val="2"/>
      <scheme val="minor"/>
    </font>
    <font>
      <b/>
      <u/>
      <sz val="10"/>
      <name val="Calibri"/>
      <family val="2"/>
      <scheme val="minor"/>
    </font>
    <font>
      <sz val="10"/>
      <color indexed="12"/>
      <name val="Calibri"/>
      <family val="2"/>
      <scheme val="minor"/>
    </font>
    <font>
      <i/>
      <u/>
      <sz val="10"/>
      <name val="Calibri"/>
      <family val="2"/>
      <scheme val="minor"/>
    </font>
    <font>
      <i/>
      <sz val="10"/>
      <name val="Calibri"/>
      <family val="2"/>
      <scheme val="minor"/>
    </font>
    <font>
      <sz val="10"/>
      <color theme="0"/>
      <name val="Calibri"/>
      <family val="2"/>
      <scheme val="minor"/>
    </font>
    <font>
      <b/>
      <sz val="8"/>
      <name val="Calibri"/>
      <family val="2"/>
      <scheme val="minor"/>
    </font>
    <font>
      <sz val="9"/>
      <name val="Calibri"/>
      <family val="2"/>
      <scheme val="minor"/>
    </font>
    <font>
      <sz val="11"/>
      <name val="Calibri"/>
      <family val="2"/>
      <scheme val="minor"/>
    </font>
    <font>
      <b/>
      <sz val="10"/>
      <color indexed="8"/>
      <name val="Calibri"/>
      <family val="2"/>
      <scheme val="minor"/>
    </font>
    <font>
      <i/>
      <sz val="10"/>
      <color indexed="53"/>
      <name val="Calibri"/>
      <family val="2"/>
      <scheme val="minor"/>
    </font>
    <font>
      <u/>
      <sz val="10"/>
      <name val="Calibri"/>
      <family val="2"/>
      <scheme val="minor"/>
    </font>
    <font>
      <b/>
      <sz val="10"/>
      <color theme="1"/>
      <name val="Calibri"/>
      <family val="2"/>
      <scheme val="minor"/>
    </font>
    <font>
      <sz val="10"/>
      <color theme="1"/>
      <name val="Calibri"/>
      <family val="2"/>
      <scheme val="minor"/>
    </font>
    <font>
      <vertAlign val="subscript"/>
      <sz val="10"/>
      <name val="Calibri"/>
      <family val="2"/>
      <scheme val="minor"/>
    </font>
    <font>
      <vertAlign val="subscript"/>
      <sz val="8"/>
      <name val="Calibri"/>
      <family val="2"/>
      <scheme val="minor"/>
    </font>
    <font>
      <u/>
      <sz val="10"/>
      <color indexed="12"/>
      <name val="Calibri"/>
      <family val="2"/>
      <scheme val="minor"/>
    </font>
    <font>
      <sz val="10"/>
      <color indexed="28"/>
      <name val="Calibri"/>
      <family val="2"/>
      <scheme val="minor"/>
    </font>
    <font>
      <sz val="10"/>
      <color indexed="10"/>
      <name val="Calibri"/>
      <family val="2"/>
      <scheme val="minor"/>
    </font>
    <font>
      <b/>
      <sz val="10"/>
      <color indexed="12"/>
      <name val="Calibri"/>
      <family val="2"/>
      <scheme val="minor"/>
    </font>
    <font>
      <b/>
      <sz val="10"/>
      <color indexed="10"/>
      <name val="Calibri"/>
      <family val="2"/>
      <scheme val="minor"/>
    </font>
    <font>
      <sz val="10"/>
      <color indexed="8"/>
      <name val="Calibri"/>
      <family val="2"/>
      <scheme val="minor"/>
    </font>
    <font>
      <i/>
      <sz val="10"/>
      <color indexed="22"/>
      <name val="Calibri"/>
      <family val="2"/>
      <scheme val="minor"/>
    </font>
    <font>
      <b/>
      <sz val="14"/>
      <name val="Calibri"/>
      <family val="2"/>
      <scheme val="minor"/>
    </font>
    <font>
      <sz val="10"/>
      <color indexed="55"/>
      <name val="Calibri"/>
      <family val="2"/>
      <scheme val="minor"/>
    </font>
    <font>
      <b/>
      <sz val="10"/>
      <color indexed="55"/>
      <name val="Calibri"/>
      <family val="2"/>
      <scheme val="minor"/>
    </font>
    <font>
      <b/>
      <i/>
      <sz val="10"/>
      <name val="Calibri"/>
      <family val="2"/>
      <scheme val="minor"/>
    </font>
    <font>
      <sz val="8"/>
      <color indexed="55"/>
      <name val="Calibri"/>
      <family val="2"/>
      <scheme val="minor"/>
    </font>
    <font>
      <b/>
      <sz val="8"/>
      <color indexed="12"/>
      <name val="Calibri"/>
      <family val="2"/>
      <scheme val="minor"/>
    </font>
    <font>
      <b/>
      <sz val="7"/>
      <name val="Calibri"/>
      <family val="2"/>
      <scheme val="minor"/>
    </font>
    <font>
      <b/>
      <sz val="9"/>
      <name val="Calibri"/>
      <family val="2"/>
      <scheme val="minor"/>
    </font>
    <font>
      <b/>
      <i/>
      <u/>
      <sz val="10"/>
      <name val="Calibri"/>
      <family val="2"/>
      <scheme val="minor"/>
    </font>
    <font>
      <sz val="12"/>
      <color indexed="8"/>
      <name val="Calibri"/>
      <family val="2"/>
    </font>
    <font>
      <sz val="12"/>
      <name val="Calibri"/>
      <family val="2"/>
    </font>
    <font>
      <b/>
      <sz val="12"/>
      <name val="Calibri"/>
      <family val="2"/>
    </font>
    <font>
      <b/>
      <i/>
      <sz val="12"/>
      <name val="Calibri"/>
      <family val="2"/>
    </font>
    <font>
      <i/>
      <sz val="12"/>
      <name val="Calibri"/>
      <family val="2"/>
    </font>
    <font>
      <b/>
      <sz val="12"/>
      <color indexed="57"/>
      <name val="Calibri"/>
      <family val="2"/>
    </font>
    <font>
      <sz val="12"/>
      <color indexed="9"/>
      <name val="Calibri"/>
      <family val="2"/>
    </font>
    <font>
      <sz val="12"/>
      <color indexed="10"/>
      <name val="Calibri"/>
      <family val="2"/>
    </font>
    <font>
      <b/>
      <sz val="12"/>
      <color indexed="9"/>
      <name val="Calibri"/>
      <family val="2"/>
    </font>
    <font>
      <sz val="10"/>
      <name val="Calibri"/>
      <family val="2"/>
    </font>
    <font>
      <sz val="18"/>
      <color theme="1"/>
      <name val="Calibri"/>
      <family val="2"/>
      <scheme val="minor"/>
    </font>
    <font>
      <sz val="9"/>
      <name val="Times New Roman"/>
      <family val="1"/>
    </font>
    <font>
      <sz val="10"/>
      <color rgb="FF0070C0"/>
      <name val="Calibri"/>
      <family val="2"/>
      <scheme val="minor"/>
    </font>
  </fonts>
  <fills count="7">
    <fill>
      <patternFill patternType="none"/>
    </fill>
    <fill>
      <patternFill patternType="gray125"/>
    </fill>
    <fill>
      <patternFill patternType="solid">
        <fgColor indexed="22"/>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s>
  <borders count="20">
    <border>
      <left/>
      <right/>
      <top/>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rgb="FFFFFFFF"/>
      </right>
      <top/>
      <bottom/>
      <diagonal/>
    </border>
    <border>
      <left/>
      <right/>
      <top style="thin">
        <color auto="1"/>
      </top>
      <bottom/>
      <diagonal/>
    </border>
    <border>
      <left/>
      <right/>
      <top/>
      <bottom style="thin">
        <color indexed="29"/>
      </bottom>
      <diagonal/>
    </border>
    <border>
      <left/>
      <right/>
      <top/>
      <bottom style="thin">
        <color indexed="64"/>
      </bottom>
      <diagonal/>
    </border>
    <border>
      <left/>
      <right/>
      <top/>
      <bottom style="thin">
        <color rgb="FF00B0F0"/>
      </bottom>
      <diagonal/>
    </border>
    <border>
      <left/>
      <right/>
      <top style="thin">
        <color theme="4" tint="0.59999389629810485"/>
      </top>
      <bottom style="thin">
        <color theme="4" tint="0.59999389629810485"/>
      </bottom>
      <diagonal/>
    </border>
  </borders>
  <cellStyleXfs count="12">
    <xf numFmtId="0" fontId="0" fillId="0" borderId="0">
      <alignment vertical="top"/>
    </xf>
    <xf numFmtId="170" fontId="7" fillId="0" borderId="0">
      <alignment vertical="top"/>
    </xf>
    <xf numFmtId="166" fontId="1" fillId="0" borderId="0" applyFont="0" applyFill="0" applyBorder="0" applyAlignment="0" applyProtection="0"/>
    <xf numFmtId="9" fontId="1" fillId="0" borderId="0" applyFont="0" applyFill="0" applyBorder="0" applyAlignment="0" applyProtection="0"/>
    <xf numFmtId="0" fontId="2" fillId="0" borderId="0" applyNumberFormat="0">
      <alignment vertical="top"/>
    </xf>
    <xf numFmtId="0" fontId="3" fillId="0" borderId="0">
      <alignment vertical="top"/>
    </xf>
    <xf numFmtId="0" fontId="6" fillId="0" borderId="0">
      <alignment vertical="top"/>
    </xf>
    <xf numFmtId="0" fontId="5" fillId="0" borderId="0">
      <alignment vertical="top" wrapText="1"/>
    </xf>
    <xf numFmtId="0" fontId="58" fillId="0" borderId="0"/>
    <xf numFmtId="9" fontId="58" fillId="0" borderId="0" applyFont="0" applyFill="0" applyBorder="0" applyAlignment="0" applyProtection="0"/>
    <xf numFmtId="197" fontId="58" fillId="0" borderId="0" applyFont="0" applyFill="0" applyBorder="0" applyAlignment="0" applyProtection="0"/>
    <xf numFmtId="198" fontId="59" fillId="0" borderId="0" applyFill="0" applyBorder="0"/>
  </cellStyleXfs>
  <cellXfs count="530">
    <xf numFmtId="0" fontId="0" fillId="0" borderId="0" xfId="0">
      <alignment vertical="top"/>
    </xf>
    <xf numFmtId="0" fontId="11" fillId="0" borderId="0" xfId="5" applyFont="1">
      <alignment vertical="top"/>
    </xf>
    <xf numFmtId="0" fontId="12" fillId="0" borderId="0" xfId="0" applyFont="1">
      <alignment vertical="top"/>
    </xf>
    <xf numFmtId="0" fontId="13" fillId="0" borderId="0" xfId="0" applyFont="1">
      <alignment vertical="top"/>
    </xf>
    <xf numFmtId="0" fontId="14" fillId="0" borderId="0" xfId="0" applyFont="1" applyAlignment="1">
      <alignment vertical="top" wrapText="1"/>
    </xf>
    <xf numFmtId="0" fontId="14" fillId="0" borderId="0" xfId="0" applyFont="1" applyAlignment="1">
      <alignment horizontal="center" vertical="top"/>
    </xf>
    <xf numFmtId="0" fontId="13" fillId="0" borderId="0" xfId="0" applyFont="1" applyAlignment="1">
      <alignment vertical="top" wrapText="1"/>
    </xf>
    <xf numFmtId="0" fontId="14" fillId="0" borderId="0" xfId="0" applyFont="1">
      <alignment vertical="top"/>
    </xf>
    <xf numFmtId="0" fontId="15" fillId="0" borderId="0" xfId="5" applyFont="1">
      <alignment vertical="top"/>
    </xf>
    <xf numFmtId="189" fontId="14" fillId="0" borderId="0" xfId="0" applyNumberFormat="1" applyFont="1" applyAlignment="1">
      <alignment horizontal="center" vertical="top" wrapText="1"/>
    </xf>
    <xf numFmtId="1" fontId="13" fillId="0" borderId="13" xfId="0" applyNumberFormat="1" applyFont="1" applyBorder="1" applyAlignment="1">
      <alignment vertical="top" wrapText="1"/>
    </xf>
    <xf numFmtId="167" fontId="13" fillId="0" borderId="13" xfId="0" applyNumberFormat="1" applyFont="1" applyBorder="1">
      <alignment vertical="top"/>
    </xf>
    <xf numFmtId="167" fontId="13" fillId="0" borderId="9" xfId="0" applyNumberFormat="1" applyFont="1" applyBorder="1">
      <alignment vertical="top"/>
    </xf>
    <xf numFmtId="1" fontId="13" fillId="0" borderId="0" xfId="0" applyNumberFormat="1" applyFont="1">
      <alignment vertical="top"/>
    </xf>
    <xf numFmtId="1" fontId="13" fillId="0" borderId="10" xfId="0" applyNumberFormat="1" applyFont="1" applyBorder="1" applyAlignment="1">
      <alignment vertical="top" wrapText="1"/>
    </xf>
    <xf numFmtId="0" fontId="13" fillId="0" borderId="10" xfId="0" applyFont="1" applyBorder="1">
      <alignment vertical="top"/>
    </xf>
    <xf numFmtId="0" fontId="13" fillId="0" borderId="7" xfId="0" applyFont="1" applyBorder="1">
      <alignment vertical="top"/>
    </xf>
    <xf numFmtId="0" fontId="16" fillId="0" borderId="0" xfId="0" applyFont="1" applyAlignment="1">
      <alignment horizontal="left" vertical="top" wrapText="1" indent="1"/>
    </xf>
    <xf numFmtId="1" fontId="16" fillId="0" borderId="10" xfId="0" applyNumberFormat="1" applyFont="1" applyBorder="1" applyAlignment="1">
      <alignment vertical="top" wrapText="1"/>
    </xf>
    <xf numFmtId="0" fontId="16" fillId="0" borderId="10" xfId="0" applyFont="1" applyBorder="1">
      <alignment vertical="top"/>
    </xf>
    <xf numFmtId="0" fontId="16" fillId="0" borderId="7" xfId="0" applyFont="1" applyBorder="1">
      <alignment vertical="top"/>
    </xf>
    <xf numFmtId="1" fontId="16" fillId="0" borderId="0" xfId="0" applyNumberFormat="1" applyFont="1">
      <alignment vertical="top"/>
    </xf>
    <xf numFmtId="0" fontId="16" fillId="0" borderId="0" xfId="0" applyFont="1">
      <alignment vertical="top"/>
    </xf>
    <xf numFmtId="167" fontId="13" fillId="0" borderId="10" xfId="0" applyNumberFormat="1" applyFont="1" applyBorder="1" applyAlignment="1">
      <alignment vertical="top" wrapText="1"/>
    </xf>
    <xf numFmtId="167" fontId="16" fillId="0" borderId="10" xfId="0" applyNumberFormat="1" applyFont="1" applyBorder="1" applyAlignment="1">
      <alignment vertical="top" wrapText="1"/>
    </xf>
    <xf numFmtId="167" fontId="16" fillId="0" borderId="0" xfId="0" applyNumberFormat="1" applyFont="1">
      <alignment vertical="top"/>
    </xf>
    <xf numFmtId="167" fontId="13" fillId="0" borderId="12" xfId="0" applyNumberFormat="1" applyFont="1" applyBorder="1" applyAlignment="1">
      <alignment vertical="top" wrapText="1"/>
    </xf>
    <xf numFmtId="0" fontId="13" fillId="0" borderId="12" xfId="0" applyFont="1" applyBorder="1">
      <alignment vertical="top"/>
    </xf>
    <xf numFmtId="0" fontId="13" fillId="0" borderId="3" xfId="0" applyFont="1" applyBorder="1">
      <alignment vertical="top"/>
    </xf>
    <xf numFmtId="167" fontId="13" fillId="0" borderId="0" xfId="0" applyNumberFormat="1" applyFont="1">
      <alignment vertical="top"/>
    </xf>
    <xf numFmtId="167" fontId="13" fillId="0" borderId="10" xfId="0" applyNumberFormat="1" applyFont="1" applyBorder="1">
      <alignment vertical="top"/>
    </xf>
    <xf numFmtId="2" fontId="16" fillId="0" borderId="0" xfId="0" applyNumberFormat="1" applyFont="1">
      <alignment vertical="top"/>
    </xf>
    <xf numFmtId="167" fontId="13" fillId="0" borderId="12" xfId="0" applyNumberFormat="1" applyFont="1" applyBorder="1">
      <alignment vertical="top"/>
    </xf>
    <xf numFmtId="0" fontId="13" fillId="0" borderId="0" xfId="0" applyFont="1" applyAlignment="1"/>
    <xf numFmtId="0" fontId="17" fillId="0" borderId="0" xfId="0" applyFont="1" applyAlignment="1">
      <alignment horizontal="left"/>
    </xf>
    <xf numFmtId="0" fontId="13" fillId="0" borderId="0" xfId="0" applyFont="1" applyAlignment="1">
      <alignment horizontal="right"/>
    </xf>
    <xf numFmtId="190" fontId="13" fillId="0" borderId="4" xfId="0" applyNumberFormat="1" applyFont="1" applyBorder="1" applyAlignment="1"/>
    <xf numFmtId="190" fontId="13" fillId="0" borderId="15" xfId="0" applyNumberFormat="1" applyFont="1" applyBorder="1" applyAlignment="1"/>
    <xf numFmtId="190" fontId="13" fillId="0" borderId="2" xfId="0" applyNumberFormat="1" applyFont="1" applyBorder="1" applyAlignment="1"/>
    <xf numFmtId="190" fontId="13" fillId="0" borderId="0" xfId="0" applyNumberFormat="1" applyFont="1" applyAlignment="1"/>
    <xf numFmtId="0" fontId="14" fillId="0" borderId="0" xfId="0" applyFont="1" applyAlignment="1"/>
    <xf numFmtId="190" fontId="14" fillId="0" borderId="2" xfId="0" applyNumberFormat="1" applyFont="1" applyBorder="1" applyAlignment="1"/>
    <xf numFmtId="190" fontId="14" fillId="0" borderId="0" xfId="0" applyNumberFormat="1" applyFont="1" applyAlignment="1"/>
    <xf numFmtId="9" fontId="13" fillId="0" borderId="0" xfId="3" applyFont="1"/>
    <xf numFmtId="0" fontId="14" fillId="0" borderId="0" xfId="0" applyFont="1" applyAlignment="1">
      <alignment wrapText="1"/>
    </xf>
    <xf numFmtId="3" fontId="13" fillId="0" borderId="0" xfId="0" applyNumberFormat="1" applyFont="1" applyAlignment="1"/>
    <xf numFmtId="171" fontId="13" fillId="0" borderId="0" xfId="3" applyNumberFormat="1" applyFont="1"/>
    <xf numFmtId="191" fontId="13" fillId="0" borderId="0" xfId="0" applyNumberFormat="1" applyFont="1" applyAlignment="1"/>
    <xf numFmtId="9" fontId="13" fillId="0" borderId="0" xfId="0" applyNumberFormat="1" applyFont="1" applyAlignment="1"/>
    <xf numFmtId="175" fontId="13" fillId="0" borderId="0" xfId="3" applyNumberFormat="1" applyFont="1" applyAlignment="1">
      <alignment vertical="top"/>
    </xf>
    <xf numFmtId="10" fontId="13" fillId="0" borderId="0" xfId="3" applyNumberFormat="1" applyFont="1" applyAlignment="1">
      <alignment vertical="top"/>
    </xf>
    <xf numFmtId="176" fontId="13" fillId="0" borderId="0" xfId="0" applyNumberFormat="1" applyFont="1">
      <alignment vertical="top"/>
    </xf>
    <xf numFmtId="173" fontId="13" fillId="0" borderId="0" xfId="0" applyNumberFormat="1" applyFont="1">
      <alignment vertical="top"/>
    </xf>
    <xf numFmtId="173" fontId="14" fillId="0" borderId="0" xfId="0" applyNumberFormat="1" applyFont="1">
      <alignment vertical="top"/>
    </xf>
    <xf numFmtId="0" fontId="14" fillId="0" borderId="0" xfId="5" applyFont="1">
      <alignment vertical="top"/>
    </xf>
    <xf numFmtId="10" fontId="13" fillId="0" borderId="0" xfId="0" applyNumberFormat="1" applyFont="1">
      <alignment vertical="top"/>
    </xf>
    <xf numFmtId="175" fontId="13" fillId="0" borderId="0" xfId="0" applyNumberFormat="1" applyFont="1">
      <alignment vertical="top"/>
    </xf>
    <xf numFmtId="175" fontId="14" fillId="0" borderId="0" xfId="3" applyNumberFormat="1" applyFont="1" applyAlignment="1">
      <alignment vertical="top"/>
    </xf>
    <xf numFmtId="175" fontId="13" fillId="0" borderId="0" xfId="3" applyNumberFormat="1" applyFont="1" applyAlignment="1">
      <alignment horizontal="right" vertical="top"/>
    </xf>
    <xf numFmtId="175" fontId="18" fillId="0" borderId="0" xfId="3" applyNumberFormat="1" applyFont="1" applyAlignment="1">
      <alignment vertical="top"/>
    </xf>
    <xf numFmtId="0" fontId="19" fillId="0" borderId="0" xfId="6" applyFont="1">
      <alignment vertical="top"/>
    </xf>
    <xf numFmtId="178" fontId="13" fillId="0" borderId="0" xfId="0" applyNumberFormat="1" applyFont="1" applyAlignment="1">
      <alignment vertical="top" wrapText="1"/>
    </xf>
    <xf numFmtId="178" fontId="14" fillId="0" borderId="0" xfId="0" applyNumberFormat="1" applyFont="1" applyAlignment="1">
      <alignment vertical="top" wrapText="1"/>
    </xf>
    <xf numFmtId="0" fontId="13" fillId="0" borderId="0" xfId="6" applyFont="1">
      <alignment vertical="top"/>
    </xf>
    <xf numFmtId="178" fontId="13" fillId="0" borderId="0" xfId="0" applyNumberFormat="1" applyFont="1">
      <alignment vertical="top"/>
    </xf>
    <xf numFmtId="0" fontId="19" fillId="0" borderId="0" xfId="0" applyFont="1">
      <alignment vertical="top"/>
    </xf>
    <xf numFmtId="0" fontId="13" fillId="0" borderId="0" xfId="0" applyFont="1" applyAlignment="1">
      <alignment horizontal="justify" vertical="top"/>
    </xf>
    <xf numFmtId="171" fontId="13" fillId="0" borderId="0" xfId="3" applyNumberFormat="1" applyFont="1" applyAlignment="1">
      <alignment vertical="top"/>
    </xf>
    <xf numFmtId="2" fontId="13" fillId="0" borderId="0" xfId="0" applyNumberFormat="1" applyFont="1">
      <alignment vertical="top"/>
    </xf>
    <xf numFmtId="0" fontId="20" fillId="0" borderId="0" xfId="5" applyFont="1">
      <alignment vertical="top"/>
    </xf>
    <xf numFmtId="0" fontId="13" fillId="0" borderId="0" xfId="7" applyFont="1">
      <alignment vertical="top" wrapText="1"/>
    </xf>
    <xf numFmtId="168" fontId="13" fillId="0" borderId="10" xfId="0" applyNumberFormat="1" applyFont="1" applyBorder="1">
      <alignment vertical="top"/>
    </xf>
    <xf numFmtId="9" fontId="13" fillId="0" borderId="10" xfId="0" applyNumberFormat="1" applyFont="1" applyBorder="1">
      <alignment vertical="top"/>
    </xf>
    <xf numFmtId="0" fontId="14" fillId="0" borderId="10" xfId="7" applyFont="1" applyBorder="1" applyAlignment="1">
      <alignment horizontal="center" vertical="top" wrapText="1"/>
    </xf>
    <xf numFmtId="168" fontId="13" fillId="0" borderId="0" xfId="0" applyNumberFormat="1" applyFont="1">
      <alignment vertical="top"/>
    </xf>
    <xf numFmtId="168" fontId="13" fillId="0" borderId="2" xfId="0" applyNumberFormat="1" applyFont="1" applyBorder="1">
      <alignment vertical="top"/>
    </xf>
    <xf numFmtId="0" fontId="14" fillId="0" borderId="0" xfId="7" applyFont="1">
      <alignment vertical="top" wrapText="1"/>
    </xf>
    <xf numFmtId="1" fontId="14" fillId="0" borderId="0" xfId="0" applyNumberFormat="1" applyFont="1">
      <alignment vertical="top"/>
    </xf>
    <xf numFmtId="0" fontId="13" fillId="0" borderId="10" xfId="7" applyFont="1" applyBorder="1">
      <alignment vertical="top" wrapText="1"/>
    </xf>
    <xf numFmtId="10" fontId="13" fillId="0" borderId="10" xfId="7" applyNumberFormat="1" applyFont="1" applyBorder="1">
      <alignment vertical="top" wrapText="1"/>
    </xf>
    <xf numFmtId="9" fontId="13" fillId="0" borderId="0" xfId="0" applyNumberFormat="1" applyFont="1">
      <alignment vertical="top"/>
    </xf>
    <xf numFmtId="9" fontId="13" fillId="0" borderId="0" xfId="3" applyFont="1" applyAlignment="1">
      <alignment vertical="top"/>
    </xf>
    <xf numFmtId="0" fontId="13" fillId="0" borderId="0" xfId="0" applyFont="1" applyAlignment="1">
      <alignment horizontal="center" vertical="top"/>
    </xf>
    <xf numFmtId="0" fontId="16" fillId="0" borderId="0" xfId="0" applyFont="1" applyAlignment="1">
      <alignment horizontal="center" vertical="top" wrapText="1"/>
    </xf>
    <xf numFmtId="0" fontId="22" fillId="0" borderId="0" xfId="0" applyFont="1" applyAlignment="1">
      <alignment horizontal="center" vertical="top" wrapText="1"/>
    </xf>
    <xf numFmtId="174" fontId="13" fillId="0" borderId="0" xfId="2" applyNumberFormat="1" applyFont="1" applyAlignment="1">
      <alignment horizontal="right" vertical="top"/>
    </xf>
    <xf numFmtId="0" fontId="13" fillId="0" borderId="0" xfId="0" quotePrefix="1" applyFont="1">
      <alignment vertical="top"/>
    </xf>
    <xf numFmtId="174" fontId="13" fillId="0" borderId="0" xfId="2" applyNumberFormat="1" applyFont="1" applyAlignment="1">
      <alignment vertical="top"/>
    </xf>
    <xf numFmtId="0" fontId="13" fillId="0" borderId="1" xfId="0" applyFont="1" applyBorder="1">
      <alignment vertical="top"/>
    </xf>
    <xf numFmtId="1" fontId="13" fillId="0" borderId="1" xfId="0" applyNumberFormat="1" applyFont="1" applyBorder="1" applyAlignment="1">
      <alignment horizontal="center" vertical="top"/>
    </xf>
    <xf numFmtId="1" fontId="13" fillId="0" borderId="0" xfId="0" applyNumberFormat="1" applyFont="1" applyAlignment="1">
      <alignment horizontal="center" vertical="top"/>
    </xf>
    <xf numFmtId="2" fontId="13" fillId="0" borderId="0" xfId="0" applyNumberFormat="1" applyFont="1" applyAlignment="1">
      <alignment horizontal="center" vertical="top"/>
    </xf>
    <xf numFmtId="167" fontId="13" fillId="0" borderId="0" xfId="0" applyNumberFormat="1" applyFont="1" applyAlignment="1">
      <alignment horizontal="center" vertical="top"/>
    </xf>
    <xf numFmtId="0" fontId="13" fillId="0" borderId="0" xfId="0" applyFont="1" applyAlignment="1">
      <alignment vertical="top" wrapText="1" shrinkToFit="1"/>
    </xf>
    <xf numFmtId="167" fontId="13" fillId="0" borderId="0" xfId="0" applyNumberFormat="1" applyFont="1" applyAlignment="1">
      <alignment horizontal="center" vertical="top" shrinkToFit="1"/>
    </xf>
    <xf numFmtId="167" fontId="13" fillId="0" borderId="0" xfId="0" applyNumberFormat="1" applyFont="1" applyAlignment="1">
      <alignment vertical="top" shrinkToFit="1"/>
    </xf>
    <xf numFmtId="0" fontId="13" fillId="0" borderId="0" xfId="0" applyFont="1" applyAlignment="1">
      <alignment vertical="top" shrinkToFit="1"/>
    </xf>
    <xf numFmtId="0" fontId="23" fillId="0" borderId="0" xfId="0" applyFont="1" applyAlignment="1">
      <alignment vertical="top" wrapText="1"/>
    </xf>
    <xf numFmtId="2" fontId="14" fillId="0" borderId="0" xfId="0" applyNumberFormat="1" applyFont="1">
      <alignment vertical="top"/>
    </xf>
    <xf numFmtId="172" fontId="13" fillId="0" borderId="0" xfId="0" applyNumberFormat="1" applyFont="1">
      <alignment vertical="top"/>
    </xf>
    <xf numFmtId="0" fontId="16" fillId="0" borderId="0" xfId="0" applyFont="1" applyAlignment="1">
      <alignment horizontal="left" vertical="top" indent="1"/>
    </xf>
    <xf numFmtId="0" fontId="13" fillId="0" borderId="1" xfId="0" applyFont="1" applyBorder="1" applyAlignment="1">
      <alignment horizontal="center" vertical="top"/>
    </xf>
    <xf numFmtId="166" fontId="13" fillId="0" borderId="0" xfId="2" applyFont="1" applyAlignment="1">
      <alignment vertical="top"/>
    </xf>
    <xf numFmtId="0" fontId="20" fillId="0" borderId="0" xfId="0" applyFont="1">
      <alignment vertical="top"/>
    </xf>
    <xf numFmtId="171" fontId="13" fillId="0" borderId="0" xfId="0" applyNumberFormat="1" applyFont="1">
      <alignment vertical="top"/>
    </xf>
    <xf numFmtId="3" fontId="13" fillId="0" borderId="0" xfId="0" applyNumberFormat="1" applyFont="1">
      <alignment vertical="top"/>
    </xf>
    <xf numFmtId="9" fontId="13" fillId="0" borderId="0" xfId="3" applyFont="1" applyFill="1" applyBorder="1" applyAlignment="1">
      <alignment vertical="top"/>
    </xf>
    <xf numFmtId="9" fontId="13" fillId="0" borderId="0" xfId="3" applyFont="1" applyBorder="1" applyAlignment="1">
      <alignment vertical="top"/>
    </xf>
    <xf numFmtId="0" fontId="13" fillId="0" borderId="0" xfId="0" applyFont="1" applyAlignment="1">
      <alignment horizontal="right" vertical="top"/>
    </xf>
    <xf numFmtId="168" fontId="14" fillId="0" borderId="0" xfId="0" applyNumberFormat="1" applyFont="1">
      <alignment vertical="top"/>
    </xf>
    <xf numFmtId="171" fontId="14" fillId="0" borderId="0" xfId="3" applyNumberFormat="1" applyFont="1" applyAlignment="1">
      <alignment vertical="top"/>
    </xf>
    <xf numFmtId="171" fontId="14" fillId="0" borderId="0" xfId="0" applyNumberFormat="1" applyFont="1">
      <alignment vertical="top"/>
    </xf>
    <xf numFmtId="176" fontId="13" fillId="0" borderId="0" xfId="3" applyNumberFormat="1" applyFont="1" applyAlignment="1">
      <alignment vertical="top"/>
    </xf>
    <xf numFmtId="176" fontId="14" fillId="0" borderId="0" xfId="3" applyNumberFormat="1" applyFont="1" applyAlignment="1">
      <alignment vertical="top"/>
    </xf>
    <xf numFmtId="177" fontId="13" fillId="0" borderId="0" xfId="3" applyNumberFormat="1" applyFont="1" applyAlignment="1">
      <alignment vertical="top"/>
    </xf>
    <xf numFmtId="9" fontId="14" fillId="0" borderId="0" xfId="0" applyNumberFormat="1" applyFont="1">
      <alignment vertical="top"/>
    </xf>
    <xf numFmtId="10" fontId="14" fillId="0" borderId="0" xfId="3" applyNumberFormat="1" applyFont="1" applyAlignment="1">
      <alignment vertical="top"/>
    </xf>
    <xf numFmtId="0" fontId="24" fillId="0" borderId="0" xfId="5" applyFont="1">
      <alignment vertical="top"/>
    </xf>
    <xf numFmtId="0" fontId="24" fillId="0" borderId="0" xfId="5" applyFont="1" applyAlignment="1">
      <alignment vertical="top" wrapText="1"/>
    </xf>
    <xf numFmtId="9" fontId="13" fillId="0" borderId="1" xfId="3" applyFont="1" applyBorder="1" applyAlignment="1">
      <alignment vertical="top"/>
    </xf>
    <xf numFmtId="1" fontId="13" fillId="0" borderId="1" xfId="0" applyNumberFormat="1" applyFont="1" applyBorder="1">
      <alignment vertical="top"/>
    </xf>
    <xf numFmtId="0" fontId="13" fillId="0" borderId="0" xfId="7" applyFont="1" applyAlignment="1">
      <alignment vertical="top"/>
    </xf>
    <xf numFmtId="9" fontId="14" fillId="0" borderId="0" xfId="3" applyFont="1" applyAlignment="1">
      <alignment vertical="top"/>
    </xf>
    <xf numFmtId="171" fontId="25" fillId="0" borderId="0" xfId="3" applyNumberFormat="1" applyFont="1" applyAlignment="1">
      <alignment vertical="top"/>
    </xf>
    <xf numFmtId="0" fontId="16" fillId="0" borderId="0" xfId="0" applyFont="1" applyAlignment="1">
      <alignment vertical="top" wrapText="1"/>
    </xf>
    <xf numFmtId="171" fontId="16" fillId="0" borderId="0" xfId="3" applyNumberFormat="1" applyFont="1" applyAlignment="1">
      <alignment vertical="top"/>
    </xf>
    <xf numFmtId="178" fontId="23" fillId="0" borderId="0" xfId="0" applyNumberFormat="1" applyFont="1" applyAlignment="1">
      <alignment vertical="top" wrapText="1"/>
    </xf>
    <xf numFmtId="180" fontId="23" fillId="0" borderId="0" xfId="0" applyNumberFormat="1" applyFont="1" applyAlignment="1">
      <alignment vertical="top" wrapText="1"/>
    </xf>
    <xf numFmtId="171" fontId="23" fillId="0" borderId="0" xfId="3" applyNumberFormat="1" applyFont="1" applyAlignment="1">
      <alignment vertical="top" wrapText="1"/>
    </xf>
    <xf numFmtId="0" fontId="13" fillId="0" borderId="0" xfId="7" applyFont="1" applyAlignment="1">
      <alignment horizontal="centerContinuous" vertical="top" wrapText="1"/>
    </xf>
    <xf numFmtId="0" fontId="13" fillId="0" borderId="0" xfId="0" applyFont="1" applyAlignment="1">
      <alignment horizontal="centerContinuous" vertical="top"/>
    </xf>
    <xf numFmtId="171" fontId="23" fillId="0" borderId="0" xfId="3" applyNumberFormat="1" applyFont="1" applyAlignment="1">
      <alignment horizontal="centerContinuous" vertical="top" wrapText="1"/>
    </xf>
    <xf numFmtId="0" fontId="13" fillId="0" borderId="0" xfId="0" applyFont="1" applyAlignment="1">
      <alignment horizontal="center" vertical="top" wrapText="1"/>
    </xf>
    <xf numFmtId="167" fontId="14" fillId="0" borderId="0" xfId="0" applyNumberFormat="1" applyFont="1">
      <alignment vertical="top"/>
    </xf>
    <xf numFmtId="0" fontId="13" fillId="0" borderId="0" xfId="7" applyFont="1" applyAlignment="1">
      <alignment horizontal="center" vertical="top" wrapText="1"/>
    </xf>
    <xf numFmtId="170" fontId="26" fillId="0" borderId="0" xfId="1" applyFont="1">
      <alignment vertical="top"/>
    </xf>
    <xf numFmtId="0" fontId="14" fillId="0" borderId="0" xfId="4" applyFont="1">
      <alignment vertical="top"/>
    </xf>
    <xf numFmtId="174" fontId="14" fillId="0" borderId="0" xfId="4" applyNumberFormat="1" applyFont="1">
      <alignment vertical="top"/>
    </xf>
    <xf numFmtId="0" fontId="13" fillId="0" borderId="5" xfId="0" applyFont="1" applyBorder="1">
      <alignment vertical="top"/>
    </xf>
    <xf numFmtId="0" fontId="13" fillId="0" borderId="2" xfId="0" applyFont="1" applyBorder="1">
      <alignment vertical="top"/>
    </xf>
    <xf numFmtId="10" fontId="13" fillId="0" borderId="7" xfId="0" applyNumberFormat="1" applyFont="1" applyBorder="1">
      <alignment vertical="top"/>
    </xf>
    <xf numFmtId="0" fontId="16" fillId="0" borderId="1" xfId="0" applyFont="1" applyBorder="1" applyAlignment="1">
      <alignment horizontal="center" vertical="top"/>
    </xf>
    <xf numFmtId="170" fontId="13" fillId="0" borderId="0" xfId="1" applyFont="1">
      <alignment vertical="top"/>
    </xf>
    <xf numFmtId="174" fontId="13" fillId="0" borderId="1" xfId="2" applyNumberFormat="1" applyFont="1" applyBorder="1" applyAlignment="1">
      <alignment vertical="top"/>
    </xf>
    <xf numFmtId="170" fontId="26" fillId="0" borderId="1" xfId="1" applyFont="1" applyBorder="1">
      <alignment vertical="top"/>
    </xf>
    <xf numFmtId="174" fontId="13" fillId="0" borderId="0" xfId="0" applyNumberFormat="1" applyFont="1">
      <alignment vertical="top"/>
    </xf>
    <xf numFmtId="166" fontId="13" fillId="0" borderId="0" xfId="0" applyNumberFormat="1" applyFont="1">
      <alignment vertical="top"/>
    </xf>
    <xf numFmtId="170" fontId="14" fillId="0" borderId="0" xfId="0" applyNumberFormat="1" applyFont="1">
      <alignment vertical="top"/>
    </xf>
    <xf numFmtId="0" fontId="13" fillId="0" borderId="0" xfId="4" applyFont="1">
      <alignment vertical="top"/>
    </xf>
    <xf numFmtId="0" fontId="27" fillId="0" borderId="0" xfId="0" applyFont="1">
      <alignment vertical="top"/>
    </xf>
    <xf numFmtId="174" fontId="13" fillId="0" borderId="1" xfId="0" applyNumberFormat="1" applyFont="1" applyBorder="1">
      <alignment vertical="top"/>
    </xf>
    <xf numFmtId="174" fontId="14" fillId="0" borderId="0" xfId="0" applyNumberFormat="1" applyFont="1">
      <alignment vertical="top"/>
    </xf>
    <xf numFmtId="10" fontId="14" fillId="0" borderId="0" xfId="0" applyNumberFormat="1" applyFont="1">
      <alignment vertical="top"/>
    </xf>
    <xf numFmtId="167" fontId="20" fillId="0" borderId="0" xfId="0" applyNumberFormat="1" applyFont="1">
      <alignment vertical="top"/>
    </xf>
    <xf numFmtId="0" fontId="29" fillId="0" borderId="0" xfId="0" applyFont="1" applyAlignment="1"/>
    <xf numFmtId="1" fontId="29" fillId="0" borderId="0" xfId="0" applyNumberFormat="1" applyFont="1" applyAlignment="1"/>
    <xf numFmtId="171" fontId="29" fillId="0" borderId="0" xfId="3" applyNumberFormat="1" applyFont="1"/>
    <xf numFmtId="0" fontId="29" fillId="0" borderId="18" xfId="0" applyFont="1" applyBorder="1" applyAlignment="1"/>
    <xf numFmtId="1" fontId="29" fillId="0" borderId="18" xfId="0" applyNumberFormat="1" applyFont="1" applyBorder="1" applyAlignment="1"/>
    <xf numFmtId="0" fontId="28" fillId="0" borderId="0" xfId="0" applyFont="1" applyAlignment="1"/>
    <xf numFmtId="0" fontId="29" fillId="4" borderId="0" xfId="0" applyFont="1" applyFill="1" applyAlignment="1"/>
    <xf numFmtId="171" fontId="29" fillId="0" borderId="0" xfId="0" applyNumberFormat="1" applyFont="1" applyAlignment="1"/>
    <xf numFmtId="171" fontId="29" fillId="4" borderId="0" xfId="0" applyNumberFormat="1" applyFont="1" applyFill="1" applyAlignment="1"/>
    <xf numFmtId="1" fontId="29" fillId="4" borderId="0" xfId="0" applyNumberFormat="1" applyFont="1" applyFill="1" applyAlignment="1"/>
    <xf numFmtId="171" fontId="29" fillId="4" borderId="0" xfId="3" applyNumberFormat="1" applyFont="1" applyFill="1"/>
    <xf numFmtId="9" fontId="29" fillId="0" borderId="0" xfId="3" applyFont="1"/>
    <xf numFmtId="170" fontId="13" fillId="0" borderId="0" xfId="0" applyNumberFormat="1" applyFont="1">
      <alignment vertical="top"/>
    </xf>
    <xf numFmtId="170" fontId="16" fillId="0" borderId="0" xfId="0" applyNumberFormat="1" applyFont="1">
      <alignment vertical="top"/>
    </xf>
    <xf numFmtId="0" fontId="16" fillId="0" borderId="0" xfId="0" applyFont="1" applyAlignment="1">
      <alignment horizontal="center" vertical="top"/>
    </xf>
    <xf numFmtId="170" fontId="13" fillId="0" borderId="1" xfId="0" applyNumberFormat="1" applyFont="1" applyBorder="1">
      <alignment vertical="top"/>
    </xf>
    <xf numFmtId="0" fontId="16" fillId="0" borderId="1" xfId="0" applyFont="1" applyBorder="1" applyAlignment="1">
      <alignment horizontal="left" vertical="top" indent="1"/>
    </xf>
    <xf numFmtId="171" fontId="16" fillId="0" borderId="1" xfId="0" applyNumberFormat="1" applyFont="1" applyBorder="1">
      <alignment vertical="top"/>
    </xf>
    <xf numFmtId="0" fontId="17" fillId="0" borderId="0" xfId="0" applyFont="1">
      <alignment vertical="top"/>
    </xf>
    <xf numFmtId="171" fontId="13" fillId="2" borderId="0" xfId="0" applyNumberFormat="1" applyFont="1" applyFill="1">
      <alignment vertical="top"/>
    </xf>
    <xf numFmtId="0" fontId="32" fillId="0" borderId="0" xfId="0" applyFont="1">
      <alignment vertical="top"/>
    </xf>
    <xf numFmtId="0" fontId="18" fillId="0" borderId="0" xfId="0" applyFont="1">
      <alignment vertical="top"/>
    </xf>
    <xf numFmtId="171" fontId="18" fillId="0" borderId="0" xfId="0" applyNumberFormat="1" applyFont="1">
      <alignment vertical="top"/>
    </xf>
    <xf numFmtId="10" fontId="13" fillId="0" borderId="1" xfId="0" applyNumberFormat="1" applyFont="1" applyBorder="1">
      <alignment vertical="top"/>
    </xf>
    <xf numFmtId="171" fontId="16" fillId="0" borderId="0" xfId="0" applyNumberFormat="1" applyFont="1">
      <alignment vertical="top"/>
    </xf>
    <xf numFmtId="188" fontId="14" fillId="2" borderId="0" xfId="2" applyNumberFormat="1" applyFont="1" applyFill="1" applyAlignment="1">
      <alignment vertical="top"/>
    </xf>
    <xf numFmtId="0" fontId="33" fillId="0" borderId="0" xfId="0" applyFont="1">
      <alignment vertical="top"/>
    </xf>
    <xf numFmtId="0" fontId="34" fillId="0" borderId="0" xfId="0" applyFont="1">
      <alignment vertical="top"/>
    </xf>
    <xf numFmtId="0" fontId="13" fillId="0" borderId="0" xfId="0" quotePrefix="1" applyFont="1" applyAlignment="1">
      <alignment vertical="top" wrapText="1"/>
    </xf>
    <xf numFmtId="0" fontId="13" fillId="0" borderId="17" xfId="0" applyFont="1" applyBorder="1">
      <alignment vertical="top"/>
    </xf>
    <xf numFmtId="169" fontId="14" fillId="0" borderId="0" xfId="0" applyNumberFormat="1" applyFont="1">
      <alignment vertical="top"/>
    </xf>
    <xf numFmtId="167" fontId="13" fillId="0" borderId="1" xfId="0" applyNumberFormat="1" applyFont="1" applyBorder="1">
      <alignment vertical="top"/>
    </xf>
    <xf numFmtId="0" fontId="13" fillId="0" borderId="5" xfId="0" applyFont="1" applyBorder="1" applyAlignment="1">
      <alignment horizontal="center" vertical="top"/>
    </xf>
    <xf numFmtId="0" fontId="13" fillId="0" borderId="0" xfId="5" applyFont="1">
      <alignment vertical="top"/>
    </xf>
    <xf numFmtId="2" fontId="25" fillId="0" borderId="0" xfId="0" applyNumberFormat="1" applyFont="1">
      <alignment vertical="top"/>
    </xf>
    <xf numFmtId="165" fontId="13" fillId="0" borderId="0" xfId="0" applyNumberFormat="1" applyFont="1">
      <alignment vertical="top"/>
    </xf>
    <xf numFmtId="168" fontId="13" fillId="0" borderId="0" xfId="0" quotePrefix="1" applyNumberFormat="1" applyFont="1">
      <alignment vertical="top"/>
    </xf>
    <xf numFmtId="170" fontId="14" fillId="0" borderId="0" xfId="0" quotePrefix="1" applyNumberFormat="1" applyFont="1">
      <alignment vertical="top"/>
    </xf>
    <xf numFmtId="168" fontId="16" fillId="0" borderId="0" xfId="0" applyNumberFormat="1" applyFont="1">
      <alignment vertical="top"/>
    </xf>
    <xf numFmtId="171" fontId="13" fillId="4" borderId="0" xfId="0" applyNumberFormat="1" applyFont="1" applyFill="1">
      <alignment vertical="top"/>
    </xf>
    <xf numFmtId="0" fontId="20" fillId="0" borderId="0" xfId="0" applyFont="1" applyAlignment="1">
      <alignment horizontal="left" vertical="top" indent="1"/>
    </xf>
    <xf numFmtId="20" fontId="13" fillId="0" borderId="0" xfId="0" applyNumberFormat="1" applyFont="1">
      <alignment vertical="top"/>
    </xf>
    <xf numFmtId="169" fontId="35" fillId="0" borderId="0" xfId="0" applyNumberFormat="1" applyFont="1">
      <alignment vertical="top"/>
    </xf>
    <xf numFmtId="0" fontId="13" fillId="0" borderId="4" xfId="0" applyFont="1" applyBorder="1" applyAlignment="1">
      <alignment horizontal="center" vertical="top"/>
    </xf>
    <xf numFmtId="168" fontId="13" fillId="0" borderId="11" xfId="0" applyNumberFormat="1" applyFont="1" applyBorder="1" applyAlignment="1">
      <alignment horizontal="right" vertical="top"/>
    </xf>
    <xf numFmtId="0" fontId="13" fillId="0" borderId="9" xfId="0" quotePrefix="1" applyFont="1" applyBorder="1">
      <alignment vertical="top"/>
    </xf>
    <xf numFmtId="0" fontId="13" fillId="0" borderId="2" xfId="0" applyFont="1" applyBorder="1" applyAlignment="1">
      <alignment horizontal="center" vertical="top"/>
    </xf>
    <xf numFmtId="168" fontId="13" fillId="0" borderId="1" xfId="0" applyNumberFormat="1" applyFont="1" applyBorder="1" applyAlignment="1">
      <alignment horizontal="right" vertical="top"/>
    </xf>
    <xf numFmtId="0" fontId="13" fillId="0" borderId="3" xfId="0" quotePrefix="1" applyFont="1" applyBorder="1">
      <alignment vertical="top"/>
    </xf>
    <xf numFmtId="168" fontId="17" fillId="0" borderId="0" xfId="0" applyNumberFormat="1" applyFont="1">
      <alignment vertical="top"/>
    </xf>
    <xf numFmtId="168" fontId="13" fillId="0" borderId="0" xfId="0" applyNumberFormat="1" applyFont="1" applyAlignment="1">
      <alignment horizontal="center" vertical="top"/>
    </xf>
    <xf numFmtId="1" fontId="14" fillId="2" borderId="0" xfId="0" applyNumberFormat="1" applyFont="1" applyFill="1" applyAlignment="1">
      <alignment horizontal="center" vertical="top"/>
    </xf>
    <xf numFmtId="0" fontId="20" fillId="0" borderId="0" xfId="0" quotePrefix="1" applyFont="1">
      <alignment vertical="top"/>
    </xf>
    <xf numFmtId="0" fontId="20" fillId="0" borderId="0" xfId="0" quotePrefix="1" applyFont="1" applyAlignment="1">
      <alignment horizontal="left" vertical="top"/>
    </xf>
    <xf numFmtId="0" fontId="23" fillId="0" borderId="0" xfId="7" applyFont="1" applyAlignment="1">
      <alignment horizontal="left" vertical="top" wrapText="1" indent="1"/>
    </xf>
    <xf numFmtId="178" fontId="23" fillId="0" borderId="0" xfId="0" applyNumberFormat="1" applyFont="1">
      <alignment vertical="top"/>
    </xf>
    <xf numFmtId="0" fontId="23" fillId="0" borderId="0" xfId="0" applyFont="1">
      <alignment vertical="top"/>
    </xf>
    <xf numFmtId="171" fontId="23" fillId="0" borderId="0" xfId="3" applyNumberFormat="1" applyFont="1" applyAlignment="1">
      <alignment vertical="top"/>
    </xf>
    <xf numFmtId="179" fontId="13" fillId="0" borderId="0" xfId="0" applyNumberFormat="1" applyFont="1">
      <alignment vertical="top"/>
    </xf>
    <xf numFmtId="166" fontId="14" fillId="2" borderId="0" xfId="2" applyFont="1" applyFill="1" applyAlignment="1">
      <alignment vertical="top"/>
    </xf>
    <xf numFmtId="187" fontId="13" fillId="0" borderId="0" xfId="0" applyNumberFormat="1" applyFont="1">
      <alignment vertical="top"/>
    </xf>
    <xf numFmtId="171" fontId="14" fillId="2" borderId="0" xfId="0" applyNumberFormat="1" applyFont="1" applyFill="1">
      <alignment vertical="top"/>
    </xf>
    <xf numFmtId="0" fontId="13" fillId="0" borderId="0" xfId="0" applyFont="1" applyAlignment="1">
      <alignment vertical="center"/>
    </xf>
    <xf numFmtId="167" fontId="13" fillId="0" borderId="0" xfId="0" applyNumberFormat="1" applyFont="1" applyAlignment="1">
      <alignment horizontal="right" vertical="center"/>
    </xf>
    <xf numFmtId="0" fontId="13" fillId="0" borderId="0" xfId="0" applyFont="1" applyAlignment="1">
      <alignment horizontal="right" vertical="center"/>
    </xf>
    <xf numFmtId="2" fontId="13" fillId="0" borderId="0" xfId="0" applyNumberFormat="1" applyFont="1" applyAlignment="1">
      <alignment horizontal="right" vertical="center"/>
    </xf>
    <xf numFmtId="9" fontId="13" fillId="0" borderId="0" xfId="3" applyFont="1" applyBorder="1" applyAlignment="1">
      <alignment horizontal="right" vertical="center"/>
    </xf>
    <xf numFmtId="171" fontId="13" fillId="0" borderId="0" xfId="3" applyNumberFormat="1" applyFont="1" applyBorder="1" applyAlignment="1">
      <alignment vertical="center"/>
    </xf>
    <xf numFmtId="9" fontId="13" fillId="0" borderId="0" xfId="3" applyFont="1" applyBorder="1" applyAlignment="1">
      <alignment vertical="center"/>
    </xf>
    <xf numFmtId="0" fontId="13" fillId="0" borderId="17" xfId="0" applyFont="1" applyBorder="1" applyAlignment="1">
      <alignment vertical="center"/>
    </xf>
    <xf numFmtId="167" fontId="13" fillId="0" borderId="17" xfId="0" applyNumberFormat="1" applyFont="1" applyBorder="1" applyAlignment="1">
      <alignment horizontal="right" vertical="center"/>
    </xf>
    <xf numFmtId="2" fontId="13" fillId="0" borderId="17" xfId="0" applyNumberFormat="1" applyFont="1" applyBorder="1" applyAlignment="1">
      <alignment vertical="center"/>
    </xf>
    <xf numFmtId="0" fontId="13" fillId="0" borderId="17" xfId="0" applyFont="1" applyBorder="1" applyAlignment="1">
      <alignment horizontal="right" vertical="center"/>
    </xf>
    <xf numFmtId="9" fontId="13" fillId="0" borderId="17" xfId="3" applyFont="1" applyBorder="1" applyAlignment="1">
      <alignment vertical="center"/>
    </xf>
    <xf numFmtId="171" fontId="13" fillId="0" borderId="17" xfId="3" applyNumberFormat="1" applyFont="1" applyBorder="1" applyAlignment="1">
      <alignment vertical="center"/>
    </xf>
    <xf numFmtId="9" fontId="13" fillId="0" borderId="17" xfId="3" applyFont="1" applyBorder="1" applyAlignment="1">
      <alignment horizontal="right" vertical="center"/>
    </xf>
    <xf numFmtId="167" fontId="13" fillId="0" borderId="17" xfId="0" applyNumberFormat="1" applyFont="1" applyBorder="1" applyAlignment="1">
      <alignment vertical="center"/>
    </xf>
    <xf numFmtId="0" fontId="13" fillId="0" borderId="0" xfId="0" quotePrefix="1" applyFont="1" applyAlignment="1">
      <alignment horizontal="center" vertical="top"/>
    </xf>
    <xf numFmtId="171" fontId="13" fillId="0" borderId="0" xfId="0" applyNumberFormat="1" applyFont="1" applyAlignment="1">
      <alignment horizontal="center" vertical="top"/>
    </xf>
    <xf numFmtId="171" fontId="13" fillId="0" borderId="0" xfId="3" applyNumberFormat="1" applyFont="1" applyAlignment="1">
      <alignment horizontal="center" vertical="top"/>
    </xf>
    <xf numFmtId="9" fontId="13" fillId="0" borderId="0" xfId="0" applyNumberFormat="1" applyFont="1" applyAlignment="1">
      <alignment horizontal="center" vertical="top"/>
    </xf>
    <xf numFmtId="0" fontId="13" fillId="2" borderId="0" xfId="0" applyFont="1" applyFill="1" applyAlignment="1">
      <alignment horizontal="center" vertical="top"/>
    </xf>
    <xf numFmtId="166" fontId="13" fillId="0" borderId="0" xfId="2" applyFont="1" applyAlignment="1">
      <alignment horizontal="center" vertical="top"/>
    </xf>
    <xf numFmtId="0" fontId="13" fillId="0" borderId="7" xfId="0" applyFont="1" applyBorder="1" applyAlignment="1">
      <alignment horizontal="left" vertical="top"/>
    </xf>
    <xf numFmtId="10" fontId="13" fillId="2" borderId="0" xfId="3" applyNumberFormat="1" applyFont="1" applyFill="1" applyBorder="1" applyAlignment="1">
      <alignment horizontal="center" vertical="top"/>
    </xf>
    <xf numFmtId="3" fontId="14" fillId="0" borderId="0" xfId="0" applyNumberFormat="1" applyFont="1">
      <alignment vertical="top"/>
    </xf>
    <xf numFmtId="14" fontId="13" fillId="0" borderId="0" xfId="0" applyNumberFormat="1" applyFont="1">
      <alignment vertical="top"/>
    </xf>
    <xf numFmtId="0" fontId="13" fillId="2" borderId="0" xfId="0" applyFont="1" applyFill="1">
      <alignment vertical="top"/>
    </xf>
    <xf numFmtId="10" fontId="13" fillId="2" borderId="0" xfId="0" applyNumberFormat="1" applyFont="1" applyFill="1">
      <alignment vertical="top"/>
    </xf>
    <xf numFmtId="10" fontId="13" fillId="2" borderId="0" xfId="3" applyNumberFormat="1" applyFont="1" applyFill="1" applyAlignment="1">
      <alignment vertical="top"/>
    </xf>
    <xf numFmtId="15" fontId="13" fillId="0" borderId="0" xfId="0" applyNumberFormat="1" applyFont="1" applyAlignment="1">
      <alignment horizontal="center" vertical="top"/>
    </xf>
    <xf numFmtId="0" fontId="13" fillId="0" borderId="0" xfId="2" applyNumberFormat="1" applyFont="1" applyAlignment="1">
      <alignment horizontal="center" vertical="top"/>
    </xf>
    <xf numFmtId="10" fontId="13" fillId="0" borderId="7" xfId="3" applyNumberFormat="1" applyFont="1" applyBorder="1" applyAlignment="1">
      <alignment vertical="top"/>
    </xf>
    <xf numFmtId="15" fontId="20" fillId="0" borderId="0" xfId="0" applyNumberFormat="1" applyFont="1" applyAlignment="1">
      <alignment horizontal="left" vertical="top"/>
    </xf>
    <xf numFmtId="10" fontId="13" fillId="0" borderId="0" xfId="3" applyNumberFormat="1" applyFont="1" applyBorder="1" applyAlignment="1">
      <alignment vertical="top"/>
    </xf>
    <xf numFmtId="0" fontId="13" fillId="0" borderId="0" xfId="0" applyFont="1" applyAlignment="1">
      <alignment horizontal="left" vertical="top"/>
    </xf>
    <xf numFmtId="10" fontId="13" fillId="0" borderId="0" xfId="0" applyNumberFormat="1" applyFont="1" applyAlignment="1">
      <alignment horizontal="center" vertical="top"/>
    </xf>
    <xf numFmtId="10" fontId="13" fillId="0" borderId="0" xfId="3" applyNumberFormat="1" applyFont="1" applyAlignment="1">
      <alignment horizontal="center" vertical="top"/>
    </xf>
    <xf numFmtId="171" fontId="36" fillId="0" borderId="0" xfId="3" applyNumberFormat="1" applyFont="1" applyAlignment="1">
      <alignment vertical="top"/>
    </xf>
    <xf numFmtId="10" fontId="36" fillId="0" borderId="0" xfId="3" applyNumberFormat="1" applyFont="1" applyAlignment="1">
      <alignment vertical="top"/>
    </xf>
    <xf numFmtId="2" fontId="29" fillId="3" borderId="14" xfId="0" applyNumberFormat="1" applyFont="1" applyFill="1" applyBorder="1" applyAlignment="1">
      <alignment horizontal="right" vertical="center" wrapText="1"/>
    </xf>
    <xf numFmtId="0" fontId="13" fillId="0" borderId="0" xfId="0" applyFont="1" applyAlignment="1">
      <alignment horizontal="left" vertical="top" indent="1"/>
    </xf>
    <xf numFmtId="10" fontId="37" fillId="0" borderId="0" xfId="3" applyNumberFormat="1" applyFont="1" applyAlignment="1">
      <alignment vertical="top"/>
    </xf>
    <xf numFmtId="0" fontId="20" fillId="0" borderId="0" xfId="0" applyFont="1" applyAlignment="1">
      <alignment horizontal="left" vertical="top"/>
    </xf>
    <xf numFmtId="186" fontId="13" fillId="0" borderId="0" xfId="0" applyNumberFormat="1" applyFont="1">
      <alignment vertical="top"/>
    </xf>
    <xf numFmtId="0" fontId="14" fillId="0" borderId="6" xfId="0" applyFont="1" applyBorder="1">
      <alignment vertical="top"/>
    </xf>
    <xf numFmtId="0" fontId="36" fillId="0" borderId="0" xfId="0" applyFont="1">
      <alignment vertical="top"/>
    </xf>
    <xf numFmtId="172" fontId="13" fillId="0" borderId="0" xfId="2" applyNumberFormat="1" applyFont="1" applyAlignment="1">
      <alignment vertical="top"/>
    </xf>
    <xf numFmtId="39" fontId="13" fillId="0" borderId="0" xfId="2" applyNumberFormat="1" applyFont="1" applyAlignment="1">
      <alignment vertical="top"/>
    </xf>
    <xf numFmtId="0" fontId="13" fillId="4" borderId="0" xfId="0" applyFont="1" applyFill="1">
      <alignment vertical="top"/>
    </xf>
    <xf numFmtId="169" fontId="13" fillId="0" borderId="0" xfId="0" applyNumberFormat="1" applyFont="1">
      <alignment vertical="top"/>
    </xf>
    <xf numFmtId="0" fontId="14" fillId="0" borderId="5" xfId="0" applyFont="1" applyBorder="1">
      <alignment vertical="top"/>
    </xf>
    <xf numFmtId="2" fontId="38" fillId="0" borderId="0" xfId="0" applyNumberFormat="1" applyFont="1">
      <alignment vertical="top"/>
    </xf>
    <xf numFmtId="168" fontId="38" fillId="0" borderId="0" xfId="0" applyNumberFormat="1" applyFont="1">
      <alignment vertical="top"/>
    </xf>
    <xf numFmtId="171" fontId="20" fillId="0" borderId="0" xfId="0" applyNumberFormat="1" applyFont="1">
      <alignment vertical="top"/>
    </xf>
    <xf numFmtId="184" fontId="13" fillId="0" borderId="0" xfId="0" applyNumberFormat="1" applyFont="1">
      <alignment vertical="top"/>
    </xf>
    <xf numFmtId="9" fontId="37" fillId="0" borderId="0" xfId="0" applyNumberFormat="1" applyFont="1">
      <alignment vertical="top"/>
    </xf>
    <xf numFmtId="11" fontId="13" fillId="0" borderId="0" xfId="0" applyNumberFormat="1" applyFont="1">
      <alignment vertical="top"/>
    </xf>
    <xf numFmtId="0" fontId="13" fillId="0" borderId="8" xfId="0" applyFont="1" applyBorder="1">
      <alignment vertical="top"/>
    </xf>
    <xf numFmtId="0" fontId="13" fillId="0" borderId="8" xfId="0" applyFont="1" applyBorder="1" applyAlignment="1">
      <alignment horizontal="center" vertical="top"/>
    </xf>
    <xf numFmtId="9" fontId="13" fillId="0" borderId="0" xfId="3" applyFont="1" applyAlignment="1">
      <alignment horizontal="center" vertical="top"/>
    </xf>
    <xf numFmtId="0" fontId="13" fillId="0" borderId="0" xfId="2" applyNumberFormat="1" applyFont="1" applyAlignment="1">
      <alignment vertical="top"/>
    </xf>
    <xf numFmtId="0" fontId="13" fillId="0" borderId="0" xfId="3" applyNumberFormat="1" applyFont="1" applyAlignment="1">
      <alignment vertical="top"/>
    </xf>
    <xf numFmtId="185" fontId="13" fillId="0" borderId="0" xfId="0" applyNumberFormat="1" applyFont="1">
      <alignment vertical="top"/>
    </xf>
    <xf numFmtId="0" fontId="14" fillId="0" borderId="1" xfId="0" applyFont="1" applyBorder="1">
      <alignment vertical="top"/>
    </xf>
    <xf numFmtId="183" fontId="14" fillId="0" borderId="1" xfId="0" applyNumberFormat="1" applyFont="1" applyBorder="1">
      <alignment vertical="top"/>
    </xf>
    <xf numFmtId="183" fontId="13" fillId="0" borderId="0" xfId="0" applyNumberFormat="1" applyFont="1">
      <alignment vertical="top"/>
    </xf>
    <xf numFmtId="183" fontId="13" fillId="0" borderId="1" xfId="0" applyNumberFormat="1" applyFont="1" applyBorder="1">
      <alignment vertical="top"/>
    </xf>
    <xf numFmtId="9" fontId="14" fillId="0" borderId="0" xfId="3" applyFont="1" applyBorder="1" applyAlignment="1">
      <alignment vertical="top"/>
    </xf>
    <xf numFmtId="183" fontId="14" fillId="0" borderId="0" xfId="0" applyNumberFormat="1" applyFont="1">
      <alignment vertical="top"/>
    </xf>
    <xf numFmtId="181" fontId="13" fillId="0" borderId="0" xfId="0" applyNumberFormat="1" applyFont="1">
      <alignment vertical="top"/>
    </xf>
    <xf numFmtId="183" fontId="14" fillId="0" borderId="6" xfId="0" applyNumberFormat="1" applyFont="1" applyBorder="1">
      <alignment vertical="top"/>
    </xf>
    <xf numFmtId="0" fontId="14" fillId="0" borderId="0" xfId="0" applyFont="1" applyAlignment="1">
      <alignment horizontal="right" vertical="top"/>
    </xf>
    <xf numFmtId="170" fontId="20" fillId="0" borderId="0" xfId="0" applyNumberFormat="1" applyFont="1">
      <alignment vertical="top"/>
    </xf>
    <xf numFmtId="10" fontId="20" fillId="0" borderId="0" xfId="3" applyNumberFormat="1" applyFont="1" applyAlignment="1">
      <alignment vertical="top"/>
    </xf>
    <xf numFmtId="0" fontId="39" fillId="0" borderId="0" xfId="0" applyFont="1">
      <alignment vertical="top"/>
    </xf>
    <xf numFmtId="2" fontId="13" fillId="0" borderId="1" xfId="2" applyNumberFormat="1" applyFont="1" applyBorder="1" applyAlignment="1">
      <alignment vertical="top"/>
    </xf>
    <xf numFmtId="0" fontId="14" fillId="0" borderId="0" xfId="0" applyFont="1" applyAlignment="1">
      <alignment horizontal="left" vertical="top"/>
    </xf>
    <xf numFmtId="9" fontId="16" fillId="0" borderId="0" xfId="3" applyFont="1" applyAlignment="1">
      <alignment vertical="top"/>
    </xf>
    <xf numFmtId="0" fontId="22" fillId="0" borderId="0" xfId="0" applyFont="1" applyAlignment="1">
      <alignment horizontal="center" vertical="top"/>
    </xf>
    <xf numFmtId="170" fontId="14" fillId="0" borderId="1" xfId="0" applyNumberFormat="1" applyFont="1" applyBorder="1">
      <alignment vertical="top"/>
    </xf>
    <xf numFmtId="9" fontId="14" fillId="0" borderId="1" xfId="3" applyFont="1" applyBorder="1" applyAlignment="1">
      <alignment vertical="top"/>
    </xf>
    <xf numFmtId="170" fontId="14" fillId="0" borderId="6" xfId="0" applyNumberFormat="1" applyFont="1" applyBorder="1">
      <alignment vertical="top"/>
    </xf>
    <xf numFmtId="9" fontId="14" fillId="0" borderId="6" xfId="3" applyFont="1" applyBorder="1" applyAlignment="1">
      <alignment vertical="top"/>
    </xf>
    <xf numFmtId="171" fontId="14" fillId="0" borderId="1" xfId="0" applyNumberFormat="1" applyFont="1" applyBorder="1">
      <alignment vertical="top"/>
    </xf>
    <xf numFmtId="169" fontId="13" fillId="0" borderId="1" xfId="0" applyNumberFormat="1" applyFont="1" applyBorder="1">
      <alignment vertical="top"/>
    </xf>
    <xf numFmtId="169" fontId="16" fillId="0" borderId="0" xfId="0" applyNumberFormat="1" applyFont="1">
      <alignment vertical="top"/>
    </xf>
    <xf numFmtId="167" fontId="14" fillId="0" borderId="0" xfId="0" applyNumberFormat="1" applyFont="1" applyAlignment="1">
      <alignment horizontal="center" vertical="top"/>
    </xf>
    <xf numFmtId="0" fontId="27" fillId="0" borderId="0" xfId="0" applyFont="1" applyAlignment="1">
      <alignment horizontal="center" vertical="top"/>
    </xf>
    <xf numFmtId="0" fontId="13" fillId="0" borderId="1" xfId="0" applyFont="1" applyBorder="1" applyAlignment="1">
      <alignment horizontal="center" vertical="center"/>
    </xf>
    <xf numFmtId="167" fontId="13" fillId="0" borderId="1" xfId="0" applyNumberFormat="1" applyFont="1" applyBorder="1" applyAlignment="1">
      <alignment horizontal="center" vertical="center"/>
    </xf>
    <xf numFmtId="167" fontId="13" fillId="0" borderId="1" xfId="0" applyNumberFormat="1" applyFont="1" applyBorder="1" applyAlignment="1">
      <alignment horizontal="center" vertical="top"/>
    </xf>
    <xf numFmtId="0" fontId="13" fillId="0" borderId="6" xfId="0" applyFont="1" applyBorder="1">
      <alignment vertical="top"/>
    </xf>
    <xf numFmtId="174" fontId="13" fillId="0" borderId="6" xfId="0" applyNumberFormat="1" applyFont="1" applyBorder="1">
      <alignment vertical="top"/>
    </xf>
    <xf numFmtId="0" fontId="14" fillId="0" borderId="1" xfId="0" quotePrefix="1" applyFont="1" applyBorder="1">
      <alignment vertical="top"/>
    </xf>
    <xf numFmtId="0" fontId="14" fillId="0" borderId="0" xfId="0" quotePrefix="1" applyFont="1">
      <alignment vertical="top"/>
    </xf>
    <xf numFmtId="169" fontId="14" fillId="0" borderId="1" xfId="0" applyNumberFormat="1" applyFont="1" applyBorder="1">
      <alignment vertical="top"/>
    </xf>
    <xf numFmtId="170" fontId="25" fillId="0" borderId="1" xfId="0" applyNumberFormat="1" applyFont="1" applyBorder="1">
      <alignment vertical="top"/>
    </xf>
    <xf numFmtId="170" fontId="37" fillId="0" borderId="0" xfId="0" applyNumberFormat="1" applyFont="1">
      <alignment vertical="top"/>
    </xf>
    <xf numFmtId="0" fontId="40" fillId="0" borderId="0" xfId="0" applyFont="1">
      <alignment vertical="top"/>
    </xf>
    <xf numFmtId="170" fontId="40" fillId="0" borderId="0" xfId="0" applyNumberFormat="1" applyFont="1">
      <alignment vertical="top"/>
    </xf>
    <xf numFmtId="169" fontId="40" fillId="0" borderId="0" xfId="0" applyNumberFormat="1" applyFont="1">
      <alignment vertical="top"/>
    </xf>
    <xf numFmtId="170" fontId="41" fillId="0" borderId="0" xfId="0" applyNumberFormat="1" applyFont="1">
      <alignment vertical="top"/>
    </xf>
    <xf numFmtId="0" fontId="40" fillId="0" borderId="1" xfId="0" applyFont="1" applyBorder="1">
      <alignment vertical="top"/>
    </xf>
    <xf numFmtId="170" fontId="40" fillId="0" borderId="1" xfId="0" applyNumberFormat="1" applyFont="1" applyBorder="1">
      <alignment vertical="top"/>
    </xf>
    <xf numFmtId="0" fontId="13" fillId="0" borderId="1" xfId="0" quotePrefix="1" applyFont="1" applyBorder="1">
      <alignment vertical="top"/>
    </xf>
    <xf numFmtId="181" fontId="13" fillId="0" borderId="1" xfId="0" applyNumberFormat="1" applyFont="1" applyBorder="1">
      <alignment vertical="top"/>
    </xf>
    <xf numFmtId="0" fontId="15" fillId="0" borderId="0" xfId="5" applyFont="1" applyAlignment="1">
      <alignment horizontal="right" vertical="top"/>
    </xf>
    <xf numFmtId="0" fontId="14" fillId="0" borderId="1" xfId="0" applyFont="1" applyBorder="1" applyAlignment="1">
      <alignment vertical="top" wrapText="1"/>
    </xf>
    <xf numFmtId="0" fontId="13" fillId="0" borderId="0" xfId="0" quotePrefix="1" applyFont="1" applyAlignment="1">
      <alignment horizontal="right" vertical="top" wrapText="1"/>
    </xf>
    <xf numFmtId="0" fontId="16" fillId="0" borderId="0" xfId="0" applyFont="1" applyAlignment="1">
      <alignment horizontal="right" vertical="top" wrapText="1" indent="1"/>
    </xf>
    <xf numFmtId="0" fontId="14" fillId="0" borderId="0" xfId="0" quotePrefix="1" applyFont="1" applyAlignment="1">
      <alignment vertical="top" wrapText="1"/>
    </xf>
    <xf numFmtId="0" fontId="14" fillId="0" borderId="0" xfId="0" quotePrefix="1" applyFont="1" applyAlignment="1">
      <alignment horizontal="right" vertical="top" wrapText="1"/>
    </xf>
    <xf numFmtId="0" fontId="14" fillId="0" borderId="1" xfId="0" quotePrefix="1" applyFont="1" applyBorder="1" applyAlignment="1">
      <alignment vertical="top" wrapText="1"/>
    </xf>
    <xf numFmtId="0" fontId="17" fillId="0" borderId="0" xfId="0" applyFont="1" applyAlignment="1">
      <alignment vertical="top" wrapText="1"/>
    </xf>
    <xf numFmtId="0" fontId="17" fillId="0" borderId="0" xfId="0" applyFont="1" applyAlignment="1">
      <alignment horizontal="right" vertical="top" wrapText="1"/>
    </xf>
    <xf numFmtId="0" fontId="13" fillId="0" borderId="0" xfId="0" applyFont="1" applyAlignment="1">
      <alignment horizontal="right" vertical="top" wrapText="1"/>
    </xf>
    <xf numFmtId="0" fontId="13" fillId="0" borderId="0" xfId="0" quotePrefix="1" applyFont="1" applyAlignment="1">
      <alignment horizontal="right" vertical="top"/>
    </xf>
    <xf numFmtId="0" fontId="17" fillId="0" borderId="0" xfId="0" applyFont="1" applyAlignment="1">
      <alignment horizontal="right" vertical="top"/>
    </xf>
    <xf numFmtId="0" fontId="20" fillId="0" borderId="0" xfId="0" applyFont="1" applyAlignment="1">
      <alignment horizontal="right" vertical="top"/>
    </xf>
    <xf numFmtId="0" fontId="14" fillId="6" borderId="0" xfId="0" applyFont="1" applyFill="1">
      <alignment vertical="top"/>
    </xf>
    <xf numFmtId="0" fontId="14" fillId="6" borderId="0" xfId="0" applyFont="1" applyFill="1" applyAlignment="1">
      <alignment horizontal="right" vertical="top"/>
    </xf>
    <xf numFmtId="0" fontId="14" fillId="0" borderId="6" xfId="0" applyFont="1" applyBorder="1" applyAlignment="1">
      <alignment horizontal="left" vertical="top"/>
    </xf>
    <xf numFmtId="0" fontId="14" fillId="0" borderId="6" xfId="0" quotePrefix="1" applyFont="1" applyBorder="1" applyAlignment="1">
      <alignment horizontal="right" vertical="top"/>
    </xf>
    <xf numFmtId="3" fontId="14" fillId="0" borderId="6" xfId="0" applyNumberFormat="1" applyFont="1" applyBorder="1">
      <alignment vertical="top"/>
    </xf>
    <xf numFmtId="0" fontId="13" fillId="0" borderId="6" xfId="0" quotePrefix="1" applyFont="1" applyBorder="1">
      <alignment vertical="top"/>
    </xf>
    <xf numFmtId="0" fontId="13" fillId="0" borderId="6" xfId="0" quotePrefix="1" applyFont="1" applyBorder="1" applyAlignment="1">
      <alignment horizontal="right" vertical="top"/>
    </xf>
    <xf numFmtId="3" fontId="13" fillId="0" borderId="6" xfId="0" applyNumberFormat="1" applyFont="1" applyBorder="1">
      <alignment vertical="top"/>
    </xf>
    <xf numFmtId="3" fontId="13" fillId="0" borderId="6" xfId="0" applyNumberFormat="1" applyFont="1" applyBorder="1" applyAlignment="1">
      <alignment horizontal="right" vertical="top"/>
    </xf>
    <xf numFmtId="0" fontId="14" fillId="0" borderId="6" xfId="0" applyFont="1" applyBorder="1" applyAlignment="1">
      <alignment horizontal="right" vertical="top"/>
    </xf>
    <xf numFmtId="0" fontId="14" fillId="0" borderId="0" xfId="0" quotePrefix="1" applyFont="1" applyAlignment="1">
      <alignment horizontal="right" vertical="top"/>
    </xf>
    <xf numFmtId="0" fontId="14" fillId="0" borderId="6" xfId="0" quotePrefix="1" applyFont="1" applyBorder="1">
      <alignment vertical="top"/>
    </xf>
    <xf numFmtId="168" fontId="13" fillId="0" borderId="0" xfId="0" applyNumberFormat="1" applyFont="1" applyAlignment="1">
      <alignment vertical="top" wrapText="1"/>
    </xf>
    <xf numFmtId="0" fontId="42" fillId="0" borderId="0" xfId="0" applyFont="1">
      <alignment vertical="top"/>
    </xf>
    <xf numFmtId="174" fontId="14" fillId="0" borderId="0" xfId="2" applyNumberFormat="1" applyFont="1" applyAlignment="1">
      <alignment vertical="top"/>
    </xf>
    <xf numFmtId="0" fontId="43" fillId="0" borderId="0" xfId="0" applyFont="1" applyAlignment="1">
      <alignment horizontal="left" vertical="top" indent="1"/>
    </xf>
    <xf numFmtId="170" fontId="43" fillId="0" borderId="0" xfId="0" applyNumberFormat="1" applyFont="1">
      <alignment vertical="top"/>
    </xf>
    <xf numFmtId="168" fontId="43" fillId="0" borderId="0" xfId="0" applyNumberFormat="1" applyFont="1">
      <alignment vertical="top"/>
    </xf>
    <xf numFmtId="0" fontId="43" fillId="0" borderId="0" xfId="0" applyFont="1">
      <alignment vertical="top"/>
    </xf>
    <xf numFmtId="174" fontId="43" fillId="0" borderId="0" xfId="0" applyNumberFormat="1" applyFont="1">
      <alignment vertical="top"/>
    </xf>
    <xf numFmtId="168" fontId="44" fillId="0" borderId="0" xfId="0" applyNumberFormat="1" applyFont="1">
      <alignment vertical="top"/>
    </xf>
    <xf numFmtId="174" fontId="43" fillId="0" borderId="0" xfId="2" applyNumberFormat="1" applyFont="1" applyAlignment="1">
      <alignment vertical="top"/>
    </xf>
    <xf numFmtId="174" fontId="14" fillId="0" borderId="0" xfId="2" applyNumberFormat="1" applyFont="1" applyAlignment="1">
      <alignment horizontal="right" vertical="top"/>
    </xf>
    <xf numFmtId="168" fontId="16" fillId="0" borderId="0" xfId="0" applyNumberFormat="1" applyFont="1" applyAlignment="1">
      <alignment horizontal="left" vertical="top" wrapText="1" indent="1"/>
    </xf>
    <xf numFmtId="170" fontId="14" fillId="0" borderId="0" xfId="0" applyNumberFormat="1" applyFont="1" applyAlignment="1">
      <alignment horizontal="left" vertical="top"/>
    </xf>
    <xf numFmtId="0" fontId="13" fillId="6" borderId="0" xfId="0" applyFont="1" applyFill="1">
      <alignment vertical="top"/>
    </xf>
    <xf numFmtId="0" fontId="14" fillId="6" borderId="0" xfId="0" applyFont="1" applyFill="1" applyAlignment="1">
      <alignment horizontal="center" vertical="top"/>
    </xf>
    <xf numFmtId="9" fontId="13" fillId="6" borderId="0" xfId="0" applyNumberFormat="1" applyFont="1" applyFill="1">
      <alignment vertical="top"/>
    </xf>
    <xf numFmtId="0" fontId="14" fillId="6" borderId="1" xfId="0" applyFont="1" applyFill="1" applyBorder="1">
      <alignment vertical="top"/>
    </xf>
    <xf numFmtId="9" fontId="13" fillId="6" borderId="0" xfId="3" applyFont="1" applyFill="1" applyBorder="1" applyAlignment="1">
      <alignment vertical="top"/>
    </xf>
    <xf numFmtId="0" fontId="22" fillId="6" borderId="0" xfId="0" applyFont="1" applyFill="1" applyAlignment="1">
      <alignment horizontal="center" vertical="top" wrapText="1"/>
    </xf>
    <xf numFmtId="0" fontId="45" fillId="6" borderId="0" xfId="0" applyFont="1" applyFill="1" applyAlignment="1">
      <alignment horizontal="center" vertical="top" wrapText="1"/>
    </xf>
    <xf numFmtId="0" fontId="15" fillId="6" borderId="0" xfId="5" applyFont="1" applyFill="1">
      <alignment vertical="top"/>
    </xf>
    <xf numFmtId="1" fontId="14" fillId="6" borderId="1" xfId="0" applyNumberFormat="1" applyFont="1" applyFill="1" applyBorder="1" applyAlignment="1">
      <alignment horizontal="center" vertical="top"/>
    </xf>
    <xf numFmtId="0" fontId="17" fillId="6" borderId="0" xfId="0" applyFont="1" applyFill="1">
      <alignment vertical="top"/>
    </xf>
    <xf numFmtId="17" fontId="13" fillId="6" borderId="0" xfId="0" applyNumberFormat="1" applyFont="1" applyFill="1">
      <alignment vertical="top"/>
    </xf>
    <xf numFmtId="3" fontId="29" fillId="0" borderId="17" xfId="0" applyNumberFormat="1" applyFont="1" applyBorder="1" applyAlignment="1">
      <alignment horizontal="center" vertical="center" wrapText="1"/>
    </xf>
    <xf numFmtId="0" fontId="13" fillId="6" borderId="0" xfId="0" applyFont="1" applyFill="1" applyAlignment="1">
      <alignment horizontal="center" vertical="top"/>
    </xf>
    <xf numFmtId="166" fontId="13" fillId="0" borderId="0" xfId="2" applyFont="1" applyBorder="1" applyAlignment="1">
      <alignment vertical="top"/>
    </xf>
    <xf numFmtId="0" fontId="14" fillId="6" borderId="1" xfId="0" applyFont="1" applyFill="1" applyBorder="1" applyAlignment="1">
      <alignment horizontal="center" vertical="top" wrapText="1"/>
    </xf>
    <xf numFmtId="0" fontId="14" fillId="6" borderId="3" xfId="0" applyFont="1" applyFill="1" applyBorder="1" applyAlignment="1">
      <alignment horizontal="center" vertical="top" wrapText="1"/>
    </xf>
    <xf numFmtId="0" fontId="14" fillId="6" borderId="0" xfId="0" applyFont="1" applyFill="1" applyAlignment="1">
      <alignment vertical="center" wrapText="1"/>
    </xf>
    <xf numFmtId="0" fontId="14" fillId="6" borderId="0" xfId="0" applyFont="1" applyFill="1" applyAlignment="1">
      <alignment horizontal="center" vertical="center" wrapText="1"/>
    </xf>
    <xf numFmtId="0" fontId="14" fillId="6" borderId="0" xfId="0" applyFont="1" applyFill="1" applyAlignment="1">
      <alignment horizontal="centerContinuous" vertical="center" wrapText="1"/>
    </xf>
    <xf numFmtId="0" fontId="14" fillId="6" borderId="0" xfId="0" applyFont="1" applyFill="1" applyAlignment="1">
      <alignment vertical="center"/>
    </xf>
    <xf numFmtId="0" fontId="14" fillId="6" borderId="0" xfId="0" applyFont="1" applyFill="1" applyAlignment="1">
      <alignment horizontal="right" vertical="center"/>
    </xf>
    <xf numFmtId="0" fontId="14" fillId="6" borderId="0" xfId="0" applyFont="1" applyFill="1" applyAlignment="1">
      <alignment vertical="top" wrapText="1"/>
    </xf>
    <xf numFmtId="0" fontId="46" fillId="6" borderId="0" xfId="5" applyFont="1" applyFill="1" applyAlignment="1">
      <alignment vertical="top" wrapText="1"/>
    </xf>
    <xf numFmtId="178" fontId="46" fillId="6" borderId="0" xfId="0" applyNumberFormat="1" applyFont="1" applyFill="1" applyAlignment="1">
      <alignment horizontal="center" vertical="top" wrapText="1"/>
    </xf>
    <xf numFmtId="0" fontId="42" fillId="6" borderId="0" xfId="0" applyFont="1" applyFill="1">
      <alignment vertical="top"/>
    </xf>
    <xf numFmtId="0" fontId="14" fillId="6" borderId="0" xfId="7" applyFont="1" applyFill="1">
      <alignment vertical="top" wrapText="1"/>
    </xf>
    <xf numFmtId="10" fontId="14" fillId="0" borderId="0" xfId="3" applyNumberFormat="1" applyFont="1" applyBorder="1" applyAlignment="1">
      <alignment vertical="top"/>
    </xf>
    <xf numFmtId="0" fontId="13" fillId="5" borderId="0" xfId="0" applyFont="1" applyFill="1" applyAlignment="1">
      <alignment horizontal="center" vertical="top"/>
    </xf>
    <xf numFmtId="0" fontId="14" fillId="6" borderId="0" xfId="0" applyFont="1" applyFill="1" applyAlignment="1">
      <alignment horizontal="center" vertical="top" wrapText="1"/>
    </xf>
    <xf numFmtId="171" fontId="14" fillId="6" borderId="0" xfId="0" applyNumberFormat="1" applyFont="1" applyFill="1" applyAlignment="1">
      <alignment horizontal="center" vertical="top"/>
    </xf>
    <xf numFmtId="0" fontId="28" fillId="6" borderId="0" xfId="0" applyFont="1" applyFill="1" applyAlignment="1"/>
    <xf numFmtId="0" fontId="28" fillId="6" borderId="0" xfId="0" applyFont="1" applyFill="1" applyAlignment="1">
      <alignment horizontal="centerContinuous"/>
    </xf>
    <xf numFmtId="0" fontId="28" fillId="6" borderId="0" xfId="0" applyFont="1" applyFill="1" applyAlignment="1">
      <alignment horizontal="right"/>
    </xf>
    <xf numFmtId="0" fontId="22" fillId="6" borderId="0" xfId="7" applyFont="1" applyFill="1" applyAlignment="1">
      <alignment horizontal="center" vertical="top" wrapText="1"/>
    </xf>
    <xf numFmtId="0" fontId="47" fillId="6" borderId="0" xfId="6" applyFont="1" applyFill="1">
      <alignment vertical="top"/>
    </xf>
    <xf numFmtId="0" fontId="46" fillId="6" borderId="0" xfId="0" applyFont="1" applyFill="1" applyAlignment="1">
      <alignment vertical="top" wrapText="1"/>
    </xf>
    <xf numFmtId="9" fontId="14" fillId="6" borderId="0" xfId="3" quotePrefix="1" applyFont="1" applyFill="1" applyAlignment="1">
      <alignment horizontal="center" vertical="top"/>
    </xf>
    <xf numFmtId="189" fontId="14" fillId="6" borderId="0" xfId="0" applyNumberFormat="1" applyFont="1" applyFill="1" applyAlignment="1">
      <alignment horizontal="center" vertical="top" wrapText="1"/>
    </xf>
    <xf numFmtId="168" fontId="14" fillId="6" borderId="0" xfId="0" applyNumberFormat="1" applyFont="1" applyFill="1">
      <alignment vertical="top"/>
    </xf>
    <xf numFmtId="170" fontId="14" fillId="6" borderId="0" xfId="0" applyNumberFormat="1" applyFont="1" applyFill="1" applyAlignment="1">
      <alignment horizontal="center" vertical="top"/>
    </xf>
    <xf numFmtId="0" fontId="14" fillId="6" borderId="0" xfId="0" applyFont="1" applyFill="1" applyAlignment="1">
      <alignment horizontal="right" vertical="top" wrapText="1"/>
    </xf>
    <xf numFmtId="0" fontId="48" fillId="0" borderId="0" xfId="0" applyFont="1" applyAlignment="1">
      <alignment vertical="center"/>
    </xf>
    <xf numFmtId="0" fontId="49" fillId="0" borderId="0" xfId="0" applyFont="1" applyAlignment="1">
      <alignment vertical="center"/>
    </xf>
    <xf numFmtId="0" fontId="50" fillId="0" borderId="1" xfId="0" applyFont="1" applyBorder="1" applyAlignment="1">
      <alignment vertical="center"/>
    </xf>
    <xf numFmtId="0" fontId="49" fillId="0" borderId="1" xfId="0" applyFont="1" applyBorder="1" applyAlignment="1">
      <alignment vertical="center"/>
    </xf>
    <xf numFmtId="0" fontId="50" fillId="0" borderId="0" xfId="0" applyFont="1" applyAlignment="1">
      <alignment vertical="center"/>
    </xf>
    <xf numFmtId="0" fontId="50" fillId="6" borderId="0" xfId="0" applyFont="1" applyFill="1" applyAlignment="1">
      <alignment horizontal="center" vertical="center"/>
    </xf>
    <xf numFmtId="0" fontId="50" fillId="6" borderId="0" xfId="0" applyFont="1" applyFill="1" applyAlignment="1">
      <alignment vertical="center"/>
    </xf>
    <xf numFmtId="0" fontId="50" fillId="0" borderId="0" xfId="0" applyFont="1" applyAlignment="1">
      <alignment vertical="center" wrapText="1"/>
    </xf>
    <xf numFmtId="192" fontId="50" fillId="0" borderId="0" xfId="0" applyNumberFormat="1" applyFont="1" applyAlignment="1">
      <alignment horizontal="center" vertical="center"/>
    </xf>
    <xf numFmtId="171" fontId="51" fillId="0" borderId="0" xfId="3" applyNumberFormat="1" applyFont="1" applyAlignment="1">
      <alignment horizontal="center" vertical="center"/>
    </xf>
    <xf numFmtId="0" fontId="49" fillId="0" borderId="0" xfId="0" quotePrefix="1" applyFont="1" applyAlignment="1">
      <alignment vertical="center" wrapText="1"/>
    </xf>
    <xf numFmtId="192" fontId="49" fillId="0" borderId="0" xfId="0" applyNumberFormat="1" applyFont="1" applyAlignment="1">
      <alignment horizontal="center" vertical="center"/>
    </xf>
    <xf numFmtId="171" fontId="52" fillId="0" borderId="0" xfId="3" applyNumberFormat="1" applyFont="1" applyAlignment="1">
      <alignment horizontal="center" vertical="center"/>
    </xf>
    <xf numFmtId="0" fontId="50" fillId="0" borderId="6" xfId="0" quotePrefix="1" applyFont="1" applyBorder="1" applyAlignment="1">
      <alignment vertical="center" wrapText="1"/>
    </xf>
    <xf numFmtId="192" fontId="51" fillId="0" borderId="6" xfId="0" applyNumberFormat="1" applyFont="1" applyBorder="1" applyAlignment="1">
      <alignment horizontal="center" vertical="center"/>
    </xf>
    <xf numFmtId="171" fontId="51" fillId="0" borderId="6" xfId="3" applyNumberFormat="1" applyFont="1" applyBorder="1" applyAlignment="1">
      <alignment horizontal="center" vertical="center"/>
    </xf>
    <xf numFmtId="192" fontId="52" fillId="0" borderId="0" xfId="0" applyNumberFormat="1" applyFont="1" applyAlignment="1">
      <alignment horizontal="center" vertical="center"/>
    </xf>
    <xf numFmtId="192" fontId="50" fillId="0" borderId="6" xfId="0" applyNumberFormat="1" applyFont="1" applyBorder="1" applyAlignment="1">
      <alignment horizontal="center" vertical="center"/>
    </xf>
    <xf numFmtId="192" fontId="49" fillId="0" borderId="0" xfId="3" applyNumberFormat="1" applyFont="1" applyFill="1" applyBorder="1" applyAlignment="1">
      <alignment horizontal="center" vertical="center"/>
    </xf>
    <xf numFmtId="171" fontId="52" fillId="0" borderId="0" xfId="3" applyNumberFormat="1" applyFont="1" applyFill="1" applyBorder="1" applyAlignment="1">
      <alignment horizontal="center" vertical="center"/>
    </xf>
    <xf numFmtId="192" fontId="49" fillId="0" borderId="6" xfId="0" applyNumberFormat="1" applyFont="1" applyBorder="1" applyAlignment="1">
      <alignment horizontal="center" vertical="center"/>
    </xf>
    <xf numFmtId="171" fontId="52" fillId="0" borderId="6" xfId="3" applyNumberFormat="1" applyFont="1" applyBorder="1" applyAlignment="1">
      <alignment horizontal="center" vertical="center"/>
    </xf>
    <xf numFmtId="0" fontId="49" fillId="0" borderId="0" xfId="0" applyFont="1" applyAlignment="1"/>
    <xf numFmtId="0" fontId="49" fillId="0" borderId="6" xfId="0" quotePrefix="1" applyFont="1" applyBorder="1" applyAlignment="1">
      <alignment vertical="center" wrapText="1"/>
    </xf>
    <xf numFmtId="0" fontId="50" fillId="0" borderId="6" xfId="0" quotePrefix="1" applyFont="1" applyBorder="1" applyAlignment="1">
      <alignment horizontal="justify" vertical="center" wrapText="1"/>
    </xf>
    <xf numFmtId="0" fontId="50" fillId="0" borderId="0" xfId="0" quotePrefix="1" applyFont="1" applyAlignment="1">
      <alignment vertical="center" wrapText="1"/>
    </xf>
    <xf numFmtId="170" fontId="50" fillId="0" borderId="0" xfId="0" applyNumberFormat="1" applyFont="1" applyAlignment="1">
      <alignment horizontal="center" vertical="center"/>
    </xf>
    <xf numFmtId="9" fontId="50" fillId="0" borderId="0" xfId="3" applyFont="1" applyFill="1" applyBorder="1" applyAlignment="1">
      <alignment horizontal="center" vertical="center"/>
    </xf>
    <xf numFmtId="0" fontId="49" fillId="0" borderId="0" xfId="0" applyFont="1" applyAlignment="1">
      <alignment vertical="center" wrapText="1"/>
    </xf>
    <xf numFmtId="1" fontId="49" fillId="0" borderId="0" xfId="0" applyNumberFormat="1" applyFont="1" applyAlignment="1">
      <alignment vertical="center"/>
    </xf>
    <xf numFmtId="193" fontId="49" fillId="0" borderId="0" xfId="0" applyNumberFormat="1" applyFont="1" applyAlignment="1">
      <alignment vertical="center"/>
    </xf>
    <xf numFmtId="170" fontId="49" fillId="0" borderId="0" xfId="0" applyNumberFormat="1" applyFont="1" applyAlignment="1">
      <alignment vertical="center"/>
    </xf>
    <xf numFmtId="192" fontId="50" fillId="0" borderId="6" xfId="0" quotePrefix="1" applyNumberFormat="1" applyFont="1" applyBorder="1" applyAlignment="1">
      <alignment horizontal="center" vertical="center"/>
    </xf>
    <xf numFmtId="0" fontId="50" fillId="0" borderId="6" xfId="0" applyFont="1" applyBorder="1" applyAlignment="1">
      <alignment vertical="center" wrapText="1"/>
    </xf>
    <xf numFmtId="0" fontId="53" fillId="0" borderId="0" xfId="0" applyFont="1" applyAlignment="1">
      <alignment vertical="center" wrapText="1"/>
    </xf>
    <xf numFmtId="192" fontId="53" fillId="0" borderId="0" xfId="0" applyNumberFormat="1" applyFont="1" applyAlignment="1">
      <alignment horizontal="center" vertical="center"/>
    </xf>
    <xf numFmtId="170" fontId="50" fillId="0" borderId="0" xfId="0" applyNumberFormat="1" applyFont="1" applyAlignment="1">
      <alignment vertical="center"/>
    </xf>
    <xf numFmtId="194" fontId="49" fillId="0" borderId="0" xfId="0" applyNumberFormat="1" applyFont="1" applyAlignment="1">
      <alignment vertical="center"/>
    </xf>
    <xf numFmtId="172" fontId="49" fillId="0" borderId="0" xfId="0" applyNumberFormat="1" applyFont="1" applyAlignment="1">
      <alignment vertical="center"/>
    </xf>
    <xf numFmtId="0" fontId="49" fillId="0" borderId="0" xfId="0" applyFont="1" applyAlignment="1">
      <alignment horizontal="center" vertical="center"/>
    </xf>
    <xf numFmtId="0" fontId="52" fillId="0" borderId="0" xfId="0" applyFont="1" applyAlignment="1">
      <alignment vertical="center"/>
    </xf>
    <xf numFmtId="3" fontId="49" fillId="0" borderId="0" xfId="0" applyNumberFormat="1" applyFont="1" applyAlignment="1">
      <alignment vertical="center"/>
    </xf>
    <xf numFmtId="0" fontId="49" fillId="0" borderId="15" xfId="0" applyFont="1" applyBorder="1" applyAlignment="1">
      <alignment vertical="center"/>
    </xf>
    <xf numFmtId="173" fontId="49" fillId="0" borderId="0" xfId="0" applyNumberFormat="1" applyFont="1" applyAlignment="1">
      <alignment vertical="center"/>
    </xf>
    <xf numFmtId="192" fontId="49" fillId="0" borderId="0" xfId="0" applyNumberFormat="1" applyFont="1" applyAlignment="1">
      <alignment vertical="center"/>
    </xf>
    <xf numFmtId="192" fontId="52" fillId="0" borderId="0" xfId="0" applyNumberFormat="1" applyFont="1" applyAlignment="1">
      <alignment vertical="center"/>
    </xf>
    <xf numFmtId="0" fontId="54" fillId="0" borderId="0" xfId="0" applyFont="1" applyAlignment="1">
      <alignment vertical="center"/>
    </xf>
    <xf numFmtId="0" fontId="50" fillId="6" borderId="0" xfId="0" applyFont="1" applyFill="1" applyAlignment="1">
      <alignment horizontal="left" vertical="center"/>
    </xf>
    <xf numFmtId="195" fontId="49" fillId="0" borderId="0" xfId="0" applyNumberFormat="1" applyFont="1" applyAlignment="1">
      <alignment horizontal="center" vertical="center"/>
    </xf>
    <xf numFmtId="0" fontId="49" fillId="0" borderId="17" xfId="0" applyFont="1" applyBorder="1" applyAlignment="1">
      <alignment vertical="center" wrapText="1"/>
    </xf>
    <xf numFmtId="192" fontId="49" fillId="0" borderId="17" xfId="0" applyNumberFormat="1" applyFont="1" applyBorder="1" applyAlignment="1">
      <alignment horizontal="center" vertical="center"/>
    </xf>
    <xf numFmtId="9" fontId="49" fillId="0" borderId="0" xfId="3" applyFont="1" applyFill="1" applyBorder="1" applyAlignment="1">
      <alignment horizontal="center" vertical="center"/>
    </xf>
    <xf numFmtId="9" fontId="49" fillId="0" borderId="17" xfId="3" applyFont="1" applyFill="1" applyBorder="1" applyAlignment="1">
      <alignment horizontal="center" vertical="center"/>
    </xf>
    <xf numFmtId="171" fontId="49" fillId="0" borderId="0" xfId="3" applyNumberFormat="1" applyFont="1" applyFill="1" applyBorder="1" applyAlignment="1">
      <alignment horizontal="center" vertical="center"/>
    </xf>
    <xf numFmtId="196" fontId="49" fillId="0" borderId="0" xfId="0" applyNumberFormat="1" applyFont="1" applyAlignment="1">
      <alignment horizontal="center" vertical="center"/>
    </xf>
    <xf numFmtId="171" fontId="49" fillId="0" borderId="17" xfId="3" applyNumberFormat="1" applyFont="1" applyFill="1" applyBorder="1" applyAlignment="1">
      <alignment horizontal="center" vertical="center"/>
    </xf>
    <xf numFmtId="167" fontId="49" fillId="0" borderId="0" xfId="3" applyNumberFormat="1" applyFont="1" applyFill="1" applyBorder="1" applyAlignment="1">
      <alignment horizontal="center" vertical="center"/>
    </xf>
    <xf numFmtId="167" fontId="49" fillId="0" borderId="17" xfId="3" applyNumberFormat="1" applyFont="1" applyFill="1" applyBorder="1" applyAlignment="1">
      <alignment horizontal="center" vertical="center"/>
    </xf>
    <xf numFmtId="0" fontId="49" fillId="0" borderId="0" xfId="0" applyFont="1" applyAlignment="1">
      <alignment horizontal="center" vertical="center" wrapText="1"/>
    </xf>
    <xf numFmtId="0" fontId="49" fillId="0" borderId="0" xfId="0" applyFont="1" applyAlignment="1">
      <alignment horizontal="left" vertical="center" wrapText="1"/>
    </xf>
    <xf numFmtId="0" fontId="50" fillId="0" borderId="6" xfId="0" quotePrefix="1" applyFont="1" applyBorder="1" applyAlignment="1">
      <alignment horizontal="left" vertical="center" wrapText="1"/>
    </xf>
    <xf numFmtId="171" fontId="50" fillId="0" borderId="6" xfId="3" applyNumberFormat="1" applyFont="1" applyFill="1" applyBorder="1" applyAlignment="1">
      <alignment horizontal="center" vertical="center"/>
    </xf>
    <xf numFmtId="0" fontId="49" fillId="0" borderId="0" xfId="0" quotePrefix="1" applyFont="1" applyAlignment="1">
      <alignment horizontal="left" vertical="center" wrapText="1"/>
    </xf>
    <xf numFmtId="0" fontId="55" fillId="0" borderId="0" xfId="0" applyFont="1" applyAlignment="1">
      <alignment vertical="center"/>
    </xf>
    <xf numFmtId="0" fontId="56" fillId="0" borderId="0" xfId="0" applyFont="1" applyAlignment="1">
      <alignment vertical="center"/>
    </xf>
    <xf numFmtId="0" fontId="56" fillId="0" borderId="16" xfId="0" applyFont="1" applyBorder="1" applyAlignment="1">
      <alignment horizontal="center" vertical="center"/>
    </xf>
    <xf numFmtId="0" fontId="50" fillId="0" borderId="17" xfId="0" quotePrefix="1" applyFont="1" applyBorder="1" applyAlignment="1">
      <alignment vertical="center" wrapText="1"/>
    </xf>
    <xf numFmtId="192" fontId="50" fillId="0" borderId="17" xfId="0" applyNumberFormat="1" applyFont="1" applyBorder="1" applyAlignment="1">
      <alignment horizontal="center" vertical="center"/>
    </xf>
    <xf numFmtId="170" fontId="49" fillId="0" borderId="0" xfId="0" applyNumberFormat="1" applyFont="1" applyAlignment="1">
      <alignment horizontal="center" vertical="center"/>
    </xf>
    <xf numFmtId="3" fontId="28" fillId="6" borderId="0" xfId="0" applyNumberFormat="1" applyFont="1" applyFill="1" applyAlignment="1"/>
    <xf numFmtId="3" fontId="28" fillId="0" borderId="0" xfId="0" applyNumberFormat="1" applyFont="1" applyAlignment="1"/>
    <xf numFmtId="3" fontId="28" fillId="0" borderId="19" xfId="0" applyNumberFormat="1" applyFont="1" applyBorder="1" applyAlignment="1"/>
    <xf numFmtId="0" fontId="15" fillId="6" borderId="0" xfId="0" applyFont="1" applyFill="1" applyAlignment="1">
      <alignment horizontal="center" vertical="top"/>
    </xf>
    <xf numFmtId="0" fontId="57" fillId="0" borderId="0" xfId="0" applyFont="1" applyAlignment="1">
      <alignment horizontal="justify" vertical="center" wrapText="1"/>
    </xf>
    <xf numFmtId="171" fontId="13" fillId="0" borderId="0" xfId="3" applyNumberFormat="1" applyFont="1" applyBorder="1" applyAlignment="1">
      <alignment horizontal="right" vertical="center"/>
    </xf>
    <xf numFmtId="0" fontId="13" fillId="6" borderId="0" xfId="0" applyFont="1" applyFill="1" applyAlignment="1">
      <alignment vertical="top" wrapText="1"/>
    </xf>
    <xf numFmtId="0" fontId="13" fillId="6" borderId="0" xfId="0" applyFont="1" applyFill="1" applyAlignment="1">
      <alignment horizontal="center" vertical="top" wrapText="1"/>
    </xf>
    <xf numFmtId="164" fontId="13" fillId="0" borderId="0" xfId="0" applyNumberFormat="1" applyFont="1">
      <alignment vertical="top"/>
    </xf>
    <xf numFmtId="1" fontId="29" fillId="0" borderId="0" xfId="0" applyNumberFormat="1" applyFont="1" applyAlignment="1">
      <alignment horizontal="center" vertical="center" wrapText="1"/>
    </xf>
    <xf numFmtId="199" fontId="13" fillId="0" borderId="0" xfId="0" applyNumberFormat="1" applyFont="1">
      <alignment vertical="top"/>
    </xf>
    <xf numFmtId="9" fontId="27" fillId="0" borderId="0" xfId="3" applyFont="1" applyAlignment="1">
      <alignment horizontal="center" vertical="top"/>
    </xf>
    <xf numFmtId="170" fontId="16" fillId="0" borderId="0" xfId="0" applyNumberFormat="1" applyFont="1" applyAlignment="1">
      <alignment vertical="top" wrapText="1"/>
    </xf>
    <xf numFmtId="0" fontId="14" fillId="0" borderId="1" xfId="0" applyFont="1" applyBorder="1" applyAlignment="1">
      <alignment horizontal="right" vertical="top" wrapText="1"/>
    </xf>
    <xf numFmtId="0" fontId="14" fillId="0" borderId="1" xfId="0" quotePrefix="1" applyFont="1" applyBorder="1" applyAlignment="1">
      <alignment horizontal="right" vertical="top" wrapText="1"/>
    </xf>
    <xf numFmtId="0" fontId="13" fillId="0" borderId="1" xfId="0" applyFont="1" applyBorder="1" applyAlignment="1">
      <alignment horizontal="right" vertical="top"/>
    </xf>
    <xf numFmtId="0" fontId="14" fillId="0" borderId="1" xfId="0" quotePrefix="1" applyFont="1" applyBorder="1" applyAlignment="1">
      <alignment horizontal="right" vertical="top"/>
    </xf>
    <xf numFmtId="0" fontId="13" fillId="5" borderId="0" xfId="0" applyFont="1" applyFill="1">
      <alignment vertical="top"/>
    </xf>
    <xf numFmtId="3" fontId="14" fillId="5" borderId="0" xfId="0" applyNumberFormat="1" applyFont="1" applyFill="1">
      <alignment vertical="top"/>
    </xf>
    <xf numFmtId="3" fontId="13" fillId="5" borderId="0" xfId="0" applyNumberFormat="1" applyFont="1" applyFill="1">
      <alignment vertical="top"/>
    </xf>
    <xf numFmtId="3" fontId="13" fillId="5" borderId="0" xfId="0" applyNumberFormat="1" applyFont="1" applyFill="1" applyAlignment="1">
      <alignment horizontal="right" vertical="top"/>
    </xf>
    <xf numFmtId="9" fontId="21" fillId="0" borderId="0" xfId="0" applyNumberFormat="1" applyFont="1">
      <alignment vertical="top"/>
    </xf>
    <xf numFmtId="167" fontId="13" fillId="0" borderId="0" xfId="0" applyNumberFormat="1" applyFont="1" applyAlignment="1">
      <alignment horizontal="center" vertical="center"/>
    </xf>
    <xf numFmtId="0" fontId="13" fillId="0" borderId="0" xfId="0" applyFont="1" applyAlignment="1">
      <alignment horizontal="center" vertical="center"/>
    </xf>
    <xf numFmtId="170" fontId="14" fillId="6" borderId="0" xfId="0" applyNumberFormat="1" applyFont="1" applyFill="1">
      <alignment vertical="top"/>
    </xf>
    <xf numFmtId="167" fontId="14" fillId="0" borderId="1" xfId="0" applyNumberFormat="1" applyFont="1" applyBorder="1">
      <alignment vertical="top"/>
    </xf>
    <xf numFmtId="200" fontId="13" fillId="0" borderId="0" xfId="0" applyNumberFormat="1" applyFont="1">
      <alignment vertical="top"/>
    </xf>
    <xf numFmtId="182" fontId="13" fillId="0" borderId="0" xfId="0" applyNumberFormat="1" applyFont="1">
      <alignment vertical="top"/>
    </xf>
    <xf numFmtId="0" fontId="15" fillId="6" borderId="0" xfId="0" applyFont="1" applyFill="1">
      <alignment vertical="top"/>
    </xf>
    <xf numFmtId="1" fontId="14" fillId="6" borderId="0" xfId="0" applyNumberFormat="1" applyFont="1" applyFill="1" applyAlignment="1">
      <alignment horizontal="center" vertical="top"/>
    </xf>
    <xf numFmtId="181" fontId="13" fillId="0" borderId="0" xfId="2" applyNumberFormat="1" applyFont="1" applyAlignment="1">
      <alignment vertical="top"/>
    </xf>
    <xf numFmtId="181" fontId="60" fillId="0" borderId="2" xfId="2" applyNumberFormat="1" applyFont="1" applyBorder="1" applyAlignment="1">
      <alignment vertical="top"/>
    </xf>
    <xf numFmtId="4" fontId="60" fillId="0" borderId="0" xfId="2" applyNumberFormat="1" applyFont="1" applyAlignment="1">
      <alignment vertical="top"/>
    </xf>
    <xf numFmtId="181" fontId="60" fillId="0" borderId="0" xfId="2" applyNumberFormat="1" applyFont="1" applyAlignment="1">
      <alignment vertical="top"/>
    </xf>
    <xf numFmtId="0" fontId="60" fillId="0" borderId="0" xfId="0" applyFont="1">
      <alignment vertical="top"/>
    </xf>
    <xf numFmtId="9" fontId="60" fillId="0" borderId="0" xfId="0" applyNumberFormat="1" applyFont="1">
      <alignment vertical="top"/>
    </xf>
    <xf numFmtId="9" fontId="13" fillId="4" borderId="0" xfId="3" applyFont="1" applyFill="1" applyAlignment="1">
      <alignment vertical="top"/>
    </xf>
    <xf numFmtId="10" fontId="60" fillId="0" borderId="0" xfId="0" applyNumberFormat="1" applyFont="1">
      <alignment vertical="top"/>
    </xf>
    <xf numFmtId="3" fontId="60" fillId="0" borderId="0" xfId="0" applyNumberFormat="1" applyFont="1">
      <alignment vertical="top"/>
    </xf>
    <xf numFmtId="3" fontId="13" fillId="4" borderId="0" xfId="0" applyNumberFormat="1" applyFont="1" applyFill="1">
      <alignment vertical="top"/>
    </xf>
    <xf numFmtId="167" fontId="13" fillId="4" borderId="0" xfId="0" applyNumberFormat="1" applyFont="1" applyFill="1">
      <alignment vertical="top"/>
    </xf>
    <xf numFmtId="1" fontId="13" fillId="4" borderId="0" xfId="0" applyNumberFormat="1" applyFont="1" applyFill="1">
      <alignment vertical="top"/>
    </xf>
    <xf numFmtId="181" fontId="60" fillId="0" borderId="0" xfId="0" applyNumberFormat="1" applyFont="1">
      <alignment vertical="top"/>
    </xf>
    <xf numFmtId="4" fontId="13" fillId="4" borderId="0" xfId="2" applyNumberFormat="1" applyFont="1" applyFill="1" applyAlignment="1">
      <alignment vertical="top"/>
    </xf>
    <xf numFmtId="181" fontId="13" fillId="4" borderId="0" xfId="2" applyNumberFormat="1" applyFont="1" applyFill="1" applyAlignment="1">
      <alignment vertical="top"/>
    </xf>
    <xf numFmtId="181" fontId="13" fillId="4" borderId="2" xfId="2" applyNumberFormat="1" applyFont="1" applyFill="1" applyBorder="1" applyAlignment="1">
      <alignment vertical="top"/>
    </xf>
    <xf numFmtId="10" fontId="13" fillId="4" borderId="0" xfId="3" applyNumberFormat="1" applyFont="1" applyFill="1" applyAlignment="1">
      <alignment vertical="top"/>
    </xf>
    <xf numFmtId="0" fontId="13" fillId="0" borderId="0" xfId="0" applyFont="1" applyAlignment="1">
      <alignment horizontal="left" vertical="top" wrapText="1"/>
    </xf>
    <xf numFmtId="0" fontId="13" fillId="0" borderId="0" xfId="0" applyFont="1" applyAlignment="1">
      <alignment horizontal="left" vertical="top"/>
    </xf>
    <xf numFmtId="167" fontId="13" fillId="0" borderId="0" xfId="0" applyNumberFormat="1" applyFont="1" applyAlignment="1">
      <alignment horizontal="center" vertical="center"/>
    </xf>
    <xf numFmtId="9" fontId="27" fillId="0" borderId="0" xfId="3" applyFont="1" applyAlignment="1">
      <alignment horizontal="center" vertical="top"/>
    </xf>
    <xf numFmtId="170" fontId="13" fillId="0" borderId="0" xfId="2" applyNumberFormat="1" applyFont="1" applyAlignment="1">
      <alignment horizontal="right" vertical="top"/>
    </xf>
    <xf numFmtId="0" fontId="14" fillId="0" borderId="0" xfId="0" applyFont="1" applyAlignment="1">
      <alignment horizontal="center" vertical="top"/>
    </xf>
    <xf numFmtId="168" fontId="13" fillId="0" borderId="0" xfId="0" applyNumberFormat="1" applyFont="1" applyAlignment="1">
      <alignment horizontal="center" vertical="top"/>
    </xf>
    <xf numFmtId="9" fontId="13" fillId="0" borderId="0" xfId="0" applyNumberFormat="1" applyFont="1" applyAlignment="1">
      <alignment horizontal="center" vertical="top"/>
    </xf>
    <xf numFmtId="0" fontId="13" fillId="0" borderId="0" xfId="0" applyFont="1" applyAlignment="1">
      <alignment horizontal="center" vertical="top"/>
    </xf>
    <xf numFmtId="171" fontId="16" fillId="0" borderId="0" xfId="0" applyNumberFormat="1" applyFont="1" applyAlignment="1">
      <alignment horizontal="center" vertical="top"/>
    </xf>
    <xf numFmtId="0" fontId="14" fillId="6" borderId="0" xfId="0" applyFont="1" applyFill="1" applyAlignment="1">
      <alignment horizontal="center" vertical="top"/>
    </xf>
    <xf numFmtId="0" fontId="11" fillId="0" borderId="0" xfId="0" applyFont="1" applyAlignment="1">
      <alignment horizontal="left"/>
    </xf>
    <xf numFmtId="0" fontId="17" fillId="0" borderId="0" xfId="0" applyFont="1" applyAlignment="1">
      <alignment horizontal="left"/>
    </xf>
    <xf numFmtId="0" fontId="17" fillId="0" borderId="0" xfId="0" applyFont="1" applyAlignment="1">
      <alignment horizontal="center"/>
    </xf>
  </cellXfs>
  <cellStyles count="12">
    <cellStyle name="Comma 2" xfId="10" xr:uid="{BB487DAA-FC91-4EA1-A50F-6FD98BC38195}"/>
    <cellStyle name="Données" xfId="1" xr:uid="{00000000-0005-0000-0000-000000000000}"/>
    <cellStyle name="Milliers" xfId="2" builtinId="3"/>
    <cellStyle name="Normal" xfId="0" builtinId="0"/>
    <cellStyle name="Normal 2" xfId="8" xr:uid="{02697D77-AD59-48BF-B704-D4C534459C1B}"/>
    <cellStyle name="OneDecimal" xfId="11" xr:uid="{6838F1D2-F0FC-4EC6-8137-D42252AC5910}"/>
    <cellStyle name="Percent 2" xfId="9" xr:uid="{E5E181F2-7115-4B7F-8475-9C68A99FDFFD}"/>
    <cellStyle name="Pourcentage" xfId="3" builtinId="5"/>
    <cellStyle name="Résultat" xfId="4" xr:uid="{00000000-0005-0000-0000-000004000000}"/>
    <cellStyle name="Titre 1" xfId="5" xr:uid="{00000000-0005-0000-0000-000005000000}"/>
    <cellStyle name="Titre 2" xfId="6" xr:uid="{00000000-0005-0000-0000-000006000000}"/>
    <cellStyle name="TitreLigne" xfId="7"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sng" strike="noStrike" baseline="0">
                <a:solidFill>
                  <a:srgbClr val="000000"/>
                </a:solidFill>
                <a:latin typeface="Arial"/>
                <a:ea typeface="Arial"/>
                <a:cs typeface="Arial"/>
              </a:defRPr>
            </a:pPr>
            <a:r>
              <a:rPr lang="fr-FR"/>
              <a:t>VAN en fonction du taux d'actualisation</a:t>
            </a:r>
          </a:p>
        </c:rich>
      </c:tx>
      <c:layout>
        <c:manualLayout>
          <c:xMode val="edge"/>
          <c:yMode val="edge"/>
          <c:x val="0.27292142737476999"/>
          <c:y val="3.7068890373943099E-2"/>
        </c:manualLayout>
      </c:layout>
      <c:overlay val="0"/>
      <c:spPr>
        <a:noFill/>
        <a:ln w="25400">
          <a:noFill/>
        </a:ln>
      </c:spPr>
    </c:title>
    <c:autoTitleDeleted val="0"/>
    <c:plotArea>
      <c:layout>
        <c:manualLayout>
          <c:layoutTarget val="inner"/>
          <c:xMode val="edge"/>
          <c:yMode val="edge"/>
          <c:x val="0.113006494632112"/>
          <c:y val="0.166809732196713"/>
          <c:w val="0.83795381868716801"/>
          <c:h val="0.69689399228848903"/>
        </c:manualLayout>
      </c:layout>
      <c:scatterChart>
        <c:scatterStyle val="smoothMarker"/>
        <c:varyColors val="0"/>
        <c:ser>
          <c:idx val="0"/>
          <c:order val="0"/>
          <c:tx>
            <c:strRef>
              <c:f>' Chapitre 17'!$B$98</c:f>
              <c:strCache>
                <c:ptCount val="1"/>
                <c:pt idx="0">
                  <c:v>VAN</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17'!$A$99:$A$103</c:f>
              <c:numCache>
                <c:formatCode>0%</c:formatCode>
                <c:ptCount val="5"/>
                <c:pt idx="0">
                  <c:v>0.05</c:v>
                </c:pt>
                <c:pt idx="1">
                  <c:v>0.1</c:v>
                </c:pt>
                <c:pt idx="2">
                  <c:v>0.15</c:v>
                </c:pt>
                <c:pt idx="3">
                  <c:v>0.2</c:v>
                </c:pt>
                <c:pt idx="4">
                  <c:v>0.25</c:v>
                </c:pt>
              </c:numCache>
            </c:numRef>
          </c:xVal>
          <c:yVal>
            <c:numRef>
              <c:f>' Chapitre 17'!$B$99:$B$103</c:f>
              <c:numCache>
                <c:formatCode>0</c:formatCode>
                <c:ptCount val="5"/>
                <c:pt idx="0">
                  <c:v>401.8430011892458</c:v>
                </c:pt>
                <c:pt idx="1">
                  <c:v>240.2360308225343</c:v>
                </c:pt>
                <c:pt idx="2">
                  <c:v>108.6465294034208</c:v>
                </c:pt>
                <c:pt idx="3">
                  <c:v>0.18364197530866022</c:v>
                </c:pt>
                <c:pt idx="4">
                  <c:v>-90.216000000000008</c:v>
                </c:pt>
              </c:numCache>
            </c:numRef>
          </c:yVal>
          <c:smooth val="1"/>
          <c:extLst>
            <c:ext xmlns:c16="http://schemas.microsoft.com/office/drawing/2014/chart" uri="{C3380CC4-5D6E-409C-BE32-E72D297353CC}">
              <c16:uniqueId val="{00000000-B4A1-41DE-BD42-0815A57EAA7C}"/>
            </c:ext>
          </c:extLst>
        </c:ser>
        <c:dLbls>
          <c:showLegendKey val="0"/>
          <c:showVal val="0"/>
          <c:showCatName val="0"/>
          <c:showSerName val="0"/>
          <c:showPercent val="0"/>
          <c:showBubbleSize val="0"/>
        </c:dLbls>
        <c:axId val="-2131017552"/>
        <c:axId val="-2089499936"/>
      </c:scatterChart>
      <c:valAx>
        <c:axId val="-2131017552"/>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fr-FR"/>
                  <a:t>Taux</a:t>
                </a:r>
              </a:p>
            </c:rich>
          </c:tx>
          <c:layout>
            <c:manualLayout>
              <c:xMode val="edge"/>
              <c:yMode val="edge"/>
              <c:x val="0.49253766683419897"/>
              <c:y val="0.8970655974276280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089499936"/>
        <c:crosses val="autoZero"/>
        <c:crossBetween val="midCat"/>
      </c:valAx>
      <c:valAx>
        <c:axId val="-2089499936"/>
        <c:scaling>
          <c:orientation val="minMax"/>
        </c:scaling>
        <c:delete val="0"/>
        <c:axPos val="l"/>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fr-FR"/>
                  <a:t>VAN</a:t>
                </a:r>
              </a:p>
            </c:rich>
          </c:tx>
          <c:layout>
            <c:manualLayout>
              <c:xMode val="edge"/>
              <c:yMode val="edge"/>
              <c:x val="1.06610822583347E-2"/>
              <c:y val="0.4559467704913269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1310175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24'!#REF!</c:f>
              <c:numCache>
                <c:formatCode>General</c:formatCode>
                <c:ptCount val="1"/>
                <c:pt idx="0">
                  <c:v>0</c:v>
                </c:pt>
              </c:numCache>
            </c:numRef>
          </c:xVal>
          <c:yVal>
            <c:numRef>
              <c:f>'Chapitre 24'!#REF!</c:f>
              <c:numCache>
                <c:formatCode>General</c:formatCode>
                <c:ptCount val="1"/>
                <c:pt idx="0">
                  <c:v>0</c:v>
                </c:pt>
              </c:numCache>
            </c:numRef>
          </c:yVal>
          <c:smooth val="1"/>
          <c:extLst>
            <c:ext xmlns:c16="http://schemas.microsoft.com/office/drawing/2014/chart" uri="{C3380CC4-5D6E-409C-BE32-E72D297353CC}">
              <c16:uniqueId val="{00000000-54CD-4C12-8CEA-75DBE7D3D9B5}"/>
            </c:ext>
          </c:extLst>
        </c:ser>
        <c:dLbls>
          <c:showLegendKey val="0"/>
          <c:showVal val="0"/>
          <c:showCatName val="0"/>
          <c:showSerName val="0"/>
          <c:showPercent val="0"/>
          <c:showBubbleSize val="0"/>
        </c:dLbls>
        <c:axId val="-2093066896"/>
        <c:axId val="-2097077600"/>
      </c:scatterChart>
      <c:valAx>
        <c:axId val="-2093066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077600"/>
        <c:crosses val="autoZero"/>
        <c:crossBetween val="midCat"/>
      </c:valAx>
      <c:valAx>
        <c:axId val="-20970776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30668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24'!#REF!</c:f>
              <c:numCache>
                <c:formatCode>General</c:formatCode>
                <c:ptCount val="1"/>
                <c:pt idx="0">
                  <c:v>0</c:v>
                </c:pt>
              </c:numCache>
            </c:numRef>
          </c:xVal>
          <c:yVal>
            <c:numRef>
              <c:f>'Chapitre 24'!#REF!</c:f>
              <c:numCache>
                <c:formatCode>General</c:formatCode>
                <c:ptCount val="1"/>
                <c:pt idx="0">
                  <c:v>0</c:v>
                </c:pt>
              </c:numCache>
            </c:numRef>
          </c:yVal>
          <c:smooth val="1"/>
          <c:extLst>
            <c:ext xmlns:c16="http://schemas.microsoft.com/office/drawing/2014/chart" uri="{C3380CC4-5D6E-409C-BE32-E72D297353CC}">
              <c16:uniqueId val="{00000000-9107-4012-A211-E6B65D2B55B0}"/>
            </c:ext>
          </c:extLst>
        </c:ser>
        <c:dLbls>
          <c:showLegendKey val="0"/>
          <c:showVal val="0"/>
          <c:showCatName val="0"/>
          <c:showSerName val="0"/>
          <c:showPercent val="0"/>
          <c:showBubbleSize val="0"/>
        </c:dLbls>
        <c:axId val="-2072579136"/>
        <c:axId val="-2114066688"/>
      </c:scatterChart>
      <c:valAx>
        <c:axId val="-2072579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4066688"/>
        <c:crosses val="autoZero"/>
        <c:crossBetween val="midCat"/>
      </c:valAx>
      <c:valAx>
        <c:axId val="-21140666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7257913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26'!#REF!</c:f>
              <c:numCache>
                <c:formatCode>General</c:formatCode>
                <c:ptCount val="1"/>
                <c:pt idx="0">
                  <c:v>0</c:v>
                </c:pt>
              </c:numCache>
            </c:numRef>
          </c:xVal>
          <c:yVal>
            <c:numRef>
              <c:f>'Chapitre 26'!#REF!</c:f>
              <c:numCache>
                <c:formatCode>General</c:formatCode>
                <c:ptCount val="1"/>
                <c:pt idx="0">
                  <c:v>0</c:v>
                </c:pt>
              </c:numCache>
            </c:numRef>
          </c:yVal>
          <c:smooth val="1"/>
          <c:extLst>
            <c:ext xmlns:c16="http://schemas.microsoft.com/office/drawing/2014/chart" uri="{C3380CC4-5D6E-409C-BE32-E72D297353CC}">
              <c16:uniqueId val="{00000000-698E-4D11-95E0-F54DF668AAAE}"/>
            </c:ext>
          </c:extLst>
        </c:ser>
        <c:dLbls>
          <c:showLegendKey val="0"/>
          <c:showVal val="0"/>
          <c:showCatName val="0"/>
          <c:showSerName val="0"/>
          <c:showPercent val="0"/>
          <c:showBubbleSize val="0"/>
        </c:dLbls>
        <c:axId val="-2075023152"/>
        <c:axId val="-2074735168"/>
      </c:scatterChart>
      <c:valAx>
        <c:axId val="-2075023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74735168"/>
        <c:crosses val="autoZero"/>
        <c:crossBetween val="midCat"/>
      </c:valAx>
      <c:valAx>
        <c:axId val="-20747351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750231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26'!#REF!</c:f>
              <c:numCache>
                <c:formatCode>General</c:formatCode>
                <c:ptCount val="1"/>
                <c:pt idx="0">
                  <c:v>0</c:v>
                </c:pt>
              </c:numCache>
            </c:numRef>
          </c:xVal>
          <c:yVal>
            <c:numRef>
              <c:f>'Chapitre 26'!#REF!</c:f>
              <c:numCache>
                <c:formatCode>General</c:formatCode>
                <c:ptCount val="1"/>
                <c:pt idx="0">
                  <c:v>0</c:v>
                </c:pt>
              </c:numCache>
            </c:numRef>
          </c:yVal>
          <c:smooth val="1"/>
          <c:extLst>
            <c:ext xmlns:c16="http://schemas.microsoft.com/office/drawing/2014/chart" uri="{C3380CC4-5D6E-409C-BE32-E72D297353CC}">
              <c16:uniqueId val="{00000000-044B-4B23-B6C5-918F3D9EA5DE}"/>
            </c:ext>
          </c:extLst>
        </c:ser>
        <c:dLbls>
          <c:showLegendKey val="0"/>
          <c:showVal val="0"/>
          <c:showCatName val="0"/>
          <c:showSerName val="0"/>
          <c:showPercent val="0"/>
          <c:showBubbleSize val="0"/>
        </c:dLbls>
        <c:axId val="-2131575568"/>
        <c:axId val="-2093055920"/>
      </c:scatterChart>
      <c:valAx>
        <c:axId val="-2131575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3055920"/>
        <c:crosses val="autoZero"/>
        <c:crossBetween val="midCat"/>
      </c:valAx>
      <c:valAx>
        <c:axId val="-20930559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57556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27'!#REF!</c:f>
              <c:numCache>
                <c:formatCode>General</c:formatCode>
                <c:ptCount val="1"/>
                <c:pt idx="0">
                  <c:v>0</c:v>
                </c:pt>
              </c:numCache>
            </c:numRef>
          </c:xVal>
          <c:yVal>
            <c:numRef>
              <c:f>'Chapitre 27'!#REF!</c:f>
              <c:numCache>
                <c:formatCode>General</c:formatCode>
                <c:ptCount val="1"/>
                <c:pt idx="0">
                  <c:v>0</c:v>
                </c:pt>
              </c:numCache>
            </c:numRef>
          </c:yVal>
          <c:smooth val="1"/>
          <c:extLst>
            <c:ext xmlns:c16="http://schemas.microsoft.com/office/drawing/2014/chart" uri="{C3380CC4-5D6E-409C-BE32-E72D297353CC}">
              <c16:uniqueId val="{00000000-1C89-4B61-B6D8-CD011AC6F1CD}"/>
            </c:ext>
          </c:extLst>
        </c:ser>
        <c:dLbls>
          <c:showLegendKey val="0"/>
          <c:showVal val="0"/>
          <c:showCatName val="0"/>
          <c:showSerName val="0"/>
          <c:showPercent val="0"/>
          <c:showBubbleSize val="0"/>
        </c:dLbls>
        <c:axId val="-2136254544"/>
        <c:axId val="-2136867856"/>
      </c:scatterChart>
      <c:valAx>
        <c:axId val="-2136254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6867856"/>
        <c:crosses val="autoZero"/>
        <c:crossBetween val="midCat"/>
      </c:valAx>
      <c:valAx>
        <c:axId val="-21368678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625454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27'!#REF!</c:f>
              <c:numCache>
                <c:formatCode>General</c:formatCode>
                <c:ptCount val="1"/>
                <c:pt idx="0">
                  <c:v>0</c:v>
                </c:pt>
              </c:numCache>
            </c:numRef>
          </c:xVal>
          <c:yVal>
            <c:numRef>
              <c:f>'Chapitre 27'!#REF!</c:f>
              <c:numCache>
                <c:formatCode>General</c:formatCode>
                <c:ptCount val="1"/>
                <c:pt idx="0">
                  <c:v>0</c:v>
                </c:pt>
              </c:numCache>
            </c:numRef>
          </c:yVal>
          <c:smooth val="1"/>
          <c:extLst>
            <c:ext xmlns:c16="http://schemas.microsoft.com/office/drawing/2014/chart" uri="{C3380CC4-5D6E-409C-BE32-E72D297353CC}">
              <c16:uniqueId val="{00000000-A45A-4F03-86C0-B1F3BAA086FA}"/>
            </c:ext>
          </c:extLst>
        </c:ser>
        <c:dLbls>
          <c:showLegendKey val="0"/>
          <c:showVal val="0"/>
          <c:showCatName val="0"/>
          <c:showSerName val="0"/>
          <c:showPercent val="0"/>
          <c:showBubbleSize val="0"/>
        </c:dLbls>
        <c:axId val="-2133535664"/>
        <c:axId val="-2080209872"/>
      </c:scatterChart>
      <c:valAx>
        <c:axId val="-2133535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80209872"/>
        <c:crosses val="autoZero"/>
        <c:crossBetween val="midCat"/>
      </c:valAx>
      <c:valAx>
        <c:axId val="-20802098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35356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28'!#REF!</c:f>
              <c:numCache>
                <c:formatCode>General</c:formatCode>
                <c:ptCount val="1"/>
                <c:pt idx="0">
                  <c:v>0</c:v>
                </c:pt>
              </c:numCache>
            </c:numRef>
          </c:xVal>
          <c:yVal>
            <c:numRef>
              <c:f>'Chapitre 28'!#REF!</c:f>
              <c:numCache>
                <c:formatCode>General</c:formatCode>
                <c:ptCount val="1"/>
                <c:pt idx="0">
                  <c:v>0</c:v>
                </c:pt>
              </c:numCache>
            </c:numRef>
          </c:yVal>
          <c:smooth val="1"/>
          <c:extLst>
            <c:ext xmlns:c16="http://schemas.microsoft.com/office/drawing/2014/chart" uri="{C3380CC4-5D6E-409C-BE32-E72D297353CC}">
              <c16:uniqueId val="{00000000-E3BA-402D-A46A-1239A9A2D53C}"/>
            </c:ext>
          </c:extLst>
        </c:ser>
        <c:dLbls>
          <c:showLegendKey val="0"/>
          <c:showVal val="0"/>
          <c:showCatName val="0"/>
          <c:showSerName val="0"/>
          <c:showPercent val="0"/>
          <c:showBubbleSize val="0"/>
        </c:dLbls>
        <c:axId val="-2131062624"/>
        <c:axId val="-2131444736"/>
      </c:scatterChart>
      <c:valAx>
        <c:axId val="-2131062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444736"/>
        <c:crosses val="autoZero"/>
        <c:crossBetween val="midCat"/>
      </c:valAx>
      <c:valAx>
        <c:axId val="-21314447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06262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28'!#REF!</c:f>
              <c:numCache>
                <c:formatCode>General</c:formatCode>
                <c:ptCount val="1"/>
                <c:pt idx="0">
                  <c:v>0</c:v>
                </c:pt>
              </c:numCache>
            </c:numRef>
          </c:xVal>
          <c:yVal>
            <c:numRef>
              <c:f>'Chapitre 28'!#REF!</c:f>
              <c:numCache>
                <c:formatCode>General</c:formatCode>
                <c:ptCount val="1"/>
                <c:pt idx="0">
                  <c:v>0</c:v>
                </c:pt>
              </c:numCache>
            </c:numRef>
          </c:yVal>
          <c:smooth val="1"/>
          <c:extLst>
            <c:ext xmlns:c16="http://schemas.microsoft.com/office/drawing/2014/chart" uri="{C3380CC4-5D6E-409C-BE32-E72D297353CC}">
              <c16:uniqueId val="{00000000-9115-4BE0-B68E-3256CA775818}"/>
            </c:ext>
          </c:extLst>
        </c:ser>
        <c:dLbls>
          <c:showLegendKey val="0"/>
          <c:showVal val="0"/>
          <c:showCatName val="0"/>
          <c:showSerName val="0"/>
          <c:showPercent val="0"/>
          <c:showBubbleSize val="0"/>
        </c:dLbls>
        <c:axId val="-2136239152"/>
        <c:axId val="-2091131472"/>
      </c:scatterChart>
      <c:valAx>
        <c:axId val="-2136239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1131472"/>
        <c:crosses val="autoZero"/>
        <c:crossBetween val="midCat"/>
      </c:valAx>
      <c:valAx>
        <c:axId val="-20911314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62391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29'!#REF!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29'!#REF!</c:f>
              <c:numCache>
                <c:formatCode>General</c:formatCode>
                <c:ptCount val="1"/>
                <c:pt idx="0">
                  <c:v>1</c:v>
                </c:pt>
              </c:numCache>
            </c:numRef>
          </c:xVal>
          <c:yVal>
            <c:numRef>
              <c:f>' Chapitre 29'!#REF!</c:f>
              <c:numCache>
                <c:formatCode>General</c:formatCode>
                <c:ptCount val="1"/>
                <c:pt idx="0">
                  <c:v>1</c:v>
                </c:pt>
              </c:numCache>
            </c:numRef>
          </c:yVal>
          <c:smooth val="1"/>
          <c:extLst>
            <c:ext xmlns:c16="http://schemas.microsoft.com/office/drawing/2014/chart" uri="{C3380CC4-5D6E-409C-BE32-E72D297353CC}">
              <c16:uniqueId val="{00000000-F03A-4880-87A5-8054EB024511}"/>
            </c:ext>
          </c:extLst>
        </c:ser>
        <c:dLbls>
          <c:showLegendKey val="0"/>
          <c:showVal val="0"/>
          <c:showCatName val="0"/>
          <c:showSerName val="0"/>
          <c:showPercent val="0"/>
          <c:showBubbleSize val="0"/>
        </c:dLbls>
        <c:axId val="-2116399664"/>
        <c:axId val="-2131253056"/>
      </c:scatterChart>
      <c:valAx>
        <c:axId val="-2116399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253056"/>
        <c:crosses val="autoZero"/>
        <c:crossBetween val="midCat"/>
      </c:valAx>
      <c:valAx>
        <c:axId val="-21312530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63996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29'!#REF!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29'!#REF!</c:f>
              <c:numCache>
                <c:formatCode>General</c:formatCode>
                <c:ptCount val="1"/>
                <c:pt idx="0">
                  <c:v>1</c:v>
                </c:pt>
              </c:numCache>
            </c:numRef>
          </c:xVal>
          <c:yVal>
            <c:numRef>
              <c:f>' Chapitre 29'!#REF!</c:f>
              <c:numCache>
                <c:formatCode>General</c:formatCode>
                <c:ptCount val="1"/>
                <c:pt idx="0">
                  <c:v>1</c:v>
                </c:pt>
              </c:numCache>
            </c:numRef>
          </c:yVal>
          <c:smooth val="1"/>
          <c:extLst>
            <c:ext xmlns:c16="http://schemas.microsoft.com/office/drawing/2014/chart" uri="{C3380CC4-5D6E-409C-BE32-E72D297353CC}">
              <c16:uniqueId val="{00000000-83B0-4237-BD2F-362E7CD4F898}"/>
            </c:ext>
          </c:extLst>
        </c:ser>
        <c:dLbls>
          <c:showLegendKey val="0"/>
          <c:showVal val="0"/>
          <c:showCatName val="0"/>
          <c:showSerName val="0"/>
          <c:showPercent val="0"/>
          <c:showBubbleSize val="0"/>
        </c:dLbls>
        <c:axId val="-2092138816"/>
        <c:axId val="-2092264480"/>
      </c:scatterChart>
      <c:valAx>
        <c:axId val="-2092138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264480"/>
        <c:crosses val="autoZero"/>
        <c:crossBetween val="midCat"/>
      </c:valAx>
      <c:valAx>
        <c:axId val="-20922644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13881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fr-FR"/>
              <a:t>VAN comparées</a:t>
            </a:r>
          </a:p>
        </c:rich>
      </c:tx>
      <c:layout>
        <c:manualLayout>
          <c:xMode val="edge"/>
          <c:yMode val="edge"/>
          <c:x val="0.44257206865878201"/>
          <c:y val="4.7215927277383003E-2"/>
        </c:manualLayout>
      </c:layout>
      <c:overlay val="0"/>
      <c:spPr>
        <a:noFill/>
        <a:ln w="25400">
          <a:noFill/>
        </a:ln>
      </c:spPr>
    </c:title>
    <c:autoTitleDeleted val="0"/>
    <c:plotArea>
      <c:layout>
        <c:manualLayout>
          <c:layoutTarget val="inner"/>
          <c:xMode val="edge"/>
          <c:yMode val="edge"/>
          <c:x val="8.3763658970675697E-2"/>
          <c:y val="0.212472418374238"/>
          <c:w val="0.74762191140991097"/>
          <c:h val="0.64331926674422002"/>
        </c:manualLayout>
      </c:layout>
      <c:scatterChart>
        <c:scatterStyle val="smoothMarker"/>
        <c:varyColors val="0"/>
        <c:ser>
          <c:idx val="0"/>
          <c:order val="0"/>
          <c:tx>
            <c:strRef>
              <c:f>'Chapitre 18'!$A$47</c:f>
              <c:strCache>
                <c:ptCount val="1"/>
                <c:pt idx="0">
                  <c:v>VAN Titre 1</c:v>
                </c:pt>
              </c:strCache>
            </c:strRef>
          </c:tx>
          <c:spPr>
            <a:ln w="12700">
              <a:solidFill>
                <a:srgbClr val="000090"/>
              </a:solidFill>
              <a:prstDash val="solid"/>
            </a:ln>
          </c:spPr>
          <c:marker>
            <c:symbol val="none"/>
          </c:marker>
          <c:xVal>
            <c:numRef>
              <c:f>'Chapitre 18'!$B$46:$N$46</c:f>
              <c:numCache>
                <c:formatCode>0%</c:formatCode>
                <c:ptCount val="13"/>
                <c:pt idx="0">
                  <c:v>0.09</c:v>
                </c:pt>
                <c:pt idx="1">
                  <c:v>9.9999999999999992E-2</c:v>
                </c:pt>
                <c:pt idx="2">
                  <c:v>0.10999999999999999</c:v>
                </c:pt>
                <c:pt idx="3">
                  <c:v>0.11999999999999998</c:v>
                </c:pt>
                <c:pt idx="4">
                  <c:v>0.12999999999999998</c:v>
                </c:pt>
                <c:pt idx="5">
                  <c:v>0.13999999999999999</c:v>
                </c:pt>
                <c:pt idx="6">
                  <c:v>0.15</c:v>
                </c:pt>
                <c:pt idx="7">
                  <c:v>0.16</c:v>
                </c:pt>
                <c:pt idx="8">
                  <c:v>0.17</c:v>
                </c:pt>
                <c:pt idx="9">
                  <c:v>0.18000000000000002</c:v>
                </c:pt>
                <c:pt idx="10">
                  <c:v>0.19000000000000003</c:v>
                </c:pt>
                <c:pt idx="11">
                  <c:v>0.20000000000000004</c:v>
                </c:pt>
                <c:pt idx="12">
                  <c:v>0.21000000000000005</c:v>
                </c:pt>
              </c:numCache>
            </c:numRef>
          </c:xVal>
          <c:yVal>
            <c:numRef>
              <c:f>'Chapitre 18'!$B$47:$N$47</c:f>
              <c:numCache>
                <c:formatCode>0.000</c:formatCode>
                <c:ptCount val="13"/>
                <c:pt idx="0">
                  <c:v>0.48591859023093176</c:v>
                </c:pt>
                <c:pt idx="1">
                  <c:v>0.35526069946222483</c:v>
                </c:pt>
                <c:pt idx="2">
                  <c:v>0.23053785373825852</c:v>
                </c:pt>
                <c:pt idx="3">
                  <c:v>0.11140732352232741</c:v>
                </c:pt>
                <c:pt idx="4">
                  <c:v>-2.4502110241529373E-3</c:v>
                </c:pt>
                <c:pt idx="5">
                  <c:v>-0.11133248345748997</c:v>
                </c:pt>
                <c:pt idx="6">
                  <c:v>-0.21551730607704078</c:v>
                </c:pt>
                <c:pt idx="7">
                  <c:v>-0.315264091671348</c:v>
                </c:pt>
                <c:pt idx="8">
                  <c:v>-0.41081524553058452</c:v>
                </c:pt>
                <c:pt idx="9">
                  <c:v>-0.50239743987974805</c:v>
                </c:pt>
                <c:pt idx="10">
                  <c:v>-0.59022278164974096</c:v>
                </c:pt>
                <c:pt idx="11">
                  <c:v>-0.6744898834019204</c:v>
                </c:pt>
                <c:pt idx="12">
                  <c:v>-0.75538484623979396</c:v>
                </c:pt>
              </c:numCache>
            </c:numRef>
          </c:yVal>
          <c:smooth val="1"/>
          <c:extLst>
            <c:ext xmlns:c16="http://schemas.microsoft.com/office/drawing/2014/chart" uri="{C3380CC4-5D6E-409C-BE32-E72D297353CC}">
              <c16:uniqueId val="{00000000-5DB4-45B0-AB89-FF0D9CADF527}"/>
            </c:ext>
          </c:extLst>
        </c:ser>
        <c:ser>
          <c:idx val="1"/>
          <c:order val="1"/>
          <c:tx>
            <c:strRef>
              <c:f>'Chapitre 18'!$A$48</c:f>
              <c:strCache>
                <c:ptCount val="1"/>
                <c:pt idx="0">
                  <c:v>VAN Titre 2</c:v>
                </c:pt>
              </c:strCache>
            </c:strRef>
          </c:tx>
          <c:spPr>
            <a:ln w="12700">
              <a:solidFill>
                <a:srgbClr val="F20884"/>
              </a:solidFill>
              <a:prstDash val="solid"/>
            </a:ln>
          </c:spPr>
          <c:marker>
            <c:symbol val="none"/>
          </c:marker>
          <c:xVal>
            <c:numRef>
              <c:f>'Chapitre 18'!$B$46:$N$46</c:f>
              <c:numCache>
                <c:formatCode>0%</c:formatCode>
                <c:ptCount val="13"/>
                <c:pt idx="0">
                  <c:v>0.09</c:v>
                </c:pt>
                <c:pt idx="1">
                  <c:v>9.9999999999999992E-2</c:v>
                </c:pt>
                <c:pt idx="2">
                  <c:v>0.10999999999999999</c:v>
                </c:pt>
                <c:pt idx="3">
                  <c:v>0.11999999999999998</c:v>
                </c:pt>
                <c:pt idx="4">
                  <c:v>0.12999999999999998</c:v>
                </c:pt>
                <c:pt idx="5">
                  <c:v>0.13999999999999999</c:v>
                </c:pt>
                <c:pt idx="6">
                  <c:v>0.15</c:v>
                </c:pt>
                <c:pt idx="7">
                  <c:v>0.16</c:v>
                </c:pt>
                <c:pt idx="8">
                  <c:v>0.17</c:v>
                </c:pt>
                <c:pt idx="9">
                  <c:v>0.18000000000000002</c:v>
                </c:pt>
                <c:pt idx="10">
                  <c:v>0.19000000000000003</c:v>
                </c:pt>
                <c:pt idx="11">
                  <c:v>0.20000000000000004</c:v>
                </c:pt>
                <c:pt idx="12">
                  <c:v>0.21000000000000005</c:v>
                </c:pt>
              </c:numCache>
            </c:numRef>
          </c:xVal>
          <c:yVal>
            <c:numRef>
              <c:f>'Chapitre 18'!$B$48:$N$48</c:f>
              <c:numCache>
                <c:formatCode>0.000</c:formatCode>
                <c:ptCount val="13"/>
                <c:pt idx="0">
                  <c:v>0.71403248799112906</c:v>
                </c:pt>
                <c:pt idx="1">
                  <c:v>0.55394874915399361</c:v>
                </c:pt>
                <c:pt idx="2">
                  <c:v>0.40010719354667768</c:v>
                </c:pt>
                <c:pt idx="3">
                  <c:v>0.25218981372159077</c:v>
                </c:pt>
                <c:pt idx="4">
                  <c:v>0.10989811010715289</c:v>
                </c:pt>
                <c:pt idx="5">
                  <c:v>-2.7048291249088918E-2</c:v>
                </c:pt>
                <c:pt idx="6">
                  <c:v>-0.15891291063885038</c:v>
                </c:pt>
                <c:pt idx="7">
                  <c:v>-0.2859435860955416</c:v>
                </c:pt>
                <c:pt idx="8">
                  <c:v>-0.4083735530425634</c:v>
                </c:pt>
                <c:pt idx="9">
                  <c:v>-0.52642244014705097</c:v>
                </c:pt>
                <c:pt idx="10">
                  <c:v>-0.64029718858353479</c:v>
                </c:pt>
                <c:pt idx="11">
                  <c:v>-0.75019290123456728</c:v>
                </c:pt>
                <c:pt idx="12">
                  <c:v>-0.85629362774682316</c:v>
                </c:pt>
              </c:numCache>
            </c:numRef>
          </c:yVal>
          <c:smooth val="1"/>
          <c:extLst>
            <c:ext xmlns:c16="http://schemas.microsoft.com/office/drawing/2014/chart" uri="{C3380CC4-5D6E-409C-BE32-E72D297353CC}">
              <c16:uniqueId val="{00000001-5DB4-45B0-AB89-FF0D9CADF527}"/>
            </c:ext>
          </c:extLst>
        </c:ser>
        <c:dLbls>
          <c:showLegendKey val="0"/>
          <c:showVal val="0"/>
          <c:showCatName val="0"/>
          <c:showSerName val="0"/>
          <c:showPercent val="0"/>
          <c:showBubbleSize val="0"/>
        </c:dLbls>
        <c:axId val="-2076483968"/>
        <c:axId val="-2121097008"/>
      </c:scatterChart>
      <c:valAx>
        <c:axId val="-2076483968"/>
        <c:scaling>
          <c:orientation val="minMax"/>
          <c:min val="0.08"/>
        </c:scaling>
        <c:delete val="0"/>
        <c:axPos val="b"/>
        <c:title>
          <c:tx>
            <c:rich>
              <a:bodyPr/>
              <a:lstStyle/>
              <a:p>
                <a:pPr>
                  <a:defRPr sz="850" b="1" i="0" u="none" strike="noStrike" baseline="0">
                    <a:solidFill>
                      <a:srgbClr val="000000"/>
                    </a:solidFill>
                    <a:latin typeface="Arial"/>
                    <a:ea typeface="Arial"/>
                    <a:cs typeface="Arial"/>
                  </a:defRPr>
                </a:pPr>
                <a:r>
                  <a:rPr lang="fr-FR"/>
                  <a:t>Taux</a:t>
                </a:r>
              </a:p>
            </c:rich>
          </c:tx>
          <c:layout>
            <c:manualLayout>
              <c:xMode val="edge"/>
              <c:yMode val="edge"/>
              <c:x val="0.43882153329160201"/>
              <c:y val="0.84988925164842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121097008"/>
        <c:crosses val="autoZero"/>
        <c:crossBetween val="midCat"/>
      </c:valAx>
      <c:valAx>
        <c:axId val="-2121097008"/>
        <c:scaling>
          <c:orientation val="minMax"/>
        </c:scaling>
        <c:delete val="0"/>
        <c:axPos val="l"/>
        <c:majorGridlines>
          <c:spPr>
            <a:ln w="3175">
              <a:solidFill>
                <a:srgbClr val="000000"/>
              </a:solidFill>
              <a:prstDash val="solid"/>
            </a:ln>
          </c:spPr>
        </c:majorGridlines>
        <c:title>
          <c:tx>
            <c:rich>
              <a:bodyPr/>
              <a:lstStyle/>
              <a:p>
                <a:pPr>
                  <a:defRPr sz="850" b="1" i="0" u="none" strike="noStrike" baseline="0">
                    <a:solidFill>
                      <a:srgbClr val="000000"/>
                    </a:solidFill>
                    <a:latin typeface="Arial"/>
                    <a:ea typeface="Arial"/>
                    <a:cs typeface="Arial"/>
                  </a:defRPr>
                </a:pPr>
                <a:r>
                  <a:rPr lang="fr-FR"/>
                  <a:t>VAN</a:t>
                </a:r>
              </a:p>
            </c:rich>
          </c:tx>
          <c:layout>
            <c:manualLayout>
              <c:xMode val="edge"/>
              <c:yMode val="edge"/>
              <c:x val="6.2511119164497704E-3"/>
              <c:y val="0.45445426029063402"/>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076483968"/>
        <c:crosses val="autoZero"/>
        <c:crossBetween val="midCat"/>
      </c:valAx>
      <c:spPr>
        <a:solidFill>
          <a:srgbClr val="FFFFFF"/>
        </a:solidFill>
        <a:ln w="12700">
          <a:solidFill>
            <a:srgbClr val="808080"/>
          </a:solidFill>
          <a:prstDash val="solid"/>
        </a:ln>
      </c:spPr>
    </c:plotArea>
    <c:legend>
      <c:legendPos val="r"/>
      <c:layout>
        <c:manualLayout>
          <c:xMode val="edge"/>
          <c:yMode val="edge"/>
          <c:x val="0.88653901651330702"/>
          <c:y val="0.515384615384615"/>
          <c:w val="0.103846218854053"/>
          <c:h val="0.2192307692307690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30'!#REF!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30'!#REF!</c:f>
              <c:numCache>
                <c:formatCode>General</c:formatCode>
                <c:ptCount val="1"/>
                <c:pt idx="0">
                  <c:v>1</c:v>
                </c:pt>
              </c:numCache>
            </c:numRef>
          </c:xVal>
          <c:yVal>
            <c:numRef>
              <c:f>' Chapitre 30'!#REF!</c:f>
              <c:numCache>
                <c:formatCode>General</c:formatCode>
                <c:ptCount val="1"/>
                <c:pt idx="0">
                  <c:v>1</c:v>
                </c:pt>
              </c:numCache>
            </c:numRef>
          </c:yVal>
          <c:smooth val="1"/>
          <c:extLst>
            <c:ext xmlns:c16="http://schemas.microsoft.com/office/drawing/2014/chart" uri="{C3380CC4-5D6E-409C-BE32-E72D297353CC}">
              <c16:uniqueId val="{00000000-435A-4CF4-A6C0-CE57281D2B3F}"/>
            </c:ext>
          </c:extLst>
        </c:ser>
        <c:dLbls>
          <c:showLegendKey val="0"/>
          <c:showVal val="0"/>
          <c:showCatName val="0"/>
          <c:showSerName val="0"/>
          <c:showPercent val="0"/>
          <c:showBubbleSize val="0"/>
        </c:dLbls>
        <c:axId val="-2131042128"/>
        <c:axId val="-2131039216"/>
      </c:scatterChart>
      <c:valAx>
        <c:axId val="-2131042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039216"/>
        <c:crosses val="autoZero"/>
        <c:crossBetween val="midCat"/>
      </c:valAx>
      <c:valAx>
        <c:axId val="-21310392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04212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30'!#REF!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30'!#REF!</c:f>
              <c:numCache>
                <c:formatCode>General</c:formatCode>
                <c:ptCount val="1"/>
                <c:pt idx="0">
                  <c:v>1</c:v>
                </c:pt>
              </c:numCache>
            </c:numRef>
          </c:xVal>
          <c:yVal>
            <c:numRef>
              <c:f>' Chapitre 30'!#REF!</c:f>
              <c:numCache>
                <c:formatCode>General</c:formatCode>
                <c:ptCount val="1"/>
                <c:pt idx="0">
                  <c:v>1</c:v>
                </c:pt>
              </c:numCache>
            </c:numRef>
          </c:yVal>
          <c:smooth val="1"/>
          <c:extLst>
            <c:ext xmlns:c16="http://schemas.microsoft.com/office/drawing/2014/chart" uri="{C3380CC4-5D6E-409C-BE32-E72D297353CC}">
              <c16:uniqueId val="{00000000-83F6-4906-A708-DC55C10C8836}"/>
            </c:ext>
          </c:extLst>
        </c:ser>
        <c:dLbls>
          <c:showLegendKey val="0"/>
          <c:showVal val="0"/>
          <c:showCatName val="0"/>
          <c:showSerName val="0"/>
          <c:showPercent val="0"/>
          <c:showBubbleSize val="0"/>
        </c:dLbls>
        <c:axId val="-2131566592"/>
        <c:axId val="-2111891104"/>
      </c:scatterChart>
      <c:valAx>
        <c:axId val="-2131566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891104"/>
        <c:crosses val="autoZero"/>
        <c:crossBetween val="midCat"/>
      </c:valAx>
      <c:valAx>
        <c:axId val="-21118911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5665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31'!#REF!</c:f>
              <c:numCache>
                <c:formatCode>General</c:formatCode>
                <c:ptCount val="1"/>
                <c:pt idx="0">
                  <c:v>0</c:v>
                </c:pt>
              </c:numCache>
            </c:numRef>
          </c:xVal>
          <c:yVal>
            <c:numRef>
              <c:f>'Chapitre 31'!#REF!</c:f>
              <c:numCache>
                <c:formatCode>General</c:formatCode>
                <c:ptCount val="1"/>
                <c:pt idx="0">
                  <c:v>0</c:v>
                </c:pt>
              </c:numCache>
            </c:numRef>
          </c:yVal>
          <c:smooth val="1"/>
          <c:extLst>
            <c:ext xmlns:c16="http://schemas.microsoft.com/office/drawing/2014/chart" uri="{C3380CC4-5D6E-409C-BE32-E72D297353CC}">
              <c16:uniqueId val="{00000000-4370-46A1-9536-21B9F346B54F}"/>
            </c:ext>
          </c:extLst>
        </c:ser>
        <c:dLbls>
          <c:showLegendKey val="0"/>
          <c:showVal val="0"/>
          <c:showCatName val="0"/>
          <c:showSerName val="0"/>
          <c:showPercent val="0"/>
          <c:showBubbleSize val="0"/>
        </c:dLbls>
        <c:axId val="-2106864896"/>
        <c:axId val="-2107252560"/>
      </c:scatterChart>
      <c:valAx>
        <c:axId val="-2106864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252560"/>
        <c:crosses val="autoZero"/>
        <c:crossBetween val="midCat"/>
      </c:valAx>
      <c:valAx>
        <c:axId val="-21072525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8648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31'!#REF!</c:f>
              <c:numCache>
                <c:formatCode>General</c:formatCode>
                <c:ptCount val="1"/>
                <c:pt idx="0">
                  <c:v>0</c:v>
                </c:pt>
              </c:numCache>
            </c:numRef>
          </c:xVal>
          <c:yVal>
            <c:numRef>
              <c:f>'Chapitre 31'!#REF!</c:f>
              <c:numCache>
                <c:formatCode>General</c:formatCode>
                <c:ptCount val="1"/>
                <c:pt idx="0">
                  <c:v>0</c:v>
                </c:pt>
              </c:numCache>
            </c:numRef>
          </c:yVal>
          <c:smooth val="1"/>
          <c:extLst>
            <c:ext xmlns:c16="http://schemas.microsoft.com/office/drawing/2014/chart" uri="{C3380CC4-5D6E-409C-BE32-E72D297353CC}">
              <c16:uniqueId val="{00000000-AC78-4D6B-94C0-AC4288CD1E0F}"/>
            </c:ext>
          </c:extLst>
        </c:ser>
        <c:dLbls>
          <c:showLegendKey val="0"/>
          <c:showVal val="0"/>
          <c:showCatName val="0"/>
          <c:showSerName val="0"/>
          <c:showPercent val="0"/>
          <c:showBubbleSize val="0"/>
        </c:dLbls>
        <c:axId val="-2092892064"/>
        <c:axId val="-2135713088"/>
      </c:scatterChart>
      <c:valAx>
        <c:axId val="-2092892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713088"/>
        <c:crosses val="autoZero"/>
        <c:crossBetween val="midCat"/>
      </c:valAx>
      <c:valAx>
        <c:axId val="-21357130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8920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32'!#REF!</c:f>
              <c:numCache>
                <c:formatCode>General</c:formatCode>
                <c:ptCount val="1"/>
                <c:pt idx="0">
                  <c:v>0</c:v>
                </c:pt>
              </c:numCache>
            </c:numRef>
          </c:xVal>
          <c:yVal>
            <c:numRef>
              <c:f>'Chapitre 32'!#REF!</c:f>
              <c:numCache>
                <c:formatCode>General</c:formatCode>
                <c:ptCount val="1"/>
                <c:pt idx="0">
                  <c:v>0</c:v>
                </c:pt>
              </c:numCache>
            </c:numRef>
          </c:yVal>
          <c:smooth val="1"/>
          <c:extLst>
            <c:ext xmlns:c16="http://schemas.microsoft.com/office/drawing/2014/chart" uri="{C3380CC4-5D6E-409C-BE32-E72D297353CC}">
              <c16:uniqueId val="{00000000-B126-4E9F-939E-7DE99EC4759A}"/>
            </c:ext>
          </c:extLst>
        </c:ser>
        <c:dLbls>
          <c:showLegendKey val="0"/>
          <c:showVal val="0"/>
          <c:showCatName val="0"/>
          <c:showSerName val="0"/>
          <c:showPercent val="0"/>
          <c:showBubbleSize val="0"/>
        </c:dLbls>
        <c:axId val="-2112228304"/>
        <c:axId val="-2092062864"/>
      </c:scatterChart>
      <c:valAx>
        <c:axId val="-2112228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062864"/>
        <c:crosses val="autoZero"/>
        <c:crossBetween val="midCat"/>
      </c:valAx>
      <c:valAx>
        <c:axId val="-20920628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2283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32'!#REF!</c:f>
              <c:numCache>
                <c:formatCode>General</c:formatCode>
                <c:ptCount val="1"/>
                <c:pt idx="0">
                  <c:v>0</c:v>
                </c:pt>
              </c:numCache>
            </c:numRef>
          </c:xVal>
          <c:yVal>
            <c:numRef>
              <c:f>'Chapitre 32'!#REF!</c:f>
              <c:numCache>
                <c:formatCode>General</c:formatCode>
                <c:ptCount val="1"/>
                <c:pt idx="0">
                  <c:v>0</c:v>
                </c:pt>
              </c:numCache>
            </c:numRef>
          </c:yVal>
          <c:smooth val="1"/>
          <c:extLst>
            <c:ext xmlns:c16="http://schemas.microsoft.com/office/drawing/2014/chart" uri="{C3380CC4-5D6E-409C-BE32-E72D297353CC}">
              <c16:uniqueId val="{00000000-59EB-4E9C-9B6A-0CEE7CB3A793}"/>
            </c:ext>
          </c:extLst>
        </c:ser>
        <c:dLbls>
          <c:showLegendKey val="0"/>
          <c:showVal val="0"/>
          <c:showCatName val="0"/>
          <c:showSerName val="0"/>
          <c:showPercent val="0"/>
          <c:showBubbleSize val="0"/>
        </c:dLbls>
        <c:axId val="-2112266560"/>
        <c:axId val="-2112263648"/>
      </c:scatterChart>
      <c:valAx>
        <c:axId val="-211226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263648"/>
        <c:crosses val="autoZero"/>
        <c:crossBetween val="midCat"/>
      </c:valAx>
      <c:valAx>
        <c:axId val="-21122636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26656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fr-FR"/>
              <a:t>Profil de VAN</a:t>
            </a:r>
          </a:p>
        </c:rich>
      </c:tx>
      <c:layout>
        <c:manualLayout>
          <c:xMode val="edge"/>
          <c:yMode val="edge"/>
          <c:x val="0.43602657480314999"/>
          <c:y val="5.0251564708257597E-2"/>
        </c:manualLayout>
      </c:layout>
      <c:overlay val="0"/>
      <c:spPr>
        <a:noFill/>
        <a:ln w="25400">
          <a:noFill/>
        </a:ln>
      </c:spPr>
    </c:title>
    <c:autoTitleDeleted val="0"/>
    <c:plotArea>
      <c:layout>
        <c:manualLayout>
          <c:layoutTarget val="inner"/>
          <c:xMode val="edge"/>
          <c:yMode val="edge"/>
          <c:x val="0.12971402233733101"/>
          <c:y val="0.20100584713053801"/>
          <c:w val="0.81110334449487698"/>
          <c:h val="0.52764034871766297"/>
        </c:manualLayout>
      </c:layout>
      <c:scatterChart>
        <c:scatterStyle val="smoothMarker"/>
        <c:varyColors val="0"/>
        <c:ser>
          <c:idx val="0"/>
          <c:order val="0"/>
          <c:tx>
            <c:strRef>
              <c:f>'Chapitre 30'!$A$97</c:f>
              <c:strCache>
                <c:ptCount val="1"/>
                <c:pt idx="0">
                  <c:v>VAN</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30'!$B$96:$G$96</c:f>
              <c:numCache>
                <c:formatCode>0%</c:formatCode>
                <c:ptCount val="6"/>
                <c:pt idx="0">
                  <c:v>0.1</c:v>
                </c:pt>
                <c:pt idx="1">
                  <c:v>0.11</c:v>
                </c:pt>
                <c:pt idx="2">
                  <c:v>0.12</c:v>
                </c:pt>
                <c:pt idx="3">
                  <c:v>0.13</c:v>
                </c:pt>
                <c:pt idx="4">
                  <c:v>0.14000000000000001</c:v>
                </c:pt>
                <c:pt idx="5">
                  <c:v>0.15000000000000002</c:v>
                </c:pt>
              </c:numCache>
            </c:numRef>
          </c:xVal>
          <c:yVal>
            <c:numRef>
              <c:f>'Chapitre 30'!$B$97:$G$97</c:f>
              <c:numCache>
                <c:formatCode>0.00</c:formatCode>
                <c:ptCount val="6"/>
                <c:pt idx="0">
                  <c:v>-2.8913421140936243E-2</c:v>
                </c:pt>
                <c:pt idx="1">
                  <c:v>2.2153597771758932E-2</c:v>
                </c:pt>
                <c:pt idx="2">
                  <c:v>6.9955394317827227E-2</c:v>
                </c:pt>
                <c:pt idx="3">
                  <c:v>0.11475130480942275</c:v>
                </c:pt>
                <c:pt idx="4">
                  <c:v>0.1567768707412846</c:v>
                </c:pt>
                <c:pt idx="5">
                  <c:v>0.19624627482915372</c:v>
                </c:pt>
              </c:numCache>
            </c:numRef>
          </c:yVal>
          <c:smooth val="1"/>
          <c:extLst>
            <c:ext xmlns:c16="http://schemas.microsoft.com/office/drawing/2014/chart" uri="{C3380CC4-5D6E-409C-BE32-E72D297353CC}">
              <c16:uniqueId val="{00000000-670C-4A4E-867C-B4BE643BF686}"/>
            </c:ext>
          </c:extLst>
        </c:ser>
        <c:dLbls>
          <c:showLegendKey val="0"/>
          <c:showVal val="0"/>
          <c:showCatName val="0"/>
          <c:showSerName val="0"/>
          <c:showPercent val="0"/>
          <c:showBubbleSize val="0"/>
        </c:dLbls>
        <c:axId val="-2131347264"/>
        <c:axId val="-2075805440"/>
      </c:scatterChart>
      <c:valAx>
        <c:axId val="-2131347264"/>
        <c:scaling>
          <c:orientation val="minMax"/>
          <c:min val="0.09"/>
        </c:scaling>
        <c:delete val="0"/>
        <c:axPos val="b"/>
        <c:title>
          <c:tx>
            <c:rich>
              <a:bodyPr/>
              <a:lstStyle/>
              <a:p>
                <a:pPr>
                  <a:defRPr sz="825" b="1" i="0" u="none" strike="noStrike" baseline="0">
                    <a:solidFill>
                      <a:srgbClr val="000000"/>
                    </a:solidFill>
                    <a:latin typeface="Arial"/>
                    <a:ea typeface="Arial"/>
                    <a:cs typeface="Arial"/>
                  </a:defRPr>
                </a:pPr>
                <a:r>
                  <a:rPr lang="fr-FR"/>
                  <a:t>Taux éxigé</a:t>
                </a:r>
              </a:p>
            </c:rich>
          </c:tx>
          <c:layout>
            <c:manualLayout>
              <c:xMode val="edge"/>
              <c:yMode val="edge"/>
              <c:x val="0.486036909448819"/>
              <c:y val="0.7788976377952759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075805440"/>
        <c:crosses val="autoZero"/>
        <c:crossBetween val="midCat"/>
      </c:valAx>
      <c:valAx>
        <c:axId val="-2075805440"/>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fr-FR"/>
                  <a:t>VAN</a:t>
                </a:r>
              </a:p>
            </c:rich>
          </c:tx>
          <c:layout>
            <c:manualLayout>
              <c:xMode val="edge"/>
              <c:yMode val="edge"/>
              <c:x val="4.2196194225721802E-2"/>
              <c:y val="0.396986607443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1313472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624282953641"/>
          <c:y val="0.119369254723187"/>
          <c:w val="0.85269293053874096"/>
          <c:h val="0.65891828607199399"/>
        </c:manualLayout>
      </c:layout>
      <c:scatterChart>
        <c:scatterStyle val="smoothMarker"/>
        <c:varyColors val="0"/>
        <c:ser>
          <c:idx val="6"/>
          <c:order val="0"/>
          <c:tx>
            <c:strRef>
              <c:f>'Chapitre 30'!$A$175</c:f>
              <c:strCache>
                <c:ptCount val="1"/>
                <c:pt idx="0">
                  <c:v>Flux cumulés et actualisés</c:v>
                </c:pt>
              </c:strCache>
            </c:strRef>
          </c:tx>
          <c:spPr>
            <a:ln w="12700">
              <a:solidFill>
                <a:srgbClr val="008080"/>
              </a:solidFill>
              <a:prstDash val="solid"/>
            </a:ln>
          </c:spPr>
          <c:marker>
            <c:symbol val="plus"/>
            <c:size val="5"/>
            <c:spPr>
              <a:noFill/>
              <a:ln>
                <a:solidFill>
                  <a:srgbClr val="008080"/>
                </a:solidFill>
                <a:prstDash val="solid"/>
              </a:ln>
            </c:spPr>
          </c:marker>
          <c:xVal>
            <c:numRef>
              <c:f>'Chapitre 30'!$B$158:$AF$158</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'Chapitre 30'!$B$175:$AF$175</c:f>
              <c:numCache>
                <c:formatCode>#,##0.00\ _F</c:formatCode>
                <c:ptCount val="31"/>
                <c:pt idx="0">
                  <c:v>-8400</c:v>
                </c:pt>
                <c:pt idx="1">
                  <c:v>-6963.636363636364</c:v>
                </c:pt>
                <c:pt idx="2">
                  <c:v>-5657.8512396694223</c:v>
                </c:pt>
                <c:pt idx="3">
                  <c:v>-4470.7738542449297</c:v>
                </c:pt>
                <c:pt idx="4">
                  <c:v>-3391.6125947681185</c:v>
                </c:pt>
                <c:pt idx="5">
                  <c:v>-2410.5569043346536</c:v>
                </c:pt>
                <c:pt idx="6">
                  <c:v>-1518.6880948496855</c:v>
                </c:pt>
                <c:pt idx="7">
                  <c:v>-707.89826804516929</c:v>
                </c:pt>
                <c:pt idx="8">
                  <c:v>29.183392686209118</c:v>
                </c:pt>
                <c:pt idx="9">
                  <c:v>699.25762971473489</c:v>
                </c:pt>
                <c:pt idx="10">
                  <c:v>1308.4160270133946</c:v>
                </c:pt>
                <c:pt idx="11">
                  <c:v>1862.1963881939942</c:v>
                </c:pt>
                <c:pt idx="12">
                  <c:v>2365.6330801763575</c:v>
                </c:pt>
                <c:pt idx="13">
                  <c:v>2823.3028001603243</c:v>
                </c:pt>
                <c:pt idx="14">
                  <c:v>3239.3661819639301</c:v>
                </c:pt>
                <c:pt idx="15">
                  <c:v>3617.6056199672084</c:v>
                </c:pt>
                <c:pt idx="16">
                  <c:v>3961.4596545156433</c:v>
                </c:pt>
                <c:pt idx="17">
                  <c:v>4274.0542313778569</c:v>
                </c:pt>
                <c:pt idx="18">
                  <c:v>4558.2311194344147</c:v>
                </c:pt>
                <c:pt idx="19">
                  <c:v>4816.5737449403759</c:v>
                </c:pt>
                <c:pt idx="20">
                  <c:v>5051.4306772185228</c:v>
                </c:pt>
                <c:pt idx="21">
                  <c:v>5264.936979289565</c:v>
                </c:pt>
                <c:pt idx="22">
                  <c:v>5459.0336175359671</c:v>
                </c:pt>
                <c:pt idx="23">
                  <c:v>5635.4851068508779</c:v>
                </c:pt>
                <c:pt idx="24">
                  <c:v>5795.8955516826154</c:v>
                </c:pt>
                <c:pt idx="25">
                  <c:v>5941.723228802377</c:v>
                </c:pt>
                <c:pt idx="26">
                  <c:v>6074.2938443657958</c:v>
                </c:pt>
                <c:pt idx="27">
                  <c:v>6194.8125857870864</c:v>
                </c:pt>
                <c:pt idx="28">
                  <c:v>6304.3750779882594</c:v>
                </c:pt>
                <c:pt idx="29">
                  <c:v>6403.9773436256892</c:v>
                </c:pt>
                <c:pt idx="30">
                  <c:v>6494.5248578415349</c:v>
                </c:pt>
              </c:numCache>
            </c:numRef>
          </c:yVal>
          <c:smooth val="1"/>
          <c:extLst>
            <c:ext xmlns:c16="http://schemas.microsoft.com/office/drawing/2014/chart" uri="{C3380CC4-5D6E-409C-BE32-E72D297353CC}">
              <c16:uniqueId val="{00000000-8B7C-4492-AE16-0B8B81C799EA}"/>
            </c:ext>
          </c:extLst>
        </c:ser>
        <c:dLbls>
          <c:showLegendKey val="0"/>
          <c:showVal val="0"/>
          <c:showCatName val="0"/>
          <c:showSerName val="0"/>
          <c:showPercent val="0"/>
          <c:showBubbleSize val="0"/>
        </c:dLbls>
        <c:axId val="-2137143168"/>
        <c:axId val="-2091534784"/>
      </c:scatterChart>
      <c:valAx>
        <c:axId val="-21371431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Année</a:t>
                </a:r>
              </a:p>
            </c:rich>
          </c:tx>
          <c:layout>
            <c:manualLayout>
              <c:xMode val="edge"/>
              <c:yMode val="edge"/>
              <c:x val="0.52569479325867496"/>
              <c:y val="0.826035209013508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91534784"/>
        <c:crosses val="autoZero"/>
        <c:crossBetween val="midCat"/>
      </c:valAx>
      <c:valAx>
        <c:axId val="-209153478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Flux cumulés</a:t>
                </a:r>
              </a:p>
            </c:rich>
          </c:tx>
          <c:layout>
            <c:manualLayout>
              <c:xMode val="edge"/>
              <c:yMode val="edge"/>
              <c:x val="1.8166543030021399E-2"/>
              <c:y val="0.26738723513219398"/>
            </c:manualLayout>
          </c:layout>
          <c:overlay val="0"/>
          <c:spPr>
            <a:noFill/>
            <a:ln w="25400">
              <a:noFill/>
            </a:ln>
          </c:spPr>
        </c:title>
        <c:numFmt formatCode="#,##0.00\ _F"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3714316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07105047876201"/>
          <c:y val="0.118252156378528"/>
          <c:w val="0.86676941261463902"/>
          <c:h val="0.75954269673900499"/>
        </c:manualLayout>
      </c:layout>
      <c:scatterChart>
        <c:scatterStyle val="smoothMarker"/>
        <c:varyColors val="0"/>
        <c:ser>
          <c:idx val="11"/>
          <c:order val="0"/>
          <c:tx>
            <c:strRef>
              <c:f>'Chapitre 30'!$A$233</c:f>
              <c:strCache>
                <c:ptCount val="1"/>
                <c:pt idx="0">
                  <c:v>Flux cumulés et actualisés</c:v>
                </c:pt>
              </c:strCache>
            </c:strRef>
          </c:tx>
          <c:spPr>
            <a:ln w="12700">
              <a:solidFill>
                <a:srgbClr val="FFFF99"/>
              </a:solidFill>
              <a:prstDash val="solid"/>
            </a:ln>
          </c:spPr>
          <c:marker>
            <c:symbol val="triangle"/>
            <c:size val="5"/>
            <c:spPr>
              <a:solidFill>
                <a:srgbClr val="FFFF99"/>
              </a:solidFill>
              <a:ln>
                <a:solidFill>
                  <a:srgbClr val="FFFF99"/>
                </a:solidFill>
                <a:prstDash val="solid"/>
              </a:ln>
            </c:spPr>
          </c:marker>
          <c:xVal>
            <c:numRef>
              <c:f>'Chapitre 30'!$B$221:$I$221</c:f>
              <c:numCache>
                <c:formatCode>General</c:formatCode>
                <c:ptCount val="8"/>
                <c:pt idx="0">
                  <c:v>0</c:v>
                </c:pt>
                <c:pt idx="1">
                  <c:v>1</c:v>
                </c:pt>
                <c:pt idx="2">
                  <c:v>2</c:v>
                </c:pt>
                <c:pt idx="3">
                  <c:v>3</c:v>
                </c:pt>
                <c:pt idx="4">
                  <c:v>4</c:v>
                </c:pt>
                <c:pt idx="5">
                  <c:v>5</c:v>
                </c:pt>
                <c:pt idx="6">
                  <c:v>6</c:v>
                </c:pt>
                <c:pt idx="7">
                  <c:v>7</c:v>
                </c:pt>
              </c:numCache>
            </c:numRef>
          </c:xVal>
          <c:yVal>
            <c:numRef>
              <c:f>'Chapitre 30'!$B$233:$I$233</c:f>
              <c:numCache>
                <c:formatCode>#,##0.00\ _F</c:formatCode>
                <c:ptCount val="8"/>
                <c:pt idx="0">
                  <c:v>-5500</c:v>
                </c:pt>
                <c:pt idx="1">
                  <c:v>-3340.9090909090892</c:v>
                </c:pt>
                <c:pt idx="2">
                  <c:v>-1378.0991735537159</c:v>
                </c:pt>
                <c:pt idx="3">
                  <c:v>406.27347858753205</c:v>
                </c:pt>
                <c:pt idx="4">
                  <c:v>2028.4304350795758</c:v>
                </c:pt>
                <c:pt idx="5">
                  <c:v>3503.1185773450698</c:v>
                </c:pt>
                <c:pt idx="6">
                  <c:v>4843.7441612227922</c:v>
                </c:pt>
                <c:pt idx="7">
                  <c:v>6062.4946920207212</c:v>
                </c:pt>
              </c:numCache>
            </c:numRef>
          </c:yVal>
          <c:smooth val="1"/>
          <c:extLst>
            <c:ext xmlns:c16="http://schemas.microsoft.com/office/drawing/2014/chart" uri="{C3380CC4-5D6E-409C-BE32-E72D297353CC}">
              <c16:uniqueId val="{00000000-E3C4-44EF-BDE9-D7C83D4FF2A9}"/>
            </c:ext>
          </c:extLst>
        </c:ser>
        <c:dLbls>
          <c:showLegendKey val="0"/>
          <c:showVal val="0"/>
          <c:showCatName val="0"/>
          <c:showSerName val="0"/>
          <c:showPercent val="0"/>
          <c:showBubbleSize val="0"/>
        </c:dLbls>
        <c:axId val="-2113953472"/>
        <c:axId val="-2133264272"/>
      </c:scatterChart>
      <c:valAx>
        <c:axId val="-2113953472"/>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fr-FR"/>
                  <a:t>Années</a:t>
                </a:r>
              </a:p>
            </c:rich>
          </c:tx>
          <c:layout>
            <c:manualLayout>
              <c:xMode val="edge"/>
              <c:yMode val="edge"/>
              <c:x val="0.520061641672384"/>
              <c:y val="0.8823429164377709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fr-FR"/>
          </a:p>
        </c:txPr>
        <c:crossAx val="-2133264272"/>
        <c:crosses val="autoZero"/>
        <c:crossBetween val="midCat"/>
      </c:valAx>
      <c:valAx>
        <c:axId val="-2133264272"/>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fr-FR"/>
                  <a:t>Flux cumulés et actualisés</a:t>
                </a:r>
              </a:p>
            </c:rich>
          </c:tx>
          <c:layout>
            <c:manualLayout>
              <c:xMode val="edge"/>
              <c:yMode val="edge"/>
              <c:x val="1.1418520817677901E-2"/>
              <c:y val="0.14554110968687101"/>
            </c:manualLayout>
          </c:layout>
          <c:overlay val="0"/>
          <c:spPr>
            <a:noFill/>
            <a:ln w="25400">
              <a:noFill/>
            </a:ln>
          </c:spPr>
        </c:title>
        <c:numFmt formatCode="#,##0.00\ _F"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fr-FR"/>
          </a:p>
        </c:txPr>
        <c:crossAx val="-211395347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007364379526"/>
          <c:y val="0.13326353088019099"/>
          <c:w val="0.835252570339998"/>
          <c:h val="0.73900685306287905"/>
        </c:manualLayout>
      </c:layout>
      <c:scatterChart>
        <c:scatterStyle val="smoothMarker"/>
        <c:varyColors val="0"/>
        <c:ser>
          <c:idx val="0"/>
          <c:order val="0"/>
          <c:tx>
            <c:strRef>
              <c:f>'Chapitre 30'!$A$132</c:f>
              <c:strCache>
                <c:ptCount val="1"/>
                <c:pt idx="0">
                  <c:v>VAN</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30'!$B$131:$E$131</c:f>
              <c:numCache>
                <c:formatCode>General</c:formatCode>
                <c:ptCount val="4"/>
                <c:pt idx="0">
                  <c:v>7000</c:v>
                </c:pt>
                <c:pt idx="1">
                  <c:v>8000</c:v>
                </c:pt>
                <c:pt idx="2">
                  <c:v>9000</c:v>
                </c:pt>
                <c:pt idx="3">
                  <c:v>10000</c:v>
                </c:pt>
              </c:numCache>
            </c:numRef>
          </c:xVal>
          <c:yVal>
            <c:numRef>
              <c:f>'Chapitre 30'!$B$132:$E$132</c:f>
              <c:numCache>
                <c:formatCode>#,##0\ _F</c:formatCode>
                <c:ptCount val="4"/>
                <c:pt idx="0">
                  <c:v>-5309.7711395136248</c:v>
                </c:pt>
                <c:pt idx="1">
                  <c:v>2678.1660979024491</c:v>
                </c:pt>
                <c:pt idx="2">
                  <c:v>10666.103335318534</c:v>
                </c:pt>
                <c:pt idx="3">
                  <c:v>18654.040572734626</c:v>
                </c:pt>
              </c:numCache>
            </c:numRef>
          </c:yVal>
          <c:smooth val="1"/>
          <c:extLst>
            <c:ext xmlns:c16="http://schemas.microsoft.com/office/drawing/2014/chart" uri="{C3380CC4-5D6E-409C-BE32-E72D297353CC}">
              <c16:uniqueId val="{00000000-8F83-4308-8D64-07EBDDEC1A2B}"/>
            </c:ext>
          </c:extLst>
        </c:ser>
        <c:dLbls>
          <c:showLegendKey val="0"/>
          <c:showVal val="0"/>
          <c:showCatName val="0"/>
          <c:showSerName val="0"/>
          <c:showPercent val="0"/>
          <c:showBubbleSize val="0"/>
        </c:dLbls>
        <c:axId val="-2072057056"/>
        <c:axId val="-2114261376"/>
      </c:scatterChart>
      <c:valAx>
        <c:axId val="-2072057056"/>
        <c:scaling>
          <c:orientation val="minMax"/>
          <c:min val="6000"/>
        </c:scaling>
        <c:delete val="0"/>
        <c:axPos val="b"/>
        <c:title>
          <c:tx>
            <c:rich>
              <a:bodyPr/>
              <a:lstStyle/>
              <a:p>
                <a:pPr>
                  <a:defRPr sz="575" b="1" i="0" u="none" strike="noStrike" baseline="0">
                    <a:solidFill>
                      <a:srgbClr val="000000"/>
                    </a:solidFill>
                    <a:latin typeface="Arial"/>
                    <a:ea typeface="Arial"/>
                    <a:cs typeface="Arial"/>
                  </a:defRPr>
                </a:pPr>
                <a:r>
                  <a:rPr lang="fr-FR"/>
                  <a:t>Nbre de pieces / an</a:t>
                </a:r>
              </a:p>
            </c:rich>
          </c:tx>
          <c:layout>
            <c:manualLayout>
              <c:xMode val="edge"/>
              <c:yMode val="edge"/>
              <c:x val="0.45182839555127602"/>
              <c:y val="0.88438547033472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fr-FR"/>
          </a:p>
        </c:txPr>
        <c:crossAx val="-2114261376"/>
        <c:crosses val="autoZero"/>
        <c:crossBetween val="midCat"/>
      </c:valAx>
      <c:valAx>
        <c:axId val="-2114261376"/>
        <c:scaling>
          <c:orientation val="minMax"/>
        </c:scaling>
        <c:delete val="0"/>
        <c:axPos val="l"/>
        <c:majorGridlines>
          <c:spPr>
            <a:ln w="3175">
              <a:solidFill>
                <a:srgbClr val="000000"/>
              </a:solidFill>
              <a:prstDash val="solid"/>
            </a:ln>
          </c:spPr>
        </c:majorGridlines>
        <c:title>
          <c:tx>
            <c:rich>
              <a:bodyPr/>
              <a:lstStyle/>
              <a:p>
                <a:pPr>
                  <a:defRPr sz="575" b="1" i="0" u="none" strike="noStrike" baseline="0">
                    <a:solidFill>
                      <a:srgbClr val="000000"/>
                    </a:solidFill>
                    <a:latin typeface="Arial"/>
                    <a:ea typeface="Arial"/>
                    <a:cs typeface="Arial"/>
                  </a:defRPr>
                </a:pPr>
                <a:r>
                  <a:rPr lang="fr-FR"/>
                  <a:t>VAN</a:t>
                </a:r>
              </a:p>
            </c:rich>
          </c:tx>
          <c:layout>
            <c:manualLayout>
              <c:xMode val="edge"/>
              <c:yMode val="edge"/>
              <c:x val="1.2600879925980499E-2"/>
              <c:y val="0.42402060853504397"/>
            </c:manualLayout>
          </c:layout>
          <c:overlay val="0"/>
          <c:spPr>
            <a:noFill/>
            <a:ln w="25400">
              <a:noFill/>
            </a:ln>
          </c:spPr>
        </c:title>
        <c:numFmt formatCode="#,##0\ _F" sourceLinked="1"/>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fr-FR"/>
          </a:p>
        </c:txPr>
        <c:crossAx val="-207205705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353741321967"/>
          <c:y val="7.0104241645121995E-2"/>
          <c:w val="0.62668105603742597"/>
          <c:h val="0.74193655741087505"/>
        </c:manualLayout>
      </c:layout>
      <c:barChart>
        <c:barDir val="col"/>
        <c:grouping val="stacked"/>
        <c:varyColors val="0"/>
        <c:ser>
          <c:idx val="3"/>
          <c:order val="0"/>
          <c:tx>
            <c:strRef>
              <c:f>'Chapitre 18'!$D$86</c:f>
              <c:strCache>
                <c:ptCount val="1"/>
                <c:pt idx="0">
                  <c:v>Amort. du capital</c:v>
                </c:pt>
              </c:strCache>
            </c:strRef>
          </c:tx>
          <c:spPr>
            <a:solidFill>
              <a:srgbClr val="CCFFFF"/>
            </a:solidFill>
            <a:ln w="12700">
              <a:solidFill>
                <a:srgbClr val="000000"/>
              </a:solidFill>
              <a:prstDash val="solid"/>
            </a:ln>
          </c:spPr>
          <c:invertIfNegative val="0"/>
          <c:val>
            <c:numRef>
              <c:f>'Chapitre 18'!$D$87:$D$90</c:f>
              <c:numCache>
                <c:formatCode>#,##0.00\ _F</c:formatCode>
                <c:ptCount val="4"/>
                <c:pt idx="0">
                  <c:v>22.5228</c:v>
                </c:pt>
                <c:pt idx="1">
                  <c:v>24.099395999999999</c:v>
                </c:pt>
                <c:pt idx="2">
                  <c:v>25.786353720000001</c:v>
                </c:pt>
                <c:pt idx="3">
                  <c:v>27.591398480399999</c:v>
                </c:pt>
              </c:numCache>
            </c:numRef>
          </c:val>
          <c:extLst>
            <c:ext xmlns:c16="http://schemas.microsoft.com/office/drawing/2014/chart" uri="{C3380CC4-5D6E-409C-BE32-E72D297353CC}">
              <c16:uniqueId val="{00000000-32BF-450D-82C9-F7A1D00B0DC3}"/>
            </c:ext>
          </c:extLst>
        </c:ser>
        <c:ser>
          <c:idx val="4"/>
          <c:order val="1"/>
          <c:tx>
            <c:strRef>
              <c:f>'Chapitre 18'!$E$86</c:f>
              <c:strCache>
                <c:ptCount val="1"/>
                <c:pt idx="0">
                  <c:v>Intérêts</c:v>
                </c:pt>
              </c:strCache>
            </c:strRef>
          </c:tx>
          <c:spPr>
            <a:solidFill>
              <a:srgbClr val="660066"/>
            </a:solidFill>
            <a:ln w="12700">
              <a:solidFill>
                <a:srgbClr val="000000"/>
              </a:solidFill>
              <a:prstDash val="solid"/>
            </a:ln>
          </c:spPr>
          <c:invertIfNegative val="0"/>
          <c:val>
            <c:numRef>
              <c:f>'Chapitre 18'!$E$87:$E$90</c:f>
              <c:numCache>
                <c:formatCode>#,##0.00\ _F</c:formatCode>
                <c:ptCount val="4"/>
                <c:pt idx="0">
                  <c:v>7.0000000000000009</c:v>
                </c:pt>
                <c:pt idx="1">
                  <c:v>5.4234040000000006</c:v>
                </c:pt>
                <c:pt idx="2">
                  <c:v>3.73644628</c:v>
                </c:pt>
                <c:pt idx="3">
                  <c:v>1.9314015195999998</c:v>
                </c:pt>
              </c:numCache>
            </c:numRef>
          </c:val>
          <c:extLst>
            <c:ext xmlns:c16="http://schemas.microsoft.com/office/drawing/2014/chart" uri="{C3380CC4-5D6E-409C-BE32-E72D297353CC}">
              <c16:uniqueId val="{00000001-32BF-450D-82C9-F7A1D00B0DC3}"/>
            </c:ext>
          </c:extLst>
        </c:ser>
        <c:dLbls>
          <c:showLegendKey val="0"/>
          <c:showVal val="0"/>
          <c:showCatName val="0"/>
          <c:showSerName val="0"/>
          <c:showPercent val="0"/>
          <c:showBubbleSize val="0"/>
        </c:dLbls>
        <c:gapWidth val="150"/>
        <c:overlap val="100"/>
        <c:axId val="-2113992752"/>
        <c:axId val="-2133965088"/>
      </c:barChart>
      <c:catAx>
        <c:axId val="-2113992752"/>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fr-FR"/>
                  <a:t>Période</a:t>
                </a:r>
              </a:p>
            </c:rich>
          </c:tx>
          <c:layout>
            <c:manualLayout>
              <c:xMode val="edge"/>
              <c:yMode val="edge"/>
              <c:x val="0.37432629744811302"/>
              <c:y val="0.8529346331708540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133965088"/>
        <c:crosses val="autoZero"/>
        <c:auto val="1"/>
        <c:lblAlgn val="ctr"/>
        <c:lblOffset val="100"/>
        <c:tickLblSkip val="1"/>
        <c:tickMarkSkip val="1"/>
        <c:noMultiLvlLbl val="0"/>
      </c:catAx>
      <c:valAx>
        <c:axId val="-2133965088"/>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fr-FR"/>
                  <a:t>€</a:t>
                </a:r>
              </a:p>
            </c:rich>
          </c:tx>
          <c:layout>
            <c:manualLayout>
              <c:xMode val="edge"/>
              <c:yMode val="edge"/>
              <c:x val="1.05147885926024E-2"/>
              <c:y val="0.408941382327209"/>
            </c:manualLayout>
          </c:layout>
          <c:overlay val="0"/>
          <c:spPr>
            <a:noFill/>
            <a:ln w="25400">
              <a:noFill/>
            </a:ln>
          </c:spPr>
        </c:title>
        <c:numFmt formatCode="#,##0.00\ _F"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fr-FR"/>
          </a:p>
        </c:txPr>
        <c:crossAx val="-2113992752"/>
        <c:crosses val="autoZero"/>
        <c:crossBetween val="between"/>
      </c:valAx>
      <c:spPr>
        <a:solidFill>
          <a:srgbClr val="C0C0C0"/>
        </a:solidFill>
        <a:ln w="12700">
          <a:solidFill>
            <a:srgbClr val="808080"/>
          </a:solidFill>
          <a:prstDash val="solid"/>
        </a:ln>
      </c:spPr>
    </c:plotArea>
    <c:legend>
      <c:legendPos val="r"/>
      <c:layout>
        <c:manualLayout>
          <c:xMode val="edge"/>
          <c:yMode val="edge"/>
          <c:x val="0.78819146929056205"/>
          <c:y val="0.35741544402619602"/>
          <c:w val="0.189987520285021"/>
          <c:h val="0.21673064159035299"/>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33'!#REF!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33'!#REF!</c:f>
              <c:numCache>
                <c:formatCode>General</c:formatCode>
                <c:ptCount val="1"/>
                <c:pt idx="0">
                  <c:v>0</c:v>
                </c:pt>
              </c:numCache>
            </c:numRef>
          </c:xVal>
          <c:yVal>
            <c:numRef>
              <c:f>' Chapitre 33'!#REF!</c:f>
              <c:numCache>
                <c:formatCode>General</c:formatCode>
                <c:ptCount val="1"/>
                <c:pt idx="0">
                  <c:v>0</c:v>
                </c:pt>
              </c:numCache>
            </c:numRef>
          </c:yVal>
          <c:smooth val="1"/>
          <c:extLst>
            <c:ext xmlns:c16="http://schemas.microsoft.com/office/drawing/2014/chart" uri="{C3380CC4-5D6E-409C-BE32-E72D297353CC}">
              <c16:uniqueId val="{00000000-ACE6-4083-86BC-7CE0119EE018}"/>
            </c:ext>
          </c:extLst>
        </c:ser>
        <c:dLbls>
          <c:showLegendKey val="0"/>
          <c:showVal val="0"/>
          <c:showCatName val="0"/>
          <c:showSerName val="0"/>
          <c:showPercent val="0"/>
          <c:showBubbleSize val="0"/>
        </c:dLbls>
        <c:axId val="-2131078032"/>
        <c:axId val="-2092874816"/>
      </c:scatterChart>
      <c:valAx>
        <c:axId val="-2131078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874816"/>
        <c:crosses val="autoZero"/>
        <c:crossBetween val="midCat"/>
      </c:valAx>
      <c:valAx>
        <c:axId val="-20928748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07803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33'!#REF!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33'!#REF!</c:f>
              <c:numCache>
                <c:formatCode>General</c:formatCode>
                <c:ptCount val="1"/>
                <c:pt idx="0">
                  <c:v>0</c:v>
                </c:pt>
              </c:numCache>
            </c:numRef>
          </c:xVal>
          <c:yVal>
            <c:numRef>
              <c:f>' Chapitre 33'!#REF!</c:f>
              <c:numCache>
                <c:formatCode>General</c:formatCode>
                <c:ptCount val="1"/>
                <c:pt idx="0">
                  <c:v>0</c:v>
                </c:pt>
              </c:numCache>
            </c:numRef>
          </c:yVal>
          <c:smooth val="1"/>
          <c:extLst>
            <c:ext xmlns:c16="http://schemas.microsoft.com/office/drawing/2014/chart" uri="{C3380CC4-5D6E-409C-BE32-E72D297353CC}">
              <c16:uniqueId val="{00000000-1C07-47DD-9288-BE1CFC5D31C7}"/>
            </c:ext>
          </c:extLst>
        </c:ser>
        <c:dLbls>
          <c:showLegendKey val="0"/>
          <c:showVal val="0"/>
          <c:showCatName val="0"/>
          <c:showSerName val="0"/>
          <c:showPercent val="0"/>
          <c:showBubbleSize val="0"/>
        </c:dLbls>
        <c:axId val="-2097062736"/>
        <c:axId val="-2135069680"/>
      </c:scatterChart>
      <c:valAx>
        <c:axId val="-2097062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069680"/>
        <c:crosses val="autoZero"/>
        <c:crossBetween val="midCat"/>
      </c:valAx>
      <c:valAx>
        <c:axId val="-21350696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06273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34'!#REF!</c:f>
              <c:numCache>
                <c:formatCode>General</c:formatCode>
                <c:ptCount val="1"/>
                <c:pt idx="0">
                  <c:v>0</c:v>
                </c:pt>
              </c:numCache>
            </c:numRef>
          </c:xVal>
          <c:yVal>
            <c:numRef>
              <c:f>'Chapitre 34'!#REF!</c:f>
              <c:numCache>
                <c:formatCode>General</c:formatCode>
                <c:ptCount val="1"/>
                <c:pt idx="0">
                  <c:v>0</c:v>
                </c:pt>
              </c:numCache>
            </c:numRef>
          </c:yVal>
          <c:smooth val="1"/>
          <c:extLst>
            <c:ext xmlns:c16="http://schemas.microsoft.com/office/drawing/2014/chart" uri="{C3380CC4-5D6E-409C-BE32-E72D297353CC}">
              <c16:uniqueId val="{00000000-0B2C-4BD3-8512-AC9460708257}"/>
            </c:ext>
          </c:extLst>
        </c:ser>
        <c:dLbls>
          <c:showLegendKey val="0"/>
          <c:showVal val="0"/>
          <c:showCatName val="0"/>
          <c:showSerName val="0"/>
          <c:showPercent val="0"/>
          <c:showBubbleSize val="0"/>
        </c:dLbls>
        <c:axId val="-2116354656"/>
        <c:axId val="-2116396256"/>
      </c:scatterChart>
      <c:valAx>
        <c:axId val="-2116354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6396256"/>
        <c:crosses val="autoZero"/>
        <c:crossBetween val="midCat"/>
      </c:valAx>
      <c:valAx>
        <c:axId val="-21163962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635465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34'!#REF!</c:f>
              <c:numCache>
                <c:formatCode>General</c:formatCode>
                <c:ptCount val="1"/>
                <c:pt idx="0">
                  <c:v>0</c:v>
                </c:pt>
              </c:numCache>
            </c:numRef>
          </c:xVal>
          <c:yVal>
            <c:numRef>
              <c:f>'Chapitre 34'!#REF!</c:f>
              <c:numCache>
                <c:formatCode>General</c:formatCode>
                <c:ptCount val="1"/>
                <c:pt idx="0">
                  <c:v>0</c:v>
                </c:pt>
              </c:numCache>
            </c:numRef>
          </c:yVal>
          <c:smooth val="1"/>
          <c:extLst>
            <c:ext xmlns:c16="http://schemas.microsoft.com/office/drawing/2014/chart" uri="{C3380CC4-5D6E-409C-BE32-E72D297353CC}">
              <c16:uniqueId val="{00000000-2139-488A-8B85-37B90C581725}"/>
            </c:ext>
          </c:extLst>
        </c:ser>
        <c:dLbls>
          <c:showLegendKey val="0"/>
          <c:showVal val="0"/>
          <c:showCatName val="0"/>
          <c:showSerName val="0"/>
          <c:showPercent val="0"/>
          <c:showBubbleSize val="0"/>
        </c:dLbls>
        <c:axId val="-2112878352"/>
        <c:axId val="-2112741216"/>
      </c:scatterChart>
      <c:valAx>
        <c:axId val="-2112878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741216"/>
        <c:crosses val="autoZero"/>
        <c:crossBetween val="midCat"/>
      </c:valAx>
      <c:valAx>
        <c:axId val="-21127412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8783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35'!#REF!</c:f>
              <c:numCache>
                <c:formatCode>General</c:formatCode>
                <c:ptCount val="1"/>
                <c:pt idx="0">
                  <c:v>1</c:v>
                </c:pt>
              </c:numCache>
            </c:numRef>
          </c:xVal>
          <c:yVal>
            <c:numRef>
              <c:f>'Chapitre 35'!#REF!</c:f>
              <c:numCache>
                <c:formatCode>General</c:formatCode>
                <c:ptCount val="1"/>
                <c:pt idx="0">
                  <c:v>1</c:v>
                </c:pt>
              </c:numCache>
            </c:numRef>
          </c:yVal>
          <c:smooth val="1"/>
          <c:extLst>
            <c:ext xmlns:c16="http://schemas.microsoft.com/office/drawing/2014/chart" uri="{C3380CC4-5D6E-409C-BE32-E72D297353CC}">
              <c16:uniqueId val="{00000000-18A6-4CEA-AC85-6321A680EF37}"/>
            </c:ext>
          </c:extLst>
        </c:ser>
        <c:dLbls>
          <c:showLegendKey val="0"/>
          <c:showVal val="0"/>
          <c:showCatName val="0"/>
          <c:showSerName val="0"/>
          <c:showPercent val="0"/>
          <c:showBubbleSize val="0"/>
        </c:dLbls>
        <c:axId val="-2112460800"/>
        <c:axId val="-2093725424"/>
      </c:scatterChart>
      <c:valAx>
        <c:axId val="-2112460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3725424"/>
        <c:crosses val="autoZero"/>
        <c:crossBetween val="midCat"/>
      </c:valAx>
      <c:valAx>
        <c:axId val="-20937254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4608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35'!#REF!</c:f>
              <c:numCache>
                <c:formatCode>General</c:formatCode>
                <c:ptCount val="1"/>
                <c:pt idx="0">
                  <c:v>1</c:v>
                </c:pt>
              </c:numCache>
            </c:numRef>
          </c:xVal>
          <c:yVal>
            <c:numRef>
              <c:f>'Chapitre 35'!#REF!</c:f>
              <c:numCache>
                <c:formatCode>General</c:formatCode>
                <c:ptCount val="1"/>
                <c:pt idx="0">
                  <c:v>1</c:v>
                </c:pt>
              </c:numCache>
            </c:numRef>
          </c:yVal>
          <c:smooth val="1"/>
          <c:extLst>
            <c:ext xmlns:c16="http://schemas.microsoft.com/office/drawing/2014/chart" uri="{C3380CC4-5D6E-409C-BE32-E72D297353CC}">
              <c16:uniqueId val="{00000000-3EFC-4761-BDE5-7155541ECB66}"/>
            </c:ext>
          </c:extLst>
        </c:ser>
        <c:dLbls>
          <c:showLegendKey val="0"/>
          <c:showVal val="0"/>
          <c:showCatName val="0"/>
          <c:showSerName val="0"/>
          <c:showPercent val="0"/>
          <c:showBubbleSize val="0"/>
        </c:dLbls>
        <c:axId val="-2131285280"/>
        <c:axId val="-2089410352"/>
      </c:scatterChart>
      <c:valAx>
        <c:axId val="-2131285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89410352"/>
        <c:crosses val="autoZero"/>
        <c:crossBetween val="midCat"/>
      </c:valAx>
      <c:valAx>
        <c:axId val="-20894103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28528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36'!#REF!</c:f>
              <c:numCache>
                <c:formatCode>General</c:formatCode>
                <c:ptCount val="1"/>
                <c:pt idx="0">
                  <c:v>0</c:v>
                </c:pt>
              </c:numCache>
            </c:numRef>
          </c:xVal>
          <c:yVal>
            <c:numRef>
              <c:f>'Chapitre 36'!#REF!</c:f>
              <c:numCache>
                <c:formatCode>General</c:formatCode>
                <c:ptCount val="1"/>
                <c:pt idx="0">
                  <c:v>0</c:v>
                </c:pt>
              </c:numCache>
            </c:numRef>
          </c:yVal>
          <c:smooth val="1"/>
          <c:extLst>
            <c:ext xmlns:c16="http://schemas.microsoft.com/office/drawing/2014/chart" uri="{C3380CC4-5D6E-409C-BE32-E72D297353CC}">
              <c16:uniqueId val="{00000000-3CA6-4E83-98C3-48823BB39A7B}"/>
            </c:ext>
          </c:extLst>
        </c:ser>
        <c:dLbls>
          <c:showLegendKey val="0"/>
          <c:showVal val="0"/>
          <c:showCatName val="0"/>
          <c:showSerName val="0"/>
          <c:showPercent val="0"/>
          <c:showBubbleSize val="0"/>
        </c:dLbls>
        <c:axId val="-2135864496"/>
        <c:axId val="-2108464160"/>
      </c:scatterChart>
      <c:valAx>
        <c:axId val="-2135864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8464160"/>
        <c:crosses val="autoZero"/>
        <c:crossBetween val="midCat"/>
      </c:valAx>
      <c:valAx>
        <c:axId val="-21084641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8644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36'!#REF!</c:f>
              <c:numCache>
                <c:formatCode>General</c:formatCode>
                <c:ptCount val="1"/>
                <c:pt idx="0">
                  <c:v>0</c:v>
                </c:pt>
              </c:numCache>
            </c:numRef>
          </c:xVal>
          <c:yVal>
            <c:numRef>
              <c:f>'Chapitre 36'!#REF!</c:f>
              <c:numCache>
                <c:formatCode>General</c:formatCode>
                <c:ptCount val="1"/>
                <c:pt idx="0">
                  <c:v>0</c:v>
                </c:pt>
              </c:numCache>
            </c:numRef>
          </c:yVal>
          <c:smooth val="1"/>
          <c:extLst>
            <c:ext xmlns:c16="http://schemas.microsoft.com/office/drawing/2014/chart" uri="{C3380CC4-5D6E-409C-BE32-E72D297353CC}">
              <c16:uniqueId val="{00000000-7009-4EE6-BA90-C41784ECAA57}"/>
            </c:ext>
          </c:extLst>
        </c:ser>
        <c:dLbls>
          <c:showLegendKey val="0"/>
          <c:showVal val="0"/>
          <c:showCatName val="0"/>
          <c:showSerName val="0"/>
          <c:showPercent val="0"/>
          <c:showBubbleSize val="0"/>
        </c:dLbls>
        <c:axId val="-2130916816"/>
        <c:axId val="-2130913904"/>
      </c:scatterChart>
      <c:valAx>
        <c:axId val="-2130916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0913904"/>
        <c:crosses val="autoZero"/>
        <c:crossBetween val="midCat"/>
      </c:valAx>
      <c:valAx>
        <c:axId val="-21309139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091681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37'!#REF!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37'!#REF!</c:f>
              <c:numCache>
                <c:formatCode>General</c:formatCode>
                <c:ptCount val="1"/>
                <c:pt idx="0">
                  <c:v>1</c:v>
                </c:pt>
              </c:numCache>
            </c:numRef>
          </c:xVal>
          <c:yVal>
            <c:numRef>
              <c:f>' Chapitre 37'!#REF!</c:f>
              <c:numCache>
                <c:formatCode>General</c:formatCode>
                <c:ptCount val="1"/>
                <c:pt idx="0">
                  <c:v>1</c:v>
                </c:pt>
              </c:numCache>
            </c:numRef>
          </c:yVal>
          <c:smooth val="1"/>
          <c:extLst>
            <c:ext xmlns:c16="http://schemas.microsoft.com/office/drawing/2014/chart" uri="{C3380CC4-5D6E-409C-BE32-E72D297353CC}">
              <c16:uniqueId val="{00000000-9C2A-4917-825C-CD2FBECF3238}"/>
            </c:ext>
          </c:extLst>
        </c:ser>
        <c:dLbls>
          <c:showLegendKey val="0"/>
          <c:showVal val="0"/>
          <c:showCatName val="0"/>
          <c:showSerName val="0"/>
          <c:showPercent val="0"/>
          <c:showBubbleSize val="0"/>
        </c:dLbls>
        <c:axId val="-2092752928"/>
        <c:axId val="-2135214320"/>
      </c:scatterChart>
      <c:valAx>
        <c:axId val="-2092752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214320"/>
        <c:crosses val="autoZero"/>
        <c:crossBetween val="midCat"/>
      </c:valAx>
      <c:valAx>
        <c:axId val="-21352143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75292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37'!#REF!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37'!#REF!</c:f>
              <c:numCache>
                <c:formatCode>General</c:formatCode>
                <c:ptCount val="1"/>
                <c:pt idx="0">
                  <c:v>1</c:v>
                </c:pt>
              </c:numCache>
            </c:numRef>
          </c:xVal>
          <c:yVal>
            <c:numRef>
              <c:f>' Chapitre 37'!#REF!</c:f>
              <c:numCache>
                <c:formatCode>General</c:formatCode>
                <c:ptCount val="1"/>
                <c:pt idx="0">
                  <c:v>1</c:v>
                </c:pt>
              </c:numCache>
            </c:numRef>
          </c:yVal>
          <c:smooth val="1"/>
          <c:extLst>
            <c:ext xmlns:c16="http://schemas.microsoft.com/office/drawing/2014/chart" uri="{C3380CC4-5D6E-409C-BE32-E72D297353CC}">
              <c16:uniqueId val="{00000000-CEF1-441C-AA2A-06550D8689CC}"/>
            </c:ext>
          </c:extLst>
        </c:ser>
        <c:dLbls>
          <c:showLegendKey val="0"/>
          <c:showVal val="0"/>
          <c:showCatName val="0"/>
          <c:showSerName val="0"/>
          <c:showPercent val="0"/>
          <c:showBubbleSize val="0"/>
        </c:dLbls>
        <c:axId val="-2135055552"/>
        <c:axId val="-2111928960"/>
      </c:scatterChart>
      <c:valAx>
        <c:axId val="-2135055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928960"/>
        <c:crosses val="autoZero"/>
        <c:crossBetween val="midCat"/>
      </c:valAx>
      <c:valAx>
        <c:axId val="-21119289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0555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63767490073301E-2"/>
          <c:y val="6.3937727317664603E-2"/>
          <c:w val="0.65072604687616398"/>
          <c:h val="0.74981516581624796"/>
        </c:manualLayout>
      </c:layout>
      <c:barChart>
        <c:barDir val="col"/>
        <c:grouping val="stacked"/>
        <c:varyColors val="0"/>
        <c:ser>
          <c:idx val="3"/>
          <c:order val="0"/>
          <c:tx>
            <c:strRef>
              <c:f>'Chapitre 18'!$D$95</c:f>
              <c:strCache>
                <c:ptCount val="1"/>
                <c:pt idx="0">
                  <c:v>Amort. du capital</c:v>
                </c:pt>
              </c:strCache>
            </c:strRef>
          </c:tx>
          <c:spPr>
            <a:solidFill>
              <a:srgbClr val="CCFFFF"/>
            </a:solidFill>
            <a:ln w="12700">
              <a:solidFill>
                <a:srgbClr val="000000"/>
              </a:solidFill>
              <a:prstDash val="solid"/>
            </a:ln>
          </c:spPr>
          <c:invertIfNegative val="0"/>
          <c:val>
            <c:numRef>
              <c:f>'Chapitre 18'!$D$96:$D$99</c:f>
              <c:numCache>
                <c:formatCode>#,##0.00\ _F</c:formatCode>
                <c:ptCount val="4"/>
                <c:pt idx="0">
                  <c:v>25</c:v>
                </c:pt>
                <c:pt idx="1">
                  <c:v>25</c:v>
                </c:pt>
                <c:pt idx="2">
                  <c:v>25</c:v>
                </c:pt>
                <c:pt idx="3">
                  <c:v>25</c:v>
                </c:pt>
              </c:numCache>
            </c:numRef>
          </c:val>
          <c:extLst>
            <c:ext xmlns:c16="http://schemas.microsoft.com/office/drawing/2014/chart" uri="{C3380CC4-5D6E-409C-BE32-E72D297353CC}">
              <c16:uniqueId val="{00000000-E227-4DE3-BFA4-82D38DB405AB}"/>
            </c:ext>
          </c:extLst>
        </c:ser>
        <c:ser>
          <c:idx val="4"/>
          <c:order val="1"/>
          <c:tx>
            <c:strRef>
              <c:f>'Chapitre 18'!$E$95</c:f>
              <c:strCache>
                <c:ptCount val="1"/>
                <c:pt idx="0">
                  <c:v>Intérêts</c:v>
                </c:pt>
              </c:strCache>
            </c:strRef>
          </c:tx>
          <c:spPr>
            <a:solidFill>
              <a:srgbClr val="660066"/>
            </a:solidFill>
            <a:ln w="12700">
              <a:solidFill>
                <a:srgbClr val="000000"/>
              </a:solidFill>
              <a:prstDash val="solid"/>
            </a:ln>
          </c:spPr>
          <c:invertIfNegative val="0"/>
          <c:val>
            <c:numRef>
              <c:f>'Chapitre 18'!$E$96:$E$99</c:f>
              <c:numCache>
                <c:formatCode>#,##0.00\ _F</c:formatCode>
                <c:ptCount val="4"/>
                <c:pt idx="0">
                  <c:v>7.0000000000000009</c:v>
                </c:pt>
                <c:pt idx="1">
                  <c:v>5.2500000000000009</c:v>
                </c:pt>
                <c:pt idx="2">
                  <c:v>3.5000000000000004</c:v>
                </c:pt>
                <c:pt idx="3">
                  <c:v>1.7500000000000002</c:v>
                </c:pt>
              </c:numCache>
            </c:numRef>
          </c:val>
          <c:extLst>
            <c:ext xmlns:c16="http://schemas.microsoft.com/office/drawing/2014/chart" uri="{C3380CC4-5D6E-409C-BE32-E72D297353CC}">
              <c16:uniqueId val="{00000001-E227-4DE3-BFA4-82D38DB405AB}"/>
            </c:ext>
          </c:extLst>
        </c:ser>
        <c:dLbls>
          <c:showLegendKey val="0"/>
          <c:showVal val="0"/>
          <c:showCatName val="0"/>
          <c:showSerName val="0"/>
          <c:showPercent val="0"/>
          <c:showBubbleSize val="0"/>
        </c:dLbls>
        <c:gapWidth val="150"/>
        <c:overlap val="100"/>
        <c:axId val="-2138601568"/>
        <c:axId val="-2094337120"/>
      </c:barChart>
      <c:catAx>
        <c:axId val="-21386015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Période</a:t>
                </a:r>
              </a:p>
            </c:rich>
          </c:tx>
          <c:layout>
            <c:manualLayout>
              <c:xMode val="edge"/>
              <c:yMode val="edge"/>
              <c:x val="0.3631471852182"/>
              <c:y val="0.854440354718973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94337120"/>
        <c:crosses val="autoZero"/>
        <c:auto val="1"/>
        <c:lblAlgn val="ctr"/>
        <c:lblOffset val="100"/>
        <c:tickLblSkip val="1"/>
        <c:tickMarkSkip val="1"/>
        <c:noMultiLvlLbl val="0"/>
      </c:catAx>
      <c:valAx>
        <c:axId val="-209433712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a:t>
                </a:r>
              </a:p>
            </c:rich>
          </c:tx>
          <c:layout>
            <c:manualLayout>
              <c:xMode val="edge"/>
              <c:yMode val="edge"/>
              <c:x val="1.04956062882077E-2"/>
              <c:y val="0.40687632980788702"/>
            </c:manualLayout>
          </c:layout>
          <c:overlay val="0"/>
          <c:spPr>
            <a:noFill/>
            <a:ln w="25400">
              <a:noFill/>
            </a:ln>
          </c:spPr>
        </c:title>
        <c:numFmt formatCode="#,##0.00\ _F" sourceLinked="1"/>
        <c:majorTickMark val="out"/>
        <c:minorTickMark val="none"/>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fr-FR"/>
          </a:p>
        </c:txPr>
        <c:crossAx val="-2138601568"/>
        <c:crosses val="autoZero"/>
        <c:crossBetween val="between"/>
      </c:valAx>
      <c:spPr>
        <a:solidFill>
          <a:srgbClr val="C0C0C0"/>
        </a:solidFill>
        <a:ln w="12700">
          <a:solidFill>
            <a:srgbClr val="808080"/>
          </a:solidFill>
          <a:prstDash val="solid"/>
        </a:ln>
      </c:spPr>
    </c:plotArea>
    <c:legend>
      <c:legendPos val="r"/>
      <c:layout>
        <c:manualLayout>
          <c:xMode val="edge"/>
          <c:yMode val="edge"/>
          <c:x val="0.78846326598897698"/>
          <c:y val="0.38697354205349599"/>
          <c:w val="0.18974400547376999"/>
          <c:h val="0.2183910088816760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38'!#REF!</c:f>
              <c:numCache>
                <c:formatCode>General</c:formatCode>
                <c:ptCount val="1"/>
                <c:pt idx="0">
                  <c:v>0</c:v>
                </c:pt>
              </c:numCache>
            </c:numRef>
          </c:xVal>
          <c:yVal>
            <c:numRef>
              <c:f>'Chapitre 38'!#REF!</c:f>
              <c:numCache>
                <c:formatCode>General</c:formatCode>
                <c:ptCount val="1"/>
                <c:pt idx="0">
                  <c:v>0</c:v>
                </c:pt>
              </c:numCache>
            </c:numRef>
          </c:yVal>
          <c:smooth val="1"/>
          <c:extLst>
            <c:ext xmlns:c16="http://schemas.microsoft.com/office/drawing/2014/chart" uri="{C3380CC4-5D6E-409C-BE32-E72D297353CC}">
              <c16:uniqueId val="{00000000-1192-4605-B6C8-E40D74554E9E}"/>
            </c:ext>
          </c:extLst>
        </c:ser>
        <c:dLbls>
          <c:showLegendKey val="0"/>
          <c:showVal val="0"/>
          <c:showCatName val="0"/>
          <c:showSerName val="0"/>
          <c:showPercent val="0"/>
          <c:showBubbleSize val="0"/>
        </c:dLbls>
        <c:axId val="-2107313344"/>
        <c:axId val="-2106670096"/>
      </c:scatterChart>
      <c:valAx>
        <c:axId val="-2107313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670096"/>
        <c:crosses val="autoZero"/>
        <c:crossBetween val="midCat"/>
      </c:valAx>
      <c:valAx>
        <c:axId val="-21066700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31334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38'!#REF!</c:f>
              <c:numCache>
                <c:formatCode>General</c:formatCode>
                <c:ptCount val="1"/>
                <c:pt idx="0">
                  <c:v>0</c:v>
                </c:pt>
              </c:numCache>
            </c:numRef>
          </c:xVal>
          <c:yVal>
            <c:numRef>
              <c:f>'Chapitre 38'!#REF!</c:f>
              <c:numCache>
                <c:formatCode>General</c:formatCode>
                <c:ptCount val="1"/>
                <c:pt idx="0">
                  <c:v>0</c:v>
                </c:pt>
              </c:numCache>
            </c:numRef>
          </c:yVal>
          <c:smooth val="1"/>
          <c:extLst>
            <c:ext xmlns:c16="http://schemas.microsoft.com/office/drawing/2014/chart" uri="{C3380CC4-5D6E-409C-BE32-E72D297353CC}">
              <c16:uniqueId val="{00000000-C419-4A55-B894-16F12B10727A}"/>
            </c:ext>
          </c:extLst>
        </c:ser>
        <c:dLbls>
          <c:showLegendKey val="0"/>
          <c:showVal val="0"/>
          <c:showCatName val="0"/>
          <c:showSerName val="0"/>
          <c:showPercent val="0"/>
          <c:showBubbleSize val="0"/>
        </c:dLbls>
        <c:axId val="-2130835264"/>
        <c:axId val="-2107482016"/>
      </c:scatterChart>
      <c:valAx>
        <c:axId val="-2130835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482016"/>
        <c:crosses val="autoZero"/>
        <c:crossBetween val="midCat"/>
      </c:valAx>
      <c:valAx>
        <c:axId val="-21074820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08352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39'!#REF!</c:f>
              <c:numCache>
                <c:formatCode>General</c:formatCode>
                <c:ptCount val="1"/>
                <c:pt idx="0">
                  <c:v>0</c:v>
                </c:pt>
              </c:numCache>
            </c:numRef>
          </c:xVal>
          <c:yVal>
            <c:numRef>
              <c:f>'Chapitre 39'!#REF!</c:f>
              <c:numCache>
                <c:formatCode>General</c:formatCode>
                <c:ptCount val="1"/>
                <c:pt idx="0">
                  <c:v>0</c:v>
                </c:pt>
              </c:numCache>
            </c:numRef>
          </c:yVal>
          <c:smooth val="1"/>
          <c:extLst>
            <c:ext xmlns:c16="http://schemas.microsoft.com/office/drawing/2014/chart" uri="{C3380CC4-5D6E-409C-BE32-E72D297353CC}">
              <c16:uniqueId val="{00000000-5CC2-4BE9-828C-A2A5CD628035}"/>
            </c:ext>
          </c:extLst>
        </c:ser>
        <c:dLbls>
          <c:showLegendKey val="0"/>
          <c:showVal val="0"/>
          <c:showCatName val="0"/>
          <c:showSerName val="0"/>
          <c:showPercent val="0"/>
          <c:showBubbleSize val="0"/>
        </c:dLbls>
        <c:axId val="-2107464144"/>
        <c:axId val="-2130827936"/>
      </c:scatterChart>
      <c:valAx>
        <c:axId val="-2107464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0827936"/>
        <c:crosses val="autoZero"/>
        <c:crossBetween val="midCat"/>
      </c:valAx>
      <c:valAx>
        <c:axId val="-2130827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46414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39'!#REF!</c:f>
              <c:numCache>
                <c:formatCode>General</c:formatCode>
                <c:ptCount val="1"/>
                <c:pt idx="0">
                  <c:v>0</c:v>
                </c:pt>
              </c:numCache>
            </c:numRef>
          </c:xVal>
          <c:yVal>
            <c:numRef>
              <c:f>'Chapitre 39'!#REF!</c:f>
              <c:numCache>
                <c:formatCode>General</c:formatCode>
                <c:ptCount val="1"/>
                <c:pt idx="0">
                  <c:v>0</c:v>
                </c:pt>
              </c:numCache>
            </c:numRef>
          </c:yVal>
          <c:smooth val="1"/>
          <c:extLst>
            <c:ext xmlns:c16="http://schemas.microsoft.com/office/drawing/2014/chart" uri="{C3380CC4-5D6E-409C-BE32-E72D297353CC}">
              <c16:uniqueId val="{00000000-494C-4F85-A1A5-F08E3D2448AD}"/>
            </c:ext>
          </c:extLst>
        </c:ser>
        <c:dLbls>
          <c:showLegendKey val="0"/>
          <c:showVal val="0"/>
          <c:showCatName val="0"/>
          <c:showSerName val="0"/>
          <c:showPercent val="0"/>
          <c:showBubbleSize val="0"/>
        </c:dLbls>
        <c:axId val="-2075112848"/>
        <c:axId val="-2092891104"/>
      </c:scatterChart>
      <c:valAx>
        <c:axId val="-2075112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891104"/>
        <c:crosses val="autoZero"/>
        <c:crossBetween val="midCat"/>
      </c:valAx>
      <c:valAx>
        <c:axId val="-20928911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7511284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40'!#REF!</c:f>
              <c:numCache>
                <c:formatCode>General</c:formatCode>
                <c:ptCount val="1"/>
                <c:pt idx="0">
                  <c:v>0</c:v>
                </c:pt>
              </c:numCache>
            </c:numRef>
          </c:xVal>
          <c:yVal>
            <c:numRef>
              <c:f>'Chapitre 40'!#REF!</c:f>
              <c:numCache>
                <c:formatCode>General</c:formatCode>
                <c:ptCount val="1"/>
                <c:pt idx="0">
                  <c:v>0</c:v>
                </c:pt>
              </c:numCache>
            </c:numRef>
          </c:yVal>
          <c:smooth val="1"/>
          <c:extLst>
            <c:ext xmlns:c16="http://schemas.microsoft.com/office/drawing/2014/chart" uri="{C3380CC4-5D6E-409C-BE32-E72D297353CC}">
              <c16:uniqueId val="{00000000-D7BD-4676-99D0-E54CF6700438}"/>
            </c:ext>
          </c:extLst>
        </c:ser>
        <c:dLbls>
          <c:showLegendKey val="0"/>
          <c:showVal val="0"/>
          <c:showCatName val="0"/>
          <c:showSerName val="0"/>
          <c:showPercent val="0"/>
          <c:showBubbleSize val="0"/>
        </c:dLbls>
        <c:axId val="-2106882192"/>
        <c:axId val="-2107516544"/>
      </c:scatterChart>
      <c:valAx>
        <c:axId val="-2106882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516544"/>
        <c:crosses val="autoZero"/>
        <c:crossBetween val="midCat"/>
      </c:valAx>
      <c:valAx>
        <c:axId val="-21075165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8821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40'!#REF!</c:f>
              <c:numCache>
                <c:formatCode>General</c:formatCode>
                <c:ptCount val="1"/>
                <c:pt idx="0">
                  <c:v>0</c:v>
                </c:pt>
              </c:numCache>
            </c:numRef>
          </c:xVal>
          <c:yVal>
            <c:numRef>
              <c:f>'Chapitre 40'!#REF!</c:f>
              <c:numCache>
                <c:formatCode>General</c:formatCode>
                <c:ptCount val="1"/>
                <c:pt idx="0">
                  <c:v>0</c:v>
                </c:pt>
              </c:numCache>
            </c:numRef>
          </c:yVal>
          <c:smooth val="1"/>
          <c:extLst>
            <c:ext xmlns:c16="http://schemas.microsoft.com/office/drawing/2014/chart" uri="{C3380CC4-5D6E-409C-BE32-E72D297353CC}">
              <c16:uniqueId val="{00000000-0EC7-4F90-8A3C-D1EBA8BA2030}"/>
            </c:ext>
          </c:extLst>
        </c:ser>
        <c:dLbls>
          <c:showLegendKey val="0"/>
          <c:showVal val="0"/>
          <c:showCatName val="0"/>
          <c:showSerName val="0"/>
          <c:showPercent val="0"/>
          <c:showBubbleSize val="0"/>
        </c:dLbls>
        <c:axId val="-2106907280"/>
        <c:axId val="-2111971744"/>
      </c:scatterChart>
      <c:valAx>
        <c:axId val="-2106907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971744"/>
        <c:crosses val="autoZero"/>
        <c:crossBetween val="midCat"/>
      </c:valAx>
      <c:valAx>
        <c:axId val="-21119717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90728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41'!#REF!</c:f>
              <c:numCache>
                <c:formatCode>General</c:formatCode>
                <c:ptCount val="1"/>
                <c:pt idx="0">
                  <c:v>0</c:v>
                </c:pt>
              </c:numCache>
            </c:numRef>
          </c:xVal>
          <c:yVal>
            <c:numRef>
              <c:f>'Chapitre 41'!#REF!</c:f>
              <c:numCache>
                <c:formatCode>General</c:formatCode>
                <c:ptCount val="1"/>
                <c:pt idx="0">
                  <c:v>0</c:v>
                </c:pt>
              </c:numCache>
            </c:numRef>
          </c:yVal>
          <c:smooth val="1"/>
          <c:extLst>
            <c:ext xmlns:c16="http://schemas.microsoft.com/office/drawing/2014/chart" uri="{C3380CC4-5D6E-409C-BE32-E72D297353CC}">
              <c16:uniqueId val="{00000000-3F2B-4E93-9943-35B00B112656}"/>
            </c:ext>
          </c:extLst>
        </c:ser>
        <c:dLbls>
          <c:showLegendKey val="0"/>
          <c:showVal val="0"/>
          <c:showCatName val="0"/>
          <c:showSerName val="0"/>
          <c:showPercent val="0"/>
          <c:showBubbleSize val="0"/>
        </c:dLbls>
        <c:axId val="-2131243200"/>
        <c:axId val="-2131169760"/>
      </c:scatterChart>
      <c:valAx>
        <c:axId val="-2131243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169760"/>
        <c:crosses val="autoZero"/>
        <c:crossBetween val="midCat"/>
      </c:valAx>
      <c:valAx>
        <c:axId val="-21311697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2432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41'!#REF!</c:f>
              <c:numCache>
                <c:formatCode>General</c:formatCode>
                <c:ptCount val="1"/>
                <c:pt idx="0">
                  <c:v>0</c:v>
                </c:pt>
              </c:numCache>
            </c:numRef>
          </c:xVal>
          <c:yVal>
            <c:numRef>
              <c:f>'Chapitre 41'!#REF!</c:f>
              <c:numCache>
                <c:formatCode>General</c:formatCode>
                <c:ptCount val="1"/>
                <c:pt idx="0">
                  <c:v>0</c:v>
                </c:pt>
              </c:numCache>
            </c:numRef>
          </c:yVal>
          <c:smooth val="1"/>
          <c:extLst>
            <c:ext xmlns:c16="http://schemas.microsoft.com/office/drawing/2014/chart" uri="{C3380CC4-5D6E-409C-BE32-E72D297353CC}">
              <c16:uniqueId val="{00000000-9268-49BD-8531-BC045FFAC6B3}"/>
            </c:ext>
          </c:extLst>
        </c:ser>
        <c:dLbls>
          <c:showLegendKey val="0"/>
          <c:showVal val="0"/>
          <c:showCatName val="0"/>
          <c:showSerName val="0"/>
          <c:showPercent val="0"/>
          <c:showBubbleSize val="0"/>
        </c:dLbls>
        <c:axId val="-2131366112"/>
        <c:axId val="-2106939040"/>
      </c:scatterChart>
      <c:valAx>
        <c:axId val="-213136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939040"/>
        <c:crosses val="autoZero"/>
        <c:crossBetween val="midCat"/>
      </c:valAx>
      <c:valAx>
        <c:axId val="-21069390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36611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42'!#REF!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42'!#REF!</c:f>
              <c:numCache>
                <c:formatCode>General</c:formatCode>
                <c:ptCount val="1"/>
                <c:pt idx="0">
                  <c:v>0</c:v>
                </c:pt>
              </c:numCache>
            </c:numRef>
          </c:xVal>
          <c:yVal>
            <c:numRef>
              <c:f>' Chapitre 42'!#REF!</c:f>
              <c:numCache>
                <c:formatCode>General</c:formatCode>
                <c:ptCount val="1"/>
                <c:pt idx="0">
                  <c:v>0</c:v>
                </c:pt>
              </c:numCache>
            </c:numRef>
          </c:yVal>
          <c:smooth val="1"/>
          <c:extLst>
            <c:ext xmlns:c16="http://schemas.microsoft.com/office/drawing/2014/chart" uri="{C3380CC4-5D6E-409C-BE32-E72D297353CC}">
              <c16:uniqueId val="{00000000-2FED-45F0-89AB-965BE44B330D}"/>
            </c:ext>
          </c:extLst>
        </c:ser>
        <c:dLbls>
          <c:showLegendKey val="0"/>
          <c:showVal val="0"/>
          <c:showCatName val="0"/>
          <c:showSerName val="0"/>
          <c:showPercent val="0"/>
          <c:showBubbleSize val="0"/>
        </c:dLbls>
        <c:axId val="-2092218208"/>
        <c:axId val="-2135701392"/>
      </c:scatterChart>
      <c:valAx>
        <c:axId val="-2092218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701392"/>
        <c:crosses val="autoZero"/>
        <c:crossBetween val="midCat"/>
      </c:valAx>
      <c:valAx>
        <c:axId val="-21357013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21820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42'!#REF!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42'!#REF!</c:f>
              <c:numCache>
                <c:formatCode>General</c:formatCode>
                <c:ptCount val="1"/>
                <c:pt idx="0">
                  <c:v>0</c:v>
                </c:pt>
              </c:numCache>
            </c:numRef>
          </c:xVal>
          <c:yVal>
            <c:numRef>
              <c:f>' Chapitre 42'!#REF!</c:f>
              <c:numCache>
                <c:formatCode>General</c:formatCode>
                <c:ptCount val="1"/>
                <c:pt idx="0">
                  <c:v>0</c:v>
                </c:pt>
              </c:numCache>
            </c:numRef>
          </c:yVal>
          <c:smooth val="1"/>
          <c:extLst>
            <c:ext xmlns:c16="http://schemas.microsoft.com/office/drawing/2014/chart" uri="{C3380CC4-5D6E-409C-BE32-E72D297353CC}">
              <c16:uniqueId val="{00000000-E71C-4D9E-AF38-C797E8964D3B}"/>
            </c:ext>
          </c:extLst>
        </c:ser>
        <c:dLbls>
          <c:showLegendKey val="0"/>
          <c:showVal val="0"/>
          <c:showCatName val="0"/>
          <c:showSerName val="0"/>
          <c:showPercent val="0"/>
          <c:showBubbleSize val="0"/>
        </c:dLbls>
        <c:axId val="-2112252000"/>
        <c:axId val="-2112249088"/>
      </c:scatterChart>
      <c:valAx>
        <c:axId val="-2112252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249088"/>
        <c:crosses val="autoZero"/>
        <c:crossBetween val="midCat"/>
      </c:valAx>
      <c:valAx>
        <c:axId val="-21122490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2520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Portefeuille H,C</a:t>
            </a:r>
          </a:p>
        </c:rich>
      </c:tx>
      <c:layout>
        <c:manualLayout>
          <c:xMode val="edge"/>
          <c:yMode val="edge"/>
          <c:x val="0.39602210049830699"/>
          <c:y val="3.9215686274509803E-2"/>
        </c:manualLayout>
      </c:layout>
      <c:overlay val="0"/>
      <c:spPr>
        <a:noFill/>
        <a:ln w="25400">
          <a:noFill/>
        </a:ln>
      </c:spPr>
    </c:title>
    <c:autoTitleDeleted val="0"/>
    <c:plotArea>
      <c:layout>
        <c:manualLayout>
          <c:layoutTarget val="inner"/>
          <c:xMode val="edge"/>
          <c:yMode val="edge"/>
          <c:x val="0.16636542718466299"/>
          <c:y val="0.25098135332932497"/>
          <c:w val="0.76672762093801305"/>
          <c:h val="0.48627637207556701"/>
        </c:manualLayout>
      </c:layout>
      <c:scatterChart>
        <c:scatterStyle val="smoothMarker"/>
        <c:varyColors val="0"/>
        <c:ser>
          <c:idx val="0"/>
          <c:order val="0"/>
          <c:tx>
            <c:strRef>
              <c:f>'Chapitre 20'!$A$27</c:f>
              <c:strCache>
                <c:ptCount val="1"/>
                <c:pt idx="0">
                  <c:v>E(r H,C)</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20'!$B$26:$L$26</c:f>
              <c:numCache>
                <c:formatCode>0.00%</c:formatCode>
                <c:ptCount val="11"/>
                <c:pt idx="0">
                  <c:v>0.1</c:v>
                </c:pt>
                <c:pt idx="1">
                  <c:v>9.6472794092427955E-2</c:v>
                </c:pt>
                <c:pt idx="2">
                  <c:v>9.57257260831504E-2</c:v>
                </c:pt>
                <c:pt idx="3">
                  <c:v>9.8198777996470005E-2</c:v>
                </c:pt>
                <c:pt idx="4">
                  <c:v>0.10330537256115968</c:v>
                </c:pt>
                <c:pt idx="5">
                  <c:v>0.1107925990308017</c:v>
                </c:pt>
                <c:pt idx="6">
                  <c:v>0.12021647141718976</c:v>
                </c:pt>
                <c:pt idx="7">
                  <c:v>0.13116020738013492</c:v>
                </c:pt>
                <c:pt idx="8">
                  <c:v>0.14327595750857858</c:v>
                </c:pt>
                <c:pt idx="9">
                  <c:v>0.15629139451678076</c:v>
                </c:pt>
                <c:pt idx="10">
                  <c:v>0.17</c:v>
                </c:pt>
              </c:numCache>
            </c:numRef>
          </c:xVal>
          <c:yVal>
            <c:numRef>
              <c:f>'Chapitre 20'!$B$27:$L$27</c:f>
              <c:numCache>
                <c:formatCode>0.00%</c:formatCode>
                <c:ptCount val="11"/>
                <c:pt idx="0">
                  <c:v>0.06</c:v>
                </c:pt>
                <c:pt idx="1">
                  <c:v>6.7000000000000004E-2</c:v>
                </c:pt>
                <c:pt idx="2">
                  <c:v>7.1951219512195116E-2</c:v>
                </c:pt>
                <c:pt idx="3">
                  <c:v>8.0999999999999989E-2</c:v>
                </c:pt>
                <c:pt idx="4">
                  <c:v>8.7999999999999995E-2</c:v>
                </c:pt>
                <c:pt idx="5">
                  <c:v>9.5000000000000001E-2</c:v>
                </c:pt>
                <c:pt idx="6">
                  <c:v>0.10200000000000001</c:v>
                </c:pt>
                <c:pt idx="7">
                  <c:v>0.109</c:v>
                </c:pt>
                <c:pt idx="8">
                  <c:v>0.11600000000000001</c:v>
                </c:pt>
                <c:pt idx="9">
                  <c:v>0.123</c:v>
                </c:pt>
                <c:pt idx="10">
                  <c:v>0.13</c:v>
                </c:pt>
              </c:numCache>
            </c:numRef>
          </c:yVal>
          <c:smooth val="1"/>
          <c:extLst>
            <c:ext xmlns:c16="http://schemas.microsoft.com/office/drawing/2014/chart" uri="{C3380CC4-5D6E-409C-BE32-E72D297353CC}">
              <c16:uniqueId val="{00000000-1E2D-4351-A41B-5BDF1F67045D}"/>
            </c:ext>
          </c:extLst>
        </c:ser>
        <c:dLbls>
          <c:showLegendKey val="0"/>
          <c:showVal val="0"/>
          <c:showCatName val="0"/>
          <c:showSerName val="0"/>
          <c:showPercent val="0"/>
          <c:showBubbleSize val="0"/>
        </c:dLbls>
        <c:axId val="-2074874640"/>
        <c:axId val="-2096550192"/>
      </c:scatterChart>
      <c:valAx>
        <c:axId val="-2074874640"/>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fr-FR" sz="925" b="1" i="0" u="none" strike="noStrike" baseline="0">
                    <a:solidFill>
                      <a:srgbClr val="000000"/>
                    </a:solidFill>
                    <a:latin typeface="Arial"/>
                    <a:cs typeface="Arial"/>
                  </a:rPr>
                  <a:t>σ H,C</a:t>
                </a:r>
              </a:p>
            </c:rich>
          </c:tx>
          <c:layout>
            <c:manualLayout>
              <c:xMode val="edge"/>
              <c:yMode val="edge"/>
              <c:x val="0.52079615048118999"/>
              <c:y val="0.8549052544902480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096550192"/>
        <c:crosses val="autoZero"/>
        <c:crossBetween val="midCat"/>
      </c:valAx>
      <c:valAx>
        <c:axId val="-2096550192"/>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fr-FR"/>
                  <a:t>E(r H,C)</a:t>
                </a:r>
              </a:p>
            </c:rich>
          </c:tx>
          <c:layout>
            <c:manualLayout>
              <c:xMode val="edge"/>
              <c:yMode val="edge"/>
              <c:x val="2.8933013808056601E-2"/>
              <c:y val="0.4078447841078690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0748746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c:v>
              </c:pt>
            </c:numLit>
          </c:yVal>
          <c:smooth val="1"/>
          <c:extLst>
            <c:ext xmlns:c16="http://schemas.microsoft.com/office/drawing/2014/chart" uri="{C3380CC4-5D6E-409C-BE32-E72D297353CC}">
              <c16:uniqueId val="{00000000-4A17-4735-BBB9-AD81A66BB5B5}"/>
            </c:ext>
          </c:extLst>
        </c:ser>
        <c:dLbls>
          <c:showLegendKey val="0"/>
          <c:showVal val="0"/>
          <c:showCatName val="0"/>
          <c:showSerName val="0"/>
          <c:showPercent val="0"/>
          <c:showBubbleSize val="0"/>
        </c:dLbls>
        <c:axId val="-2092045648"/>
        <c:axId val="-2107296592"/>
      </c:scatterChart>
      <c:valAx>
        <c:axId val="-2092045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296592"/>
        <c:crosses val="autoZero"/>
        <c:crossBetween val="midCat"/>
      </c:valAx>
      <c:valAx>
        <c:axId val="-21072965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04564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c:v>
              </c:pt>
            </c:numLit>
          </c:yVal>
          <c:smooth val="1"/>
          <c:extLst>
            <c:ext xmlns:c16="http://schemas.microsoft.com/office/drawing/2014/chart" uri="{C3380CC4-5D6E-409C-BE32-E72D297353CC}">
              <c16:uniqueId val="{00000000-6185-44F5-8911-4453A48F84FE}"/>
            </c:ext>
          </c:extLst>
        </c:ser>
        <c:dLbls>
          <c:showLegendKey val="0"/>
          <c:showVal val="0"/>
          <c:showCatName val="0"/>
          <c:showSerName val="0"/>
          <c:showPercent val="0"/>
          <c:showBubbleSize val="0"/>
        </c:dLbls>
        <c:axId val="-2107246480"/>
        <c:axId val="-2107242528"/>
      </c:scatterChart>
      <c:valAx>
        <c:axId val="-2107246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242528"/>
        <c:crosses val="autoZero"/>
        <c:crossBetween val="midCat"/>
      </c:valAx>
      <c:valAx>
        <c:axId val="-21072425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24648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Portefeuille B,S</a:t>
            </a:r>
          </a:p>
        </c:rich>
      </c:tx>
      <c:overlay val="0"/>
      <c:spPr>
        <a:noFill/>
        <a:ln w="25400">
          <a:noFill/>
        </a:ln>
      </c:sp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c:v>
              </c:pt>
            </c:numLit>
          </c:yVal>
          <c:smooth val="1"/>
          <c:extLst>
            <c:ext xmlns:c16="http://schemas.microsoft.com/office/drawing/2014/chart" uri="{C3380CC4-5D6E-409C-BE32-E72D297353CC}">
              <c16:uniqueId val="{00000000-6BF3-42BA-B6E0-6708C054EA03}"/>
            </c:ext>
          </c:extLst>
        </c:ser>
        <c:dLbls>
          <c:showLegendKey val="0"/>
          <c:showVal val="0"/>
          <c:showCatName val="0"/>
          <c:showSerName val="0"/>
          <c:showPercent val="0"/>
          <c:showBubbleSize val="0"/>
        </c:dLbls>
        <c:axId val="-2107094208"/>
        <c:axId val="-2107077808"/>
      </c:scatterChart>
      <c:valAx>
        <c:axId val="-2107094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077808"/>
        <c:crosses val="autoZero"/>
        <c:crossBetween val="midCat"/>
      </c:valAx>
      <c:valAx>
        <c:axId val="-21070778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09420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c:v>
              </c:pt>
            </c:numLit>
          </c:yVal>
          <c:smooth val="1"/>
          <c:extLst>
            <c:ext xmlns:c16="http://schemas.microsoft.com/office/drawing/2014/chart" uri="{C3380CC4-5D6E-409C-BE32-E72D297353CC}">
              <c16:uniqueId val="{00000000-0059-4696-890E-38D626C84E5C}"/>
            </c:ext>
          </c:extLst>
        </c:ser>
        <c:dLbls>
          <c:showLegendKey val="0"/>
          <c:showVal val="0"/>
          <c:showCatName val="0"/>
          <c:showSerName val="0"/>
          <c:showPercent val="0"/>
          <c:showBubbleSize val="0"/>
        </c:dLbls>
        <c:axId val="-2135818240"/>
        <c:axId val="2144278704"/>
      </c:scatterChart>
      <c:valAx>
        <c:axId val="-2135818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44278704"/>
        <c:crosses val="autoZero"/>
        <c:crossBetween val="midCat"/>
      </c:valAx>
      <c:valAx>
        <c:axId val="21442787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8182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45'!#REF!</c:f>
              <c:numCache>
                <c:formatCode>General</c:formatCode>
                <c:ptCount val="1"/>
                <c:pt idx="0">
                  <c:v>0</c:v>
                </c:pt>
              </c:numCache>
            </c:numRef>
          </c:xVal>
          <c:yVal>
            <c:numRef>
              <c:f>'Chapitre 45'!#REF!</c:f>
              <c:numCache>
                <c:formatCode>General</c:formatCode>
                <c:ptCount val="1"/>
                <c:pt idx="0">
                  <c:v>0</c:v>
                </c:pt>
              </c:numCache>
            </c:numRef>
          </c:yVal>
          <c:smooth val="1"/>
          <c:extLst>
            <c:ext xmlns:c16="http://schemas.microsoft.com/office/drawing/2014/chart" uri="{C3380CC4-5D6E-409C-BE32-E72D297353CC}">
              <c16:uniqueId val="{00000000-7653-4FD3-8902-17E92A594C0F}"/>
            </c:ext>
          </c:extLst>
        </c:ser>
        <c:dLbls>
          <c:showLegendKey val="0"/>
          <c:showVal val="0"/>
          <c:showCatName val="0"/>
          <c:showSerName val="0"/>
          <c:showPercent val="0"/>
          <c:showBubbleSize val="0"/>
        </c:dLbls>
        <c:axId val="-2112662992"/>
        <c:axId val="-2089746896"/>
      </c:scatterChart>
      <c:valAx>
        <c:axId val="-2112662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89746896"/>
        <c:crosses val="autoZero"/>
        <c:crossBetween val="midCat"/>
      </c:valAx>
      <c:valAx>
        <c:axId val="-20897468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6629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45'!#REF!</c:f>
              <c:numCache>
                <c:formatCode>General</c:formatCode>
                <c:ptCount val="1"/>
                <c:pt idx="0">
                  <c:v>0</c:v>
                </c:pt>
              </c:numCache>
            </c:numRef>
          </c:xVal>
          <c:yVal>
            <c:numRef>
              <c:f>'Chapitre 45'!#REF!</c:f>
              <c:numCache>
                <c:formatCode>General</c:formatCode>
                <c:ptCount val="1"/>
                <c:pt idx="0">
                  <c:v>0</c:v>
                </c:pt>
              </c:numCache>
            </c:numRef>
          </c:yVal>
          <c:smooth val="1"/>
          <c:extLst>
            <c:ext xmlns:c16="http://schemas.microsoft.com/office/drawing/2014/chart" uri="{C3380CC4-5D6E-409C-BE32-E72D297353CC}">
              <c16:uniqueId val="{00000000-4D27-4EAB-830A-CFCABF6BD81A}"/>
            </c:ext>
          </c:extLst>
        </c:ser>
        <c:dLbls>
          <c:showLegendKey val="0"/>
          <c:showVal val="0"/>
          <c:showCatName val="0"/>
          <c:showSerName val="0"/>
          <c:showPercent val="0"/>
          <c:showBubbleSize val="0"/>
        </c:dLbls>
        <c:axId val="-2112154240"/>
        <c:axId val="-2096335264"/>
      </c:scatterChart>
      <c:valAx>
        <c:axId val="-2112154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6335264"/>
        <c:crosses val="autoZero"/>
        <c:crossBetween val="midCat"/>
      </c:valAx>
      <c:valAx>
        <c:axId val="-20963352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1542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49'!#REF!</c:f>
              <c:numCache>
                <c:formatCode>General</c:formatCode>
                <c:ptCount val="1"/>
                <c:pt idx="0">
                  <c:v>0</c:v>
                </c:pt>
              </c:numCache>
            </c:numRef>
          </c:xVal>
          <c:yVal>
            <c:numRef>
              <c:f>'Chapitre 49'!#REF!</c:f>
              <c:numCache>
                <c:formatCode>General</c:formatCode>
                <c:ptCount val="1"/>
                <c:pt idx="0">
                  <c:v>0</c:v>
                </c:pt>
              </c:numCache>
            </c:numRef>
          </c:yVal>
          <c:smooth val="1"/>
          <c:extLst>
            <c:ext xmlns:c16="http://schemas.microsoft.com/office/drawing/2014/chart" uri="{C3380CC4-5D6E-409C-BE32-E72D297353CC}">
              <c16:uniqueId val="{00000000-E697-47EE-AFF6-072509CA84A2}"/>
            </c:ext>
          </c:extLst>
        </c:ser>
        <c:dLbls>
          <c:showLegendKey val="0"/>
          <c:showVal val="0"/>
          <c:showCatName val="0"/>
          <c:showSerName val="0"/>
          <c:showPercent val="0"/>
          <c:showBubbleSize val="0"/>
        </c:dLbls>
        <c:axId val="-2112817712"/>
        <c:axId val="-2092055632"/>
      </c:scatterChart>
      <c:valAx>
        <c:axId val="-2112817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055632"/>
        <c:crosses val="autoZero"/>
        <c:crossBetween val="midCat"/>
      </c:valAx>
      <c:valAx>
        <c:axId val="-20920556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81771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49'!#REF!</c:f>
              <c:numCache>
                <c:formatCode>General</c:formatCode>
                <c:ptCount val="1"/>
                <c:pt idx="0">
                  <c:v>0</c:v>
                </c:pt>
              </c:numCache>
            </c:numRef>
          </c:xVal>
          <c:yVal>
            <c:numRef>
              <c:f>'Chapitre 49'!#REF!</c:f>
              <c:numCache>
                <c:formatCode>General</c:formatCode>
                <c:ptCount val="1"/>
                <c:pt idx="0">
                  <c:v>0</c:v>
                </c:pt>
              </c:numCache>
            </c:numRef>
          </c:yVal>
          <c:smooth val="1"/>
          <c:extLst>
            <c:ext xmlns:c16="http://schemas.microsoft.com/office/drawing/2014/chart" uri="{C3380CC4-5D6E-409C-BE32-E72D297353CC}">
              <c16:uniqueId val="{00000000-5BCC-4288-A76C-A09839FA63B1}"/>
            </c:ext>
          </c:extLst>
        </c:ser>
        <c:dLbls>
          <c:showLegendKey val="0"/>
          <c:showVal val="0"/>
          <c:showCatName val="0"/>
          <c:showSerName val="0"/>
          <c:showPercent val="0"/>
          <c:showBubbleSize val="0"/>
        </c:dLbls>
        <c:axId val="-2112697168"/>
        <c:axId val="-2112434416"/>
      </c:scatterChart>
      <c:valAx>
        <c:axId val="-2112697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434416"/>
        <c:crosses val="autoZero"/>
        <c:crossBetween val="midCat"/>
      </c:valAx>
      <c:valAx>
        <c:axId val="-21124344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69716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51'!#REF!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51'!#REF!</c:f>
              <c:numCache>
                <c:formatCode>General</c:formatCode>
                <c:ptCount val="1"/>
                <c:pt idx="0">
                  <c:v>0</c:v>
                </c:pt>
              </c:numCache>
            </c:numRef>
          </c:xVal>
          <c:yVal>
            <c:numRef>
              <c:f>'Chapitre 51'!#REF!</c:f>
              <c:numCache>
                <c:formatCode>General</c:formatCode>
                <c:ptCount val="1"/>
                <c:pt idx="0">
                  <c:v>0</c:v>
                </c:pt>
              </c:numCache>
            </c:numRef>
          </c:yVal>
          <c:smooth val="1"/>
          <c:extLst>
            <c:ext xmlns:c16="http://schemas.microsoft.com/office/drawing/2014/chart" uri="{C3380CC4-5D6E-409C-BE32-E72D297353CC}">
              <c16:uniqueId val="{00000000-221C-4FD0-96CD-4E7E89649639}"/>
            </c:ext>
          </c:extLst>
        </c:ser>
        <c:dLbls>
          <c:showLegendKey val="0"/>
          <c:showVal val="0"/>
          <c:showCatName val="0"/>
          <c:showSerName val="0"/>
          <c:showPercent val="0"/>
          <c:showBubbleSize val="0"/>
        </c:dLbls>
        <c:axId val="-2112780176"/>
        <c:axId val="2143630944"/>
      </c:scatterChart>
      <c:valAx>
        <c:axId val="-2112780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43630944"/>
        <c:crosses val="autoZero"/>
        <c:crossBetween val="midCat"/>
      </c:valAx>
      <c:valAx>
        <c:axId val="21436309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78017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51'!#REF!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51'!#REF!</c:f>
              <c:numCache>
                <c:formatCode>General</c:formatCode>
                <c:ptCount val="1"/>
                <c:pt idx="0">
                  <c:v>0</c:v>
                </c:pt>
              </c:numCache>
            </c:numRef>
          </c:xVal>
          <c:yVal>
            <c:numRef>
              <c:f>'Chapitre 51'!#REF!</c:f>
              <c:numCache>
                <c:formatCode>General</c:formatCode>
                <c:ptCount val="1"/>
                <c:pt idx="0">
                  <c:v>0</c:v>
                </c:pt>
              </c:numCache>
            </c:numRef>
          </c:yVal>
          <c:smooth val="1"/>
          <c:extLst>
            <c:ext xmlns:c16="http://schemas.microsoft.com/office/drawing/2014/chart" uri="{C3380CC4-5D6E-409C-BE32-E72D297353CC}">
              <c16:uniqueId val="{00000000-4A46-4E26-8A9E-27687DD09688}"/>
            </c:ext>
          </c:extLst>
        </c:ser>
        <c:dLbls>
          <c:showLegendKey val="0"/>
          <c:showVal val="0"/>
          <c:showCatName val="0"/>
          <c:showSerName val="0"/>
          <c:showPercent val="0"/>
          <c:showBubbleSize val="0"/>
        </c:dLbls>
        <c:axId val="-2108447856"/>
        <c:axId val="-2108445072"/>
      </c:scatterChart>
      <c:valAx>
        <c:axId val="-2108447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8445072"/>
        <c:crosses val="autoZero"/>
        <c:crossBetween val="midCat"/>
      </c:valAx>
      <c:valAx>
        <c:axId val="-21084450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844785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93829401088929"/>
          <c:y val="3.6363878428240001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fr-FR"/>
        </a:p>
      </c:txPr>
    </c:title>
    <c:autoTitleDeleted val="0"/>
    <c:plotArea>
      <c:layout>
        <c:manualLayout>
          <c:layoutTarget val="inner"/>
          <c:xMode val="edge"/>
          <c:yMode val="edge"/>
          <c:x val="0.17241379310344801"/>
          <c:y val="0.218181818181818"/>
          <c:w val="0.75862068965517304"/>
          <c:h val="0.530909090909091"/>
        </c:manualLayout>
      </c:layout>
      <c:scatterChart>
        <c:scatterStyle val="smoothMarker"/>
        <c:varyColors val="0"/>
        <c:ser>
          <c:idx val="0"/>
          <c:order val="0"/>
          <c:tx>
            <c:strRef>
              <c:f>'Chapitre 20'!$A$56</c:f>
              <c:strCache>
                <c:ptCount val="1"/>
                <c:pt idx="0">
                  <c:v>Rentabilité attendue</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20'!$C$55:$H$55</c:f>
              <c:numCache>
                <c:formatCode>0.00%</c:formatCode>
                <c:ptCount val="6"/>
                <c:pt idx="0">
                  <c:v>0.15</c:v>
                </c:pt>
                <c:pt idx="1">
                  <c:v>0.14523687548277814</c:v>
                </c:pt>
                <c:pt idx="2">
                  <c:v>0.15</c:v>
                </c:pt>
                <c:pt idx="3">
                  <c:v>0.18371173070873834</c:v>
                </c:pt>
                <c:pt idx="4">
                  <c:v>0.23717082451262844</c:v>
                </c:pt>
                <c:pt idx="5">
                  <c:v>0.3</c:v>
                </c:pt>
              </c:numCache>
            </c:numRef>
          </c:xVal>
          <c:yVal>
            <c:numRef>
              <c:f>'Chapitre 20'!$C$56:$H$56</c:f>
              <c:numCache>
                <c:formatCode>0.00%</c:formatCode>
                <c:ptCount val="6"/>
                <c:pt idx="0">
                  <c:v>0.1</c:v>
                </c:pt>
                <c:pt idx="1">
                  <c:v>0.11250000000000002</c:v>
                </c:pt>
                <c:pt idx="2">
                  <c:v>0.125</c:v>
                </c:pt>
                <c:pt idx="3">
                  <c:v>0.15000000000000002</c:v>
                </c:pt>
                <c:pt idx="4">
                  <c:v>0.17500000000000002</c:v>
                </c:pt>
                <c:pt idx="5">
                  <c:v>0.2</c:v>
                </c:pt>
              </c:numCache>
            </c:numRef>
          </c:yVal>
          <c:smooth val="1"/>
          <c:extLst>
            <c:ext xmlns:c16="http://schemas.microsoft.com/office/drawing/2014/chart" uri="{C3380CC4-5D6E-409C-BE32-E72D297353CC}">
              <c16:uniqueId val="{00000000-5558-4AD6-94A2-5F0A3F8B0B89}"/>
            </c:ext>
          </c:extLst>
        </c:ser>
        <c:dLbls>
          <c:showLegendKey val="0"/>
          <c:showVal val="0"/>
          <c:showCatName val="0"/>
          <c:showSerName val="0"/>
          <c:showPercent val="0"/>
          <c:showBubbleSize val="0"/>
        </c:dLbls>
        <c:axId val="2144163760"/>
        <c:axId val="-2074222928"/>
      </c:scatterChart>
      <c:valAx>
        <c:axId val="214416376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fr-FR"/>
                  <a:t>Ecart-type</a:t>
                </a:r>
              </a:p>
            </c:rich>
          </c:tx>
          <c:layout>
            <c:manualLayout>
              <c:xMode val="edge"/>
              <c:yMode val="edge"/>
              <c:x val="0.49183303085299501"/>
              <c:y val="0.8618182509794970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074222928"/>
        <c:crosses val="autoZero"/>
        <c:crossBetween val="midCat"/>
      </c:valAx>
      <c:valAx>
        <c:axId val="-2074222928"/>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fr-FR"/>
                  <a:t>Rentabilité attendue</a:t>
                </a:r>
              </a:p>
            </c:rich>
          </c:tx>
          <c:layout>
            <c:manualLayout>
              <c:xMode val="edge"/>
              <c:yMode val="edge"/>
              <c:x val="2.9038112522686E-2"/>
              <c:y val="0.2436361215717600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14416376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40705563093601"/>
          <c:y val="9.6153846153846201E-2"/>
          <c:w val="0.86974219810040698"/>
          <c:h val="0.72692307692307701"/>
        </c:manualLayout>
      </c:layout>
      <c:scatterChart>
        <c:scatterStyle val="smoothMarker"/>
        <c:varyColors val="0"/>
        <c:ser>
          <c:idx val="18"/>
          <c:order val="0"/>
          <c:tx>
            <c:strRef>
              <c:f>'Chapitre 51'!$A$60</c:f>
              <c:strCache>
                <c:ptCount val="1"/>
                <c:pt idx="0">
                  <c:v>VAN</c:v>
                </c:pt>
              </c:strCache>
            </c:strRef>
          </c:tx>
          <c:spPr>
            <a:ln w="25400">
              <a:solidFill>
                <a:srgbClr val="FFCC00"/>
              </a:solidFill>
              <a:prstDash val="solid"/>
            </a:ln>
          </c:spPr>
          <c:marker>
            <c:symbol val="diamond"/>
            <c:size val="5"/>
            <c:spPr>
              <a:solidFill>
                <a:srgbClr val="FFCC00"/>
              </a:solidFill>
              <a:ln>
                <a:solidFill>
                  <a:srgbClr val="FFCC00"/>
                </a:solidFill>
                <a:prstDash val="solid"/>
              </a:ln>
            </c:spPr>
          </c:marker>
          <c:xVal>
            <c:numRef>
              <c:f>'Chapitre 51'!$B$45:$F$45</c:f>
              <c:numCache>
                <c:formatCode>General</c:formatCode>
                <c:ptCount val="5"/>
                <c:pt idx="0">
                  <c:v>0</c:v>
                </c:pt>
                <c:pt idx="1">
                  <c:v>15</c:v>
                </c:pt>
                <c:pt idx="2">
                  <c:v>30</c:v>
                </c:pt>
                <c:pt idx="3">
                  <c:v>45</c:v>
                </c:pt>
                <c:pt idx="4">
                  <c:v>60</c:v>
                </c:pt>
              </c:numCache>
            </c:numRef>
          </c:xVal>
          <c:yVal>
            <c:numRef>
              <c:f>'Chapitre 51'!$B$60:$F$60</c:f>
              <c:numCache>
                <c:formatCode>0.00</c:formatCode>
                <c:ptCount val="5"/>
                <c:pt idx="0">
                  <c:v>0</c:v>
                </c:pt>
                <c:pt idx="1">
                  <c:v>9.521739130434753</c:v>
                </c:pt>
                <c:pt idx="2">
                  <c:v>25.260393873085377</c:v>
                </c:pt>
                <c:pt idx="3">
                  <c:v>5.7513368983957207</c:v>
                </c:pt>
                <c:pt idx="4">
                  <c:v>-0.4675066312997842</c:v>
                </c:pt>
              </c:numCache>
            </c:numRef>
          </c:yVal>
          <c:smooth val="1"/>
          <c:extLst>
            <c:ext xmlns:c16="http://schemas.microsoft.com/office/drawing/2014/chart" uri="{C3380CC4-5D6E-409C-BE32-E72D297353CC}">
              <c16:uniqueId val="{00000000-22E9-4C6A-85D6-4724D7D98C6D}"/>
            </c:ext>
          </c:extLst>
        </c:ser>
        <c:dLbls>
          <c:showLegendKey val="0"/>
          <c:showVal val="0"/>
          <c:showCatName val="0"/>
          <c:showSerName val="0"/>
          <c:showPercent val="0"/>
          <c:showBubbleSize val="0"/>
        </c:dLbls>
        <c:axId val="-2130848848"/>
        <c:axId val="-2111994160"/>
      </c:scatterChart>
      <c:valAx>
        <c:axId val="-21308488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Jours de crédit sup.</a:t>
                </a:r>
              </a:p>
            </c:rich>
          </c:tx>
          <c:layout>
            <c:manualLayout>
              <c:xMode val="edge"/>
              <c:yMode val="edge"/>
              <c:x val="0.45725907223553602"/>
              <c:y val="0.861538461538462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11994160"/>
        <c:crosses val="autoZero"/>
        <c:crossBetween val="midCat"/>
      </c:valAx>
      <c:valAx>
        <c:axId val="-21119941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VAN</a:t>
                </a:r>
              </a:p>
            </c:rich>
          </c:tx>
          <c:layout>
            <c:manualLayout>
              <c:xMode val="edge"/>
              <c:yMode val="edge"/>
              <c:x val="2.1709602875727499E-2"/>
              <c:y val="0.4076923076923080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3084884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3446404341899"/>
          <c:y val="9.6153846153846201E-2"/>
          <c:w val="0.86431478968792397"/>
          <c:h val="0.72692307692307701"/>
        </c:manualLayout>
      </c:layout>
      <c:scatterChart>
        <c:scatterStyle val="smoothMarker"/>
        <c:varyColors val="0"/>
        <c:ser>
          <c:idx val="14"/>
          <c:order val="0"/>
          <c:tx>
            <c:strRef>
              <c:f>'Chapitre 51'!$A$97</c:f>
              <c:strCache>
                <c:ptCount val="1"/>
                <c:pt idx="0">
                  <c:v>VAN</c:v>
                </c:pt>
              </c:strCache>
            </c:strRef>
          </c:tx>
          <c:spPr>
            <a:ln w="25400">
              <a:solidFill>
                <a:srgbClr val="FFCC00"/>
              </a:solidFill>
              <a:prstDash val="solid"/>
            </a:ln>
          </c:spPr>
          <c:marker>
            <c:symbol val="circle"/>
            <c:size val="5"/>
            <c:spPr>
              <a:solidFill>
                <a:srgbClr val="FFCC00"/>
              </a:solidFill>
              <a:ln>
                <a:solidFill>
                  <a:srgbClr val="FFCC00"/>
                </a:solidFill>
                <a:prstDash val="solid"/>
              </a:ln>
            </c:spPr>
          </c:marker>
          <c:xVal>
            <c:numRef>
              <c:f>'Chapitre 51'!$B$83:$F$83</c:f>
              <c:numCache>
                <c:formatCode>General</c:formatCode>
                <c:ptCount val="5"/>
                <c:pt idx="0">
                  <c:v>0</c:v>
                </c:pt>
                <c:pt idx="1">
                  <c:v>15</c:v>
                </c:pt>
                <c:pt idx="2">
                  <c:v>30</c:v>
                </c:pt>
                <c:pt idx="3">
                  <c:v>45</c:v>
                </c:pt>
                <c:pt idx="4">
                  <c:v>60</c:v>
                </c:pt>
              </c:numCache>
            </c:numRef>
          </c:xVal>
          <c:yVal>
            <c:numRef>
              <c:f>'Chapitre 51'!$B$97:$F$97</c:f>
              <c:numCache>
                <c:formatCode>0.00</c:formatCode>
                <c:ptCount val="5"/>
                <c:pt idx="0">
                  <c:v>0</c:v>
                </c:pt>
                <c:pt idx="1">
                  <c:v>-10.513253924361607</c:v>
                </c:pt>
                <c:pt idx="2">
                  <c:v>-15.083758667871507</c:v>
                </c:pt>
                <c:pt idx="3">
                  <c:v>-23.986439994709713</c:v>
                </c:pt>
                <c:pt idx="4">
                  <c:v>-40.137640859933867</c:v>
                </c:pt>
              </c:numCache>
            </c:numRef>
          </c:yVal>
          <c:smooth val="1"/>
          <c:extLst>
            <c:ext xmlns:c16="http://schemas.microsoft.com/office/drawing/2014/chart" uri="{C3380CC4-5D6E-409C-BE32-E72D297353CC}">
              <c16:uniqueId val="{00000000-C8F4-44D4-A0C8-15BB64A0ED94}"/>
            </c:ext>
          </c:extLst>
        </c:ser>
        <c:dLbls>
          <c:showLegendKey val="0"/>
          <c:showVal val="0"/>
          <c:showCatName val="0"/>
          <c:showSerName val="0"/>
          <c:showPercent val="0"/>
          <c:showBubbleSize val="0"/>
        </c:dLbls>
        <c:axId val="-2110340592"/>
        <c:axId val="-2109853856"/>
      </c:scatterChart>
      <c:valAx>
        <c:axId val="-211034059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Jours de crédit sup.</a:t>
                </a:r>
              </a:p>
            </c:rich>
          </c:tx>
          <c:layout>
            <c:manualLayout>
              <c:xMode val="edge"/>
              <c:yMode val="edge"/>
              <c:x val="0.45997289740956299"/>
              <c:y val="0.861538461538462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09853856"/>
        <c:crosses val="autoZero"/>
        <c:crossBetween val="midCat"/>
      </c:valAx>
      <c:valAx>
        <c:axId val="-21098538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VAN</a:t>
                </a:r>
              </a:p>
            </c:rich>
          </c:tx>
          <c:layout>
            <c:manualLayout>
              <c:xMode val="edge"/>
              <c:yMode val="edge"/>
              <c:x val="2.1709602875727499E-2"/>
              <c:y val="0.4076923076923080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103405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54'!#REF!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54'!#REF!</c:f>
              <c:numCache>
                <c:formatCode>General</c:formatCode>
                <c:ptCount val="1"/>
                <c:pt idx="0">
                  <c:v>1</c:v>
                </c:pt>
              </c:numCache>
            </c:numRef>
          </c:xVal>
          <c:yVal>
            <c:numRef>
              <c:f>' Chapitre 54'!#REF!</c:f>
              <c:numCache>
                <c:formatCode>General</c:formatCode>
                <c:ptCount val="1"/>
                <c:pt idx="0">
                  <c:v>1</c:v>
                </c:pt>
              </c:numCache>
            </c:numRef>
          </c:yVal>
          <c:smooth val="1"/>
          <c:extLst>
            <c:ext xmlns:c16="http://schemas.microsoft.com/office/drawing/2014/chart" uri="{C3380CC4-5D6E-409C-BE32-E72D297353CC}">
              <c16:uniqueId val="{00000000-3F46-46ED-B207-8C2233A329D5}"/>
            </c:ext>
          </c:extLst>
        </c:ser>
        <c:dLbls>
          <c:showLegendKey val="0"/>
          <c:showVal val="0"/>
          <c:showCatName val="0"/>
          <c:showSerName val="0"/>
          <c:showPercent val="0"/>
          <c:showBubbleSize val="0"/>
        </c:dLbls>
        <c:axId val="-2089094240"/>
        <c:axId val="-2092559008"/>
      </c:scatterChart>
      <c:valAx>
        <c:axId val="-2089094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559008"/>
        <c:crosses val="autoZero"/>
        <c:crossBetween val="midCat"/>
      </c:valAx>
      <c:valAx>
        <c:axId val="-20925590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890942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54'!#REF!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54'!#REF!</c:f>
              <c:numCache>
                <c:formatCode>General</c:formatCode>
                <c:ptCount val="1"/>
                <c:pt idx="0">
                  <c:v>1</c:v>
                </c:pt>
              </c:numCache>
            </c:numRef>
          </c:xVal>
          <c:yVal>
            <c:numRef>
              <c:f>' Chapitre 54'!#REF!</c:f>
              <c:numCache>
                <c:formatCode>General</c:formatCode>
                <c:ptCount val="1"/>
                <c:pt idx="0">
                  <c:v>1</c:v>
                </c:pt>
              </c:numCache>
            </c:numRef>
          </c:yVal>
          <c:smooth val="1"/>
          <c:extLst>
            <c:ext xmlns:c16="http://schemas.microsoft.com/office/drawing/2014/chart" uri="{C3380CC4-5D6E-409C-BE32-E72D297353CC}">
              <c16:uniqueId val="{00000000-4D69-49BD-B910-C4302B8243AF}"/>
            </c:ext>
          </c:extLst>
        </c:ser>
        <c:dLbls>
          <c:showLegendKey val="0"/>
          <c:showVal val="0"/>
          <c:showCatName val="0"/>
          <c:showSerName val="0"/>
          <c:showPercent val="0"/>
          <c:showBubbleSize val="0"/>
        </c:dLbls>
        <c:axId val="-2092652112"/>
        <c:axId val="-2092070064"/>
      </c:scatterChart>
      <c:valAx>
        <c:axId val="-2092652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070064"/>
        <c:crosses val="autoZero"/>
        <c:crossBetween val="midCat"/>
      </c:valAx>
      <c:valAx>
        <c:axId val="-20920700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65211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23'!#REF!</c:f>
              <c:numCache>
                <c:formatCode>General</c:formatCode>
                <c:ptCount val="1"/>
                <c:pt idx="0">
                  <c:v>1</c:v>
                </c:pt>
              </c:numCache>
            </c:numRef>
          </c:xVal>
          <c:yVal>
            <c:numRef>
              <c:f>'Chapitre 23'!#REF!</c:f>
              <c:numCache>
                <c:formatCode>General</c:formatCode>
                <c:ptCount val="1"/>
                <c:pt idx="0">
                  <c:v>1</c:v>
                </c:pt>
              </c:numCache>
            </c:numRef>
          </c:yVal>
          <c:smooth val="1"/>
          <c:extLst>
            <c:ext xmlns:c16="http://schemas.microsoft.com/office/drawing/2014/chart" uri="{C3380CC4-5D6E-409C-BE32-E72D297353CC}">
              <c16:uniqueId val="{00000000-CF1D-4271-8E06-E83E6A72D07D}"/>
            </c:ext>
          </c:extLst>
        </c:ser>
        <c:dLbls>
          <c:showLegendKey val="0"/>
          <c:showVal val="0"/>
          <c:showCatName val="0"/>
          <c:showSerName val="0"/>
          <c:showPercent val="0"/>
          <c:showBubbleSize val="0"/>
        </c:dLbls>
        <c:axId val="-2096953344"/>
        <c:axId val="-2092475296"/>
      </c:scatterChart>
      <c:valAx>
        <c:axId val="-2096953344"/>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fr-FR" sz="1800" b="0" i="0" u="none" strike="noStrike" baseline="0">
                    <a:solidFill>
                      <a:srgbClr val="000000"/>
                    </a:solidFill>
                    <a:latin typeface="Calibri"/>
                  </a:rPr>
                  <a:t>σ B,S</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475296"/>
        <c:crosses val="autoZero"/>
        <c:crossBetween val="midCat"/>
      </c:valAx>
      <c:valAx>
        <c:axId val="-2092475296"/>
        <c:scaling>
          <c:orientation val="minMax"/>
        </c:scaling>
        <c:delete val="0"/>
        <c:axPos val="l"/>
        <c:majorGridlines>
          <c:spPr>
            <a:ln w="3175">
              <a:solidFill>
                <a:srgbClr val="000000"/>
              </a:solidFill>
              <a:prstDash val="solid"/>
            </a:ln>
          </c:spPr>
        </c:majorGridlines>
        <c:title>
          <c:tx>
            <c:rich>
              <a:bodyPr/>
              <a:lstStyle/>
              <a:p>
                <a:pPr>
                  <a:defRPr sz="150" b="1" i="0" u="none" strike="noStrike" baseline="0">
                    <a:solidFill>
                      <a:srgbClr val="000000"/>
                    </a:solidFill>
                    <a:latin typeface="Arial"/>
                    <a:ea typeface="Arial"/>
                    <a:cs typeface="Arial"/>
                  </a:defRPr>
                </a:pPr>
                <a:r>
                  <a:rPr lang="fr-FR"/>
                  <a:t>E(r B,S)</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695334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23'!#REF!</c:f>
              <c:numCache>
                <c:formatCode>General</c:formatCode>
                <c:ptCount val="1"/>
                <c:pt idx="0">
                  <c:v>1</c:v>
                </c:pt>
              </c:numCache>
            </c:numRef>
          </c:xVal>
          <c:yVal>
            <c:numRef>
              <c:f>'Chapitre 23'!#REF!</c:f>
              <c:numCache>
                <c:formatCode>General</c:formatCode>
                <c:ptCount val="1"/>
                <c:pt idx="0">
                  <c:v>1</c:v>
                </c:pt>
              </c:numCache>
            </c:numRef>
          </c:yVal>
          <c:smooth val="1"/>
          <c:extLst>
            <c:ext xmlns:c16="http://schemas.microsoft.com/office/drawing/2014/chart" uri="{C3380CC4-5D6E-409C-BE32-E72D297353CC}">
              <c16:uniqueId val="{00000000-062E-45E5-A10F-8B29CAC44366}"/>
            </c:ext>
          </c:extLst>
        </c:ser>
        <c:dLbls>
          <c:showLegendKey val="0"/>
          <c:showVal val="0"/>
          <c:showCatName val="0"/>
          <c:showSerName val="0"/>
          <c:showPercent val="0"/>
          <c:showBubbleSize val="0"/>
        </c:dLbls>
        <c:axId val="-2135583296"/>
        <c:axId val="-2092934592"/>
      </c:scatterChart>
      <c:valAx>
        <c:axId val="-2135583296"/>
        <c:scaling>
          <c:orientation val="minMax"/>
        </c:scaling>
        <c:delete val="0"/>
        <c:axPos val="b"/>
        <c:title>
          <c:tx>
            <c:rich>
              <a:bodyPr/>
              <a:lstStyle/>
              <a:p>
                <a:pPr>
                  <a:defRPr sz="150" b="1" i="0" u="none" strike="noStrike" baseline="0">
                    <a:solidFill>
                      <a:srgbClr val="000000"/>
                    </a:solidFill>
                    <a:latin typeface="Arial"/>
                    <a:ea typeface="Arial"/>
                    <a:cs typeface="Arial"/>
                  </a:defRPr>
                </a:pPr>
                <a:r>
                  <a:rPr lang="fr-FR"/>
                  <a:t>Ecart-type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934592"/>
        <c:crosses val="autoZero"/>
        <c:crossBetween val="midCat"/>
      </c:valAx>
      <c:valAx>
        <c:axId val="-2092934592"/>
        <c:scaling>
          <c:orientation val="minMax"/>
        </c:scaling>
        <c:delete val="0"/>
        <c:axPos val="l"/>
        <c:majorGridlines>
          <c:spPr>
            <a:ln w="3175">
              <a:solidFill>
                <a:srgbClr val="000000"/>
              </a:solidFill>
              <a:prstDash val="solid"/>
            </a:ln>
          </c:spPr>
        </c:majorGridlines>
        <c:title>
          <c:tx>
            <c:rich>
              <a:bodyPr/>
              <a:lstStyle/>
              <a:p>
                <a:pPr>
                  <a:defRPr sz="150" b="1" i="0" u="none" strike="noStrike" baseline="0">
                    <a:solidFill>
                      <a:srgbClr val="000000"/>
                    </a:solidFill>
                    <a:latin typeface="Arial"/>
                    <a:ea typeface="Arial"/>
                    <a:cs typeface="Arial"/>
                  </a:defRPr>
                </a:pPr>
                <a:r>
                  <a:rPr lang="fr-FR"/>
                  <a:t>Rentabilité attendue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5832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fr-FR"/>
              <a:t>Courbe des taux coupon zéro à 5 ans</a:t>
            </a:r>
          </a:p>
        </c:rich>
      </c:tx>
      <c:layout>
        <c:manualLayout>
          <c:xMode val="edge"/>
          <c:yMode val="edge"/>
          <c:x val="0.27835503363062403"/>
          <c:y val="0.90117424118665701"/>
        </c:manualLayout>
      </c:layout>
      <c:overlay val="0"/>
      <c:spPr>
        <a:noFill/>
        <a:ln w="25400">
          <a:noFill/>
        </a:ln>
      </c:spPr>
    </c:title>
    <c:autoTitleDeleted val="0"/>
    <c:plotArea>
      <c:layout>
        <c:manualLayout>
          <c:layoutTarget val="inner"/>
          <c:xMode val="edge"/>
          <c:yMode val="edge"/>
          <c:x val="0.13055589857413"/>
          <c:y val="0.10057746920633499"/>
          <c:w val="0.81782185521907702"/>
          <c:h val="0.68392679060307904"/>
        </c:manualLayout>
      </c:layout>
      <c:lineChart>
        <c:grouping val="standard"/>
        <c:varyColors val="0"/>
        <c:ser>
          <c:idx val="1"/>
          <c:order val="0"/>
          <c:spPr>
            <a:ln w="25400">
              <a:solidFill>
                <a:srgbClr val="FFCC00"/>
              </a:solidFill>
              <a:prstDash val="solid"/>
            </a:ln>
          </c:spPr>
          <c:marker>
            <c:symbol val="square"/>
            <c:size val="5"/>
            <c:spPr>
              <a:solidFill>
                <a:srgbClr val="FFCC00"/>
              </a:solidFill>
              <a:ln>
                <a:solidFill>
                  <a:srgbClr val="FFCC00"/>
                </a:solidFill>
                <a:prstDash val="solid"/>
              </a:ln>
            </c:spPr>
          </c:marker>
          <c:cat>
            <c:numRef>
              <c:f>'Chapitre 21'!$B$47:$B$51</c:f>
              <c:numCache>
                <c:formatCode>General</c:formatCode>
                <c:ptCount val="5"/>
                <c:pt idx="0">
                  <c:v>1</c:v>
                </c:pt>
                <c:pt idx="1">
                  <c:v>2</c:v>
                </c:pt>
                <c:pt idx="2">
                  <c:v>3</c:v>
                </c:pt>
                <c:pt idx="3">
                  <c:v>4</c:v>
                </c:pt>
                <c:pt idx="4">
                  <c:v>5</c:v>
                </c:pt>
              </c:numCache>
            </c:numRef>
          </c:cat>
          <c:val>
            <c:numRef>
              <c:f>'Chapitre 21'!$F$47:$F$51</c:f>
              <c:numCache>
                <c:formatCode>0.00%</c:formatCode>
                <c:ptCount val="5"/>
                <c:pt idx="0">
                  <c:v>8.0813384828465978E-2</c:v>
                </c:pt>
                <c:pt idx="1">
                  <c:v>9.6413581536787474E-2</c:v>
                </c:pt>
                <c:pt idx="2">
                  <c:v>0.10090077218810833</c:v>
                </c:pt>
                <c:pt idx="3">
                  <c:v>0.1062142318701591</c:v>
                </c:pt>
                <c:pt idx="4">
                  <c:v>0.11007898885350897</c:v>
                </c:pt>
              </c:numCache>
            </c:numRef>
          </c:val>
          <c:smooth val="0"/>
          <c:extLst>
            <c:ext xmlns:c16="http://schemas.microsoft.com/office/drawing/2014/chart" uri="{C3380CC4-5D6E-409C-BE32-E72D297353CC}">
              <c16:uniqueId val="{00000000-2646-403E-BFB0-D1703A9EFA42}"/>
            </c:ext>
          </c:extLst>
        </c:ser>
        <c:dLbls>
          <c:showLegendKey val="0"/>
          <c:showVal val="0"/>
          <c:showCatName val="0"/>
          <c:showSerName val="0"/>
          <c:showPercent val="0"/>
          <c:showBubbleSize val="0"/>
        </c:dLbls>
        <c:marker val="1"/>
        <c:smooth val="0"/>
        <c:axId val="2144985776"/>
        <c:axId val="-2091044160"/>
      </c:lineChart>
      <c:catAx>
        <c:axId val="2144985776"/>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091044160"/>
        <c:crosses val="autoZero"/>
        <c:auto val="1"/>
        <c:lblAlgn val="ctr"/>
        <c:lblOffset val="100"/>
        <c:tickLblSkip val="1"/>
        <c:tickMarkSkip val="1"/>
        <c:noMultiLvlLbl val="0"/>
      </c:catAx>
      <c:valAx>
        <c:axId val="-209104416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144985776"/>
        <c:crosses val="autoZero"/>
        <c:crossBetween val="between"/>
      </c:valAx>
      <c:spPr>
        <a:solidFill>
          <a:srgbClr val="C0C0C0"/>
        </a:solid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chart" Target="../charts/chart52.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55.xml"/><Relationship Id="rId1" Type="http://schemas.openxmlformats.org/officeDocument/2006/relationships/chart" Target="../charts/chart54.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57.xml"/><Relationship Id="rId1" Type="http://schemas.openxmlformats.org/officeDocument/2006/relationships/chart" Target="../charts/chart5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chart" Target="../charts/chart58.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chart" Target="../charts/chart60.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63.xml"/><Relationship Id="rId1" Type="http://schemas.openxmlformats.org/officeDocument/2006/relationships/chart" Target="../charts/chart6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5</xdr:col>
      <xdr:colOff>120650</xdr:colOff>
      <xdr:row>19</xdr:row>
      <xdr:rowOff>9525</xdr:rowOff>
    </xdr:from>
    <xdr:to>
      <xdr:col>9</xdr:col>
      <xdr:colOff>711035</xdr:colOff>
      <xdr:row>22</xdr:row>
      <xdr:rowOff>82585</xdr:rowOff>
    </xdr:to>
    <xdr:sp macro="" textlink="">
      <xdr:nvSpPr>
        <xdr:cNvPr id="3073" name="Text Box 1">
          <a:extLst>
            <a:ext uri="{FF2B5EF4-FFF2-40B4-BE49-F238E27FC236}">
              <a16:creationId xmlns:a16="http://schemas.microsoft.com/office/drawing/2014/main" id="{00000000-0008-0000-0400-0000010C0000}"/>
            </a:ext>
          </a:extLst>
        </xdr:cNvPr>
        <xdr:cNvSpPr txBox="1">
          <a:spLocks noChangeArrowheads="1"/>
        </xdr:cNvSpPr>
      </xdr:nvSpPr>
      <xdr:spPr bwMode="auto">
        <a:xfrm>
          <a:off x="3438525" y="3267075"/>
          <a:ext cx="3724275" cy="552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M détient 80% de S: intégration globale</a:t>
          </a:r>
        </a:p>
        <a:p>
          <a:pPr algn="l" rtl="0">
            <a:defRPr sz="1000"/>
          </a:pPr>
          <a:r>
            <a:rPr lang="fr-FR" sz="1000" b="0" i="0" u="none" strike="noStrike" baseline="0">
              <a:solidFill>
                <a:srgbClr val="000000"/>
              </a:solidFill>
              <a:latin typeface="Verdana"/>
            </a:rPr>
            <a:t>M détient 50% de S: intégration proportionnelle</a:t>
          </a:r>
        </a:p>
        <a:p>
          <a:pPr algn="l" rtl="0">
            <a:defRPr sz="1000"/>
          </a:pPr>
          <a:r>
            <a:rPr lang="fr-FR" sz="1000" b="0" i="0" u="none" strike="noStrike" baseline="0">
              <a:solidFill>
                <a:srgbClr val="000000"/>
              </a:solidFill>
              <a:latin typeface="Verdana"/>
            </a:rPr>
            <a:t>M détient 20% de S: intégration par mise en équivalence</a:t>
          </a:r>
        </a:p>
      </xdr:txBody>
    </xdr:sp>
    <xdr:clientData/>
  </xdr:twoCellAnchor>
  <xdr:twoCellAnchor>
    <xdr:from>
      <xdr:col>5</xdr:col>
      <xdr:colOff>120650</xdr:colOff>
      <xdr:row>19</xdr:row>
      <xdr:rowOff>9525</xdr:rowOff>
    </xdr:from>
    <xdr:to>
      <xdr:col>9</xdr:col>
      <xdr:colOff>711035</xdr:colOff>
      <xdr:row>22</xdr:row>
      <xdr:rowOff>82585</xdr:rowOff>
    </xdr:to>
    <xdr:sp macro="" textlink="">
      <xdr:nvSpPr>
        <xdr:cNvPr id="3" name="Text Box 1">
          <a:extLst>
            <a:ext uri="{FF2B5EF4-FFF2-40B4-BE49-F238E27FC236}">
              <a16:creationId xmlns:a16="http://schemas.microsoft.com/office/drawing/2014/main" id="{04E22849-5F32-452D-BA8A-CD27890DE9EB}"/>
            </a:ext>
          </a:extLst>
        </xdr:cNvPr>
        <xdr:cNvSpPr txBox="1">
          <a:spLocks noChangeArrowheads="1"/>
        </xdr:cNvSpPr>
      </xdr:nvSpPr>
      <xdr:spPr bwMode="auto">
        <a:xfrm>
          <a:off x="3971925" y="3273425"/>
          <a:ext cx="4095585" cy="56518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M détient 80% de S: intégration globale</a:t>
          </a:r>
        </a:p>
        <a:p>
          <a:pPr algn="l" rtl="0">
            <a:defRPr sz="1000"/>
          </a:pPr>
          <a:r>
            <a:rPr lang="fr-FR" sz="1000" b="0" i="0" u="none" strike="noStrike" baseline="0">
              <a:solidFill>
                <a:srgbClr val="000000"/>
              </a:solidFill>
              <a:latin typeface="Verdana"/>
            </a:rPr>
            <a:t>M détient 50% de S: intégration proportionnelle</a:t>
          </a:r>
        </a:p>
        <a:p>
          <a:pPr algn="l" rtl="0">
            <a:defRPr sz="1000"/>
          </a:pPr>
          <a:r>
            <a:rPr lang="fr-FR" sz="1000" b="0" i="0" u="none" strike="noStrike" baseline="0">
              <a:solidFill>
                <a:srgbClr val="000000"/>
              </a:solidFill>
              <a:latin typeface="Verdana"/>
            </a:rPr>
            <a:t>M détient 20% de S: intégration par mise en équivalence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5601" name="Text Box 1">
          <a:extLst>
            <a:ext uri="{FF2B5EF4-FFF2-40B4-BE49-F238E27FC236}">
              <a16:creationId xmlns:a16="http://schemas.microsoft.com/office/drawing/2014/main" id="{00000000-0008-0000-1300-0000016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5602" name="Text Box 2">
          <a:extLst>
            <a:ext uri="{FF2B5EF4-FFF2-40B4-BE49-F238E27FC236}">
              <a16:creationId xmlns:a16="http://schemas.microsoft.com/office/drawing/2014/main" id="{00000000-0008-0000-1300-0000026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5603" name="Text Box 3">
          <a:extLst>
            <a:ext uri="{FF2B5EF4-FFF2-40B4-BE49-F238E27FC236}">
              <a16:creationId xmlns:a16="http://schemas.microsoft.com/office/drawing/2014/main" id="{00000000-0008-0000-1300-0000036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6434" name="Graphique 4">
          <a:extLst>
            <a:ext uri="{FF2B5EF4-FFF2-40B4-BE49-F238E27FC236}">
              <a16:creationId xmlns:a16="http://schemas.microsoft.com/office/drawing/2014/main" id="{00000000-0008-0000-1300-0000426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6435" name="Graphique 5">
          <a:extLst>
            <a:ext uri="{FF2B5EF4-FFF2-40B4-BE49-F238E27FC236}">
              <a16:creationId xmlns:a16="http://schemas.microsoft.com/office/drawing/2014/main" id="{00000000-0008-0000-1300-0000436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6865" name="Text Box 1">
          <a:extLst>
            <a:ext uri="{FF2B5EF4-FFF2-40B4-BE49-F238E27FC236}">
              <a16:creationId xmlns:a16="http://schemas.microsoft.com/office/drawing/2014/main" id="{00000000-0008-0000-1400-0000019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6866" name="Text Box 2">
          <a:extLst>
            <a:ext uri="{FF2B5EF4-FFF2-40B4-BE49-F238E27FC236}">
              <a16:creationId xmlns:a16="http://schemas.microsoft.com/office/drawing/2014/main" id="{00000000-0008-0000-1400-0000029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6867" name="Text Box 3">
          <a:extLst>
            <a:ext uri="{FF2B5EF4-FFF2-40B4-BE49-F238E27FC236}">
              <a16:creationId xmlns:a16="http://schemas.microsoft.com/office/drawing/2014/main" id="{00000000-0008-0000-1400-0000039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7559" name="Graphique 4">
          <a:extLst>
            <a:ext uri="{FF2B5EF4-FFF2-40B4-BE49-F238E27FC236}">
              <a16:creationId xmlns:a16="http://schemas.microsoft.com/office/drawing/2014/main" id="{00000000-0008-0000-1400-0000B79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7560" name="Graphique 5">
          <a:extLst>
            <a:ext uri="{FF2B5EF4-FFF2-40B4-BE49-F238E27FC236}">
              <a16:creationId xmlns:a16="http://schemas.microsoft.com/office/drawing/2014/main" id="{00000000-0008-0000-1400-0000B89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7105" name="Text Box 1">
          <a:extLst>
            <a:ext uri="{FF2B5EF4-FFF2-40B4-BE49-F238E27FC236}">
              <a16:creationId xmlns:a16="http://schemas.microsoft.com/office/drawing/2014/main" id="{00000000-0008-0000-1500-000001B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7106" name="Text Box 2">
          <a:extLst>
            <a:ext uri="{FF2B5EF4-FFF2-40B4-BE49-F238E27FC236}">
              <a16:creationId xmlns:a16="http://schemas.microsoft.com/office/drawing/2014/main" id="{00000000-0008-0000-1500-000002B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7107" name="Text Box 3">
          <a:extLst>
            <a:ext uri="{FF2B5EF4-FFF2-40B4-BE49-F238E27FC236}">
              <a16:creationId xmlns:a16="http://schemas.microsoft.com/office/drawing/2014/main" id="{00000000-0008-0000-1500-000003B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7798" name="Graphique 4">
          <a:extLst>
            <a:ext uri="{FF2B5EF4-FFF2-40B4-BE49-F238E27FC236}">
              <a16:creationId xmlns:a16="http://schemas.microsoft.com/office/drawing/2014/main" id="{00000000-0008-0000-1500-0000B6B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7799" name="Graphique 5">
          <a:extLst>
            <a:ext uri="{FF2B5EF4-FFF2-40B4-BE49-F238E27FC236}">
              <a16:creationId xmlns:a16="http://schemas.microsoft.com/office/drawing/2014/main" id="{00000000-0008-0000-1500-0000B7B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6625" name="Text Box 1">
          <a:extLst>
            <a:ext uri="{FF2B5EF4-FFF2-40B4-BE49-F238E27FC236}">
              <a16:creationId xmlns:a16="http://schemas.microsoft.com/office/drawing/2014/main" id="{00000000-0008-0000-1600-0000016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6626" name="Text Box 2">
          <a:extLst>
            <a:ext uri="{FF2B5EF4-FFF2-40B4-BE49-F238E27FC236}">
              <a16:creationId xmlns:a16="http://schemas.microsoft.com/office/drawing/2014/main" id="{00000000-0008-0000-1600-0000026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6627" name="Text Box 3">
          <a:extLst>
            <a:ext uri="{FF2B5EF4-FFF2-40B4-BE49-F238E27FC236}">
              <a16:creationId xmlns:a16="http://schemas.microsoft.com/office/drawing/2014/main" id="{00000000-0008-0000-1600-0000036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7595" name="Graphique 4">
          <a:extLst>
            <a:ext uri="{FF2B5EF4-FFF2-40B4-BE49-F238E27FC236}">
              <a16:creationId xmlns:a16="http://schemas.microsoft.com/office/drawing/2014/main" id="{00000000-0008-0000-1600-0000CB6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7596" name="Graphique 5">
          <a:extLst>
            <a:ext uri="{FF2B5EF4-FFF2-40B4-BE49-F238E27FC236}">
              <a16:creationId xmlns:a16="http://schemas.microsoft.com/office/drawing/2014/main" id="{00000000-0008-0000-1600-0000CC6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298450</xdr:colOff>
      <xdr:row>19</xdr:row>
      <xdr:rowOff>38100</xdr:rowOff>
    </xdr:from>
    <xdr:to>
      <xdr:col>1</xdr:col>
      <xdr:colOff>673100</xdr:colOff>
      <xdr:row>19</xdr:row>
      <xdr:rowOff>127000</xdr:rowOff>
    </xdr:to>
    <xdr:sp macro="" textlink="">
      <xdr:nvSpPr>
        <xdr:cNvPr id="27597" name="AutoShape 7">
          <a:extLst>
            <a:ext uri="{FF2B5EF4-FFF2-40B4-BE49-F238E27FC236}">
              <a16:creationId xmlns:a16="http://schemas.microsoft.com/office/drawing/2014/main" id="{00000000-0008-0000-1600-0000CD6B0000}"/>
            </a:ext>
          </a:extLst>
        </xdr:cNvPr>
        <xdr:cNvSpPr>
          <a:spLocks noChangeArrowheads="1"/>
        </xdr:cNvSpPr>
      </xdr:nvSpPr>
      <xdr:spPr bwMode="auto">
        <a:xfrm>
          <a:off x="2012950" y="3295650"/>
          <a:ext cx="374650" cy="88900"/>
        </a:xfrm>
        <a:prstGeom prst="leftRightArrow">
          <a:avLst>
            <a:gd name="adj1" fmla="val 50000"/>
            <a:gd name="adj2" fmla="val 84286"/>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298450</xdr:colOff>
      <xdr:row>21</xdr:row>
      <xdr:rowOff>38100</xdr:rowOff>
    </xdr:from>
    <xdr:to>
      <xdr:col>1</xdr:col>
      <xdr:colOff>673100</xdr:colOff>
      <xdr:row>21</xdr:row>
      <xdr:rowOff>127000</xdr:rowOff>
    </xdr:to>
    <xdr:sp macro="" textlink="">
      <xdr:nvSpPr>
        <xdr:cNvPr id="27598" name="AutoShape 8">
          <a:extLst>
            <a:ext uri="{FF2B5EF4-FFF2-40B4-BE49-F238E27FC236}">
              <a16:creationId xmlns:a16="http://schemas.microsoft.com/office/drawing/2014/main" id="{00000000-0008-0000-1600-0000CE6B0000}"/>
            </a:ext>
          </a:extLst>
        </xdr:cNvPr>
        <xdr:cNvSpPr>
          <a:spLocks noChangeArrowheads="1"/>
        </xdr:cNvSpPr>
      </xdr:nvSpPr>
      <xdr:spPr bwMode="auto">
        <a:xfrm>
          <a:off x="2012950" y="3638550"/>
          <a:ext cx="374650" cy="88900"/>
        </a:xfrm>
        <a:prstGeom prst="leftRightArrow">
          <a:avLst>
            <a:gd name="adj1" fmla="val 50000"/>
            <a:gd name="adj2" fmla="val 84286"/>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8129" name="Text Box 1">
          <a:extLst>
            <a:ext uri="{FF2B5EF4-FFF2-40B4-BE49-F238E27FC236}">
              <a16:creationId xmlns:a16="http://schemas.microsoft.com/office/drawing/2014/main" id="{00000000-0008-0000-1700-000001B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8130" name="Text Box 2">
          <a:extLst>
            <a:ext uri="{FF2B5EF4-FFF2-40B4-BE49-F238E27FC236}">
              <a16:creationId xmlns:a16="http://schemas.microsoft.com/office/drawing/2014/main" id="{00000000-0008-0000-1700-000002B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8131" name="Text Box 3">
          <a:extLst>
            <a:ext uri="{FF2B5EF4-FFF2-40B4-BE49-F238E27FC236}">
              <a16:creationId xmlns:a16="http://schemas.microsoft.com/office/drawing/2014/main" id="{00000000-0008-0000-1700-000003B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8902" name="Graphique 4">
          <a:extLst>
            <a:ext uri="{FF2B5EF4-FFF2-40B4-BE49-F238E27FC236}">
              <a16:creationId xmlns:a16="http://schemas.microsoft.com/office/drawing/2014/main" id="{00000000-0008-0000-1700-000006B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8903" name="Graphique 5">
          <a:extLst>
            <a:ext uri="{FF2B5EF4-FFF2-40B4-BE49-F238E27FC236}">
              <a16:creationId xmlns:a16="http://schemas.microsoft.com/office/drawing/2014/main" id="{00000000-0008-0000-1700-000007B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0721" name="Text Box 1">
          <a:extLst>
            <a:ext uri="{FF2B5EF4-FFF2-40B4-BE49-F238E27FC236}">
              <a16:creationId xmlns:a16="http://schemas.microsoft.com/office/drawing/2014/main" id="{00000000-0008-0000-1800-0000017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0722" name="Text Box 2">
          <a:extLst>
            <a:ext uri="{FF2B5EF4-FFF2-40B4-BE49-F238E27FC236}">
              <a16:creationId xmlns:a16="http://schemas.microsoft.com/office/drawing/2014/main" id="{00000000-0008-0000-1800-0000027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0723" name="Text Box 3">
          <a:extLst>
            <a:ext uri="{FF2B5EF4-FFF2-40B4-BE49-F238E27FC236}">
              <a16:creationId xmlns:a16="http://schemas.microsoft.com/office/drawing/2014/main" id="{00000000-0008-0000-1800-0000037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6047244" name="Graphique 4">
          <a:extLst>
            <a:ext uri="{FF2B5EF4-FFF2-40B4-BE49-F238E27FC236}">
              <a16:creationId xmlns:a16="http://schemas.microsoft.com/office/drawing/2014/main" id="{00000000-0008-0000-1800-00000C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6047245" name="Graphique 5">
          <a:extLst>
            <a:ext uri="{FF2B5EF4-FFF2-40B4-BE49-F238E27FC236}">
              <a16:creationId xmlns:a16="http://schemas.microsoft.com/office/drawing/2014/main" id="{00000000-0008-0000-1800-00000D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69850</xdr:colOff>
      <xdr:row>97</xdr:row>
      <xdr:rowOff>12700</xdr:rowOff>
    </xdr:from>
    <xdr:to>
      <xdr:col>5</xdr:col>
      <xdr:colOff>266700</xdr:colOff>
      <xdr:row>108</xdr:row>
      <xdr:rowOff>88900</xdr:rowOff>
    </xdr:to>
    <xdr:graphicFrame macro="">
      <xdr:nvGraphicFramePr>
        <xdr:cNvPr id="6047246" name="Graphique 6">
          <a:extLst>
            <a:ext uri="{FF2B5EF4-FFF2-40B4-BE49-F238E27FC236}">
              <a16:creationId xmlns:a16="http://schemas.microsoft.com/office/drawing/2014/main" id="{00000000-0008-0000-1800-00000E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1085850</xdr:colOff>
      <xdr:row>175</xdr:row>
      <xdr:rowOff>69850</xdr:rowOff>
    </xdr:from>
    <xdr:to>
      <xdr:col>8</xdr:col>
      <xdr:colOff>889000</xdr:colOff>
      <xdr:row>187</xdr:row>
      <xdr:rowOff>82550</xdr:rowOff>
    </xdr:to>
    <xdr:graphicFrame macro="">
      <xdr:nvGraphicFramePr>
        <xdr:cNvPr id="6047247" name="Graphique 7">
          <a:extLst>
            <a:ext uri="{FF2B5EF4-FFF2-40B4-BE49-F238E27FC236}">
              <a16:creationId xmlns:a16="http://schemas.microsoft.com/office/drawing/2014/main" id="{00000000-0008-0000-1800-00000F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114300</xdr:colOff>
      <xdr:row>233</xdr:row>
      <xdr:rowOff>133350</xdr:rowOff>
    </xdr:from>
    <xdr:to>
      <xdr:col>8</xdr:col>
      <xdr:colOff>774700</xdr:colOff>
      <xdr:row>246</xdr:row>
      <xdr:rowOff>69850</xdr:rowOff>
    </xdr:to>
    <xdr:graphicFrame macro="">
      <xdr:nvGraphicFramePr>
        <xdr:cNvPr id="6047248" name="Graphique 8">
          <a:extLst>
            <a:ext uri="{FF2B5EF4-FFF2-40B4-BE49-F238E27FC236}">
              <a16:creationId xmlns:a16="http://schemas.microsoft.com/office/drawing/2014/main" id="{00000000-0008-0000-1800-000010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876300</xdr:colOff>
      <xdr:row>132</xdr:row>
      <xdr:rowOff>50800</xdr:rowOff>
    </xdr:from>
    <xdr:to>
      <xdr:col>5</xdr:col>
      <xdr:colOff>203200</xdr:colOff>
      <xdr:row>141</xdr:row>
      <xdr:rowOff>139700</xdr:rowOff>
    </xdr:to>
    <xdr:graphicFrame macro="">
      <xdr:nvGraphicFramePr>
        <xdr:cNvPr id="6047249" name="Graphique 13">
          <a:extLst>
            <a:ext uri="{FF2B5EF4-FFF2-40B4-BE49-F238E27FC236}">
              <a16:creationId xmlns:a16="http://schemas.microsoft.com/office/drawing/2014/main" id="{00000000-0008-0000-1800-000011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120650</xdr:colOff>
      <xdr:row>146</xdr:row>
      <xdr:rowOff>158750</xdr:rowOff>
    </xdr:from>
    <xdr:to>
      <xdr:col>5</xdr:col>
      <xdr:colOff>285682</xdr:colOff>
      <xdr:row>151</xdr:row>
      <xdr:rowOff>47652</xdr:rowOff>
    </xdr:to>
    <xdr:sp macro="" textlink="">
      <xdr:nvSpPr>
        <xdr:cNvPr id="30735" name="Text Box 15">
          <a:extLst>
            <a:ext uri="{FF2B5EF4-FFF2-40B4-BE49-F238E27FC236}">
              <a16:creationId xmlns:a16="http://schemas.microsoft.com/office/drawing/2014/main" id="{00000000-0008-0000-1800-00000F780000}"/>
            </a:ext>
          </a:extLst>
        </xdr:cNvPr>
        <xdr:cNvSpPr txBox="1">
          <a:spLocks noChangeArrowheads="1"/>
        </xdr:cNvSpPr>
      </xdr:nvSpPr>
      <xdr:spPr bwMode="auto">
        <a:xfrm>
          <a:off x="3371850" y="23926800"/>
          <a:ext cx="2809875" cy="7048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800"/>
            </a:lnSpc>
            <a:defRPr sz="1000"/>
          </a:pPr>
          <a:r>
            <a:rPr lang="fr-FR" sz="800" b="1" i="0" u="sng" strike="noStrike" baseline="0">
              <a:solidFill>
                <a:srgbClr val="000000"/>
              </a:solidFill>
              <a:latin typeface="Verdana"/>
            </a:rPr>
            <a:t>Note:</a:t>
          </a:r>
          <a:r>
            <a:rPr lang="fr-FR" sz="800" b="1" i="0" u="none" strike="noStrike" baseline="0">
              <a:solidFill>
                <a:srgbClr val="000000"/>
              </a:solidFill>
              <a:latin typeface="Verdana"/>
            </a:rPr>
            <a:t> sachant que la construction a pris un an, seule la deuxième année a pu être consacrée à l'exploitation. Ce bilan correspond donc à 1 an d'exercice et est pris comme ref pour les suivants.</a:t>
          </a:r>
        </a:p>
      </xdr:txBody>
    </xdr:sp>
    <xdr:clientData/>
  </xdr:twoCellAnchor>
  <xdr:twoCellAnchor>
    <xdr:from>
      <xdr:col>2</xdr:col>
      <xdr:colOff>152400</xdr:colOff>
      <xdr:row>188</xdr:row>
      <xdr:rowOff>28575</xdr:rowOff>
    </xdr:from>
    <xdr:to>
      <xdr:col>5</xdr:col>
      <xdr:colOff>257158</xdr:colOff>
      <xdr:row>190</xdr:row>
      <xdr:rowOff>47625</xdr:rowOff>
    </xdr:to>
    <xdr:sp macro="" textlink="">
      <xdr:nvSpPr>
        <xdr:cNvPr id="30737" name="Text Box 17">
          <a:extLst>
            <a:ext uri="{FF2B5EF4-FFF2-40B4-BE49-F238E27FC236}">
              <a16:creationId xmlns:a16="http://schemas.microsoft.com/office/drawing/2014/main" id="{00000000-0008-0000-1800-000011780000}"/>
            </a:ext>
          </a:extLst>
        </xdr:cNvPr>
        <xdr:cNvSpPr txBox="1">
          <a:spLocks noChangeArrowheads="1"/>
        </xdr:cNvSpPr>
      </xdr:nvSpPr>
      <xdr:spPr bwMode="auto">
        <a:xfrm>
          <a:off x="3400425" y="30603825"/>
          <a:ext cx="2752725" cy="342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rPr>
            <a:t>Si les flux ne sont pas actualisés alors le délai de récupération est de 6,3 années.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1745" name="Text Box 1">
          <a:extLst>
            <a:ext uri="{FF2B5EF4-FFF2-40B4-BE49-F238E27FC236}">
              <a16:creationId xmlns:a16="http://schemas.microsoft.com/office/drawing/2014/main" id="{00000000-0008-0000-1900-0000017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1746" name="Text Box 2">
          <a:extLst>
            <a:ext uri="{FF2B5EF4-FFF2-40B4-BE49-F238E27FC236}">
              <a16:creationId xmlns:a16="http://schemas.microsoft.com/office/drawing/2014/main" id="{00000000-0008-0000-1900-0000027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1747" name="Text Box 3">
          <a:extLst>
            <a:ext uri="{FF2B5EF4-FFF2-40B4-BE49-F238E27FC236}">
              <a16:creationId xmlns:a16="http://schemas.microsoft.com/office/drawing/2014/main" id="{00000000-0008-0000-1900-0000037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2579" name="Graphique 4">
          <a:extLst>
            <a:ext uri="{FF2B5EF4-FFF2-40B4-BE49-F238E27FC236}">
              <a16:creationId xmlns:a16="http://schemas.microsoft.com/office/drawing/2014/main" id="{00000000-0008-0000-1900-0000437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2580" name="Graphique 5">
          <a:extLst>
            <a:ext uri="{FF2B5EF4-FFF2-40B4-BE49-F238E27FC236}">
              <a16:creationId xmlns:a16="http://schemas.microsoft.com/office/drawing/2014/main" id="{00000000-0008-0000-1900-0000447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50800</xdr:colOff>
      <xdr:row>31</xdr:row>
      <xdr:rowOff>158750</xdr:rowOff>
    </xdr:from>
    <xdr:to>
      <xdr:col>7</xdr:col>
      <xdr:colOff>787400</xdr:colOff>
      <xdr:row>34</xdr:row>
      <xdr:rowOff>38100</xdr:rowOff>
    </xdr:to>
    <xdr:sp macro="" textlink="">
      <xdr:nvSpPr>
        <xdr:cNvPr id="32581" name="Text Box 9">
          <a:extLst>
            <a:ext uri="{FF2B5EF4-FFF2-40B4-BE49-F238E27FC236}">
              <a16:creationId xmlns:a16="http://schemas.microsoft.com/office/drawing/2014/main" id="{00000000-0008-0000-1900-0000457F0000}"/>
            </a:ext>
          </a:extLst>
        </xdr:cNvPr>
        <xdr:cNvSpPr txBox="1">
          <a:spLocks noChangeArrowheads="1"/>
        </xdr:cNvSpPr>
      </xdr:nvSpPr>
      <xdr:spPr bwMode="auto">
        <a:xfrm>
          <a:off x="2425700" y="6159500"/>
          <a:ext cx="5810250" cy="393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2769" name="Text Box 1">
          <a:extLst>
            <a:ext uri="{FF2B5EF4-FFF2-40B4-BE49-F238E27FC236}">
              <a16:creationId xmlns:a16="http://schemas.microsoft.com/office/drawing/2014/main" id="{00000000-0008-0000-1A00-0000018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2770" name="Text Box 2">
          <a:extLst>
            <a:ext uri="{FF2B5EF4-FFF2-40B4-BE49-F238E27FC236}">
              <a16:creationId xmlns:a16="http://schemas.microsoft.com/office/drawing/2014/main" id="{00000000-0008-0000-1A00-0000028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2771" name="Text Box 3">
          <a:extLst>
            <a:ext uri="{FF2B5EF4-FFF2-40B4-BE49-F238E27FC236}">
              <a16:creationId xmlns:a16="http://schemas.microsoft.com/office/drawing/2014/main" id="{00000000-0008-0000-1A00-0000038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3600" name="Graphique 4">
          <a:extLst>
            <a:ext uri="{FF2B5EF4-FFF2-40B4-BE49-F238E27FC236}">
              <a16:creationId xmlns:a16="http://schemas.microsoft.com/office/drawing/2014/main" id="{00000000-0008-0000-1A00-000040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3601" name="Graphique 5">
          <a:extLst>
            <a:ext uri="{FF2B5EF4-FFF2-40B4-BE49-F238E27FC236}">
              <a16:creationId xmlns:a16="http://schemas.microsoft.com/office/drawing/2014/main" id="{00000000-0008-0000-1A00-000041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9937" name="Text Box 1">
          <a:extLst>
            <a:ext uri="{FF2B5EF4-FFF2-40B4-BE49-F238E27FC236}">
              <a16:creationId xmlns:a16="http://schemas.microsoft.com/office/drawing/2014/main" id="{00000000-0008-0000-1B00-0000019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9938" name="Text Box 2">
          <a:extLst>
            <a:ext uri="{FF2B5EF4-FFF2-40B4-BE49-F238E27FC236}">
              <a16:creationId xmlns:a16="http://schemas.microsoft.com/office/drawing/2014/main" id="{00000000-0008-0000-1B00-0000029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9939" name="Text Box 3">
          <a:extLst>
            <a:ext uri="{FF2B5EF4-FFF2-40B4-BE49-F238E27FC236}">
              <a16:creationId xmlns:a16="http://schemas.microsoft.com/office/drawing/2014/main" id="{00000000-0008-0000-1B00-0000039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0774" name="Graphique 4">
          <a:extLst>
            <a:ext uri="{FF2B5EF4-FFF2-40B4-BE49-F238E27FC236}">
              <a16:creationId xmlns:a16="http://schemas.microsoft.com/office/drawing/2014/main" id="{00000000-0008-0000-1B00-0000469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0775" name="Graphique 5">
          <a:extLst>
            <a:ext uri="{FF2B5EF4-FFF2-40B4-BE49-F238E27FC236}">
              <a16:creationId xmlns:a16="http://schemas.microsoft.com/office/drawing/2014/main" id="{00000000-0008-0000-1B00-0000479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127000</xdr:colOff>
      <xdr:row>45</xdr:row>
      <xdr:rowOff>12700</xdr:rowOff>
    </xdr:from>
    <xdr:to>
      <xdr:col>7</xdr:col>
      <xdr:colOff>717550</xdr:colOff>
      <xdr:row>46</xdr:row>
      <xdr:rowOff>50800</xdr:rowOff>
    </xdr:to>
    <xdr:sp macro="" textlink="">
      <xdr:nvSpPr>
        <xdr:cNvPr id="40776" name="AutoShape 11">
          <a:extLst>
            <a:ext uri="{FF2B5EF4-FFF2-40B4-BE49-F238E27FC236}">
              <a16:creationId xmlns:a16="http://schemas.microsoft.com/office/drawing/2014/main" id="{00000000-0008-0000-1B00-0000489F0000}"/>
            </a:ext>
          </a:extLst>
        </xdr:cNvPr>
        <xdr:cNvSpPr>
          <a:spLocks noChangeArrowheads="1"/>
        </xdr:cNvSpPr>
      </xdr:nvSpPr>
      <xdr:spPr bwMode="auto">
        <a:xfrm rot="-10779736">
          <a:off x="7112000" y="7702550"/>
          <a:ext cx="590550" cy="209550"/>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7649" name="Text Box 1">
          <a:extLst>
            <a:ext uri="{FF2B5EF4-FFF2-40B4-BE49-F238E27FC236}">
              <a16:creationId xmlns:a16="http://schemas.microsoft.com/office/drawing/2014/main" id="{00000000-0008-0000-1C00-0000016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7650" name="Text Box 2">
          <a:extLst>
            <a:ext uri="{FF2B5EF4-FFF2-40B4-BE49-F238E27FC236}">
              <a16:creationId xmlns:a16="http://schemas.microsoft.com/office/drawing/2014/main" id="{00000000-0008-0000-1C00-0000026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7651" name="Text Box 3">
          <a:extLst>
            <a:ext uri="{FF2B5EF4-FFF2-40B4-BE49-F238E27FC236}">
              <a16:creationId xmlns:a16="http://schemas.microsoft.com/office/drawing/2014/main" id="{00000000-0008-0000-1C00-0000036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8348" name="Graphique 4">
          <a:extLst>
            <a:ext uri="{FF2B5EF4-FFF2-40B4-BE49-F238E27FC236}">
              <a16:creationId xmlns:a16="http://schemas.microsoft.com/office/drawing/2014/main" id="{00000000-0008-0000-1C00-0000BC6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8349" name="Graphique 5">
          <a:extLst>
            <a:ext uri="{FF2B5EF4-FFF2-40B4-BE49-F238E27FC236}">
              <a16:creationId xmlns:a16="http://schemas.microsoft.com/office/drawing/2014/main" id="{00000000-0008-0000-1C00-0000BD6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666750</xdr:colOff>
      <xdr:row>4</xdr:row>
      <xdr:rowOff>0</xdr:rowOff>
    </xdr:from>
    <xdr:to>
      <xdr:col>11</xdr:col>
      <xdr:colOff>612777</xdr:colOff>
      <xdr:row>8</xdr:row>
      <xdr:rowOff>130150</xdr:rowOff>
    </xdr:to>
    <xdr:sp macro="" textlink="">
      <xdr:nvSpPr>
        <xdr:cNvPr id="11268" name="Text Box 4">
          <a:extLst>
            <a:ext uri="{FF2B5EF4-FFF2-40B4-BE49-F238E27FC236}">
              <a16:creationId xmlns:a16="http://schemas.microsoft.com/office/drawing/2014/main" id="{00000000-0008-0000-0900-0000042C0000}"/>
            </a:ext>
          </a:extLst>
        </xdr:cNvPr>
        <xdr:cNvSpPr txBox="1">
          <a:spLocks noChangeArrowheads="1"/>
        </xdr:cNvSpPr>
      </xdr:nvSpPr>
      <xdr:spPr bwMode="auto">
        <a:xfrm>
          <a:off x="7019925" y="666750"/>
          <a:ext cx="4152900" cy="771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L'entreprise en forte croissance, et en période d'investissement ne peut maîtriser son besoin en fonds de roulement, ce qui génère un fort déficit de trésorerie. Celui-ci est comblé par de l'endettement; les frais financiers augmentent donc fortement.</a:t>
          </a:r>
        </a:p>
      </xdr:txBody>
    </xdr:sp>
    <xdr:clientData/>
  </xdr:twoCellAnchor>
  <xdr:twoCellAnchor>
    <xdr:from>
      <xdr:col>6</xdr:col>
      <xdr:colOff>666750</xdr:colOff>
      <xdr:row>4</xdr:row>
      <xdr:rowOff>0</xdr:rowOff>
    </xdr:from>
    <xdr:to>
      <xdr:col>11</xdr:col>
      <xdr:colOff>612777</xdr:colOff>
      <xdr:row>8</xdr:row>
      <xdr:rowOff>130150</xdr:rowOff>
    </xdr:to>
    <xdr:sp macro="" textlink="">
      <xdr:nvSpPr>
        <xdr:cNvPr id="3" name="Text Box 4">
          <a:extLst>
            <a:ext uri="{FF2B5EF4-FFF2-40B4-BE49-F238E27FC236}">
              <a16:creationId xmlns:a16="http://schemas.microsoft.com/office/drawing/2014/main" id="{F551F670-C7DA-4E14-9A5F-9FBFB2F7B44F}"/>
            </a:ext>
          </a:extLst>
        </xdr:cNvPr>
        <xdr:cNvSpPr txBox="1">
          <a:spLocks noChangeArrowheads="1"/>
        </xdr:cNvSpPr>
      </xdr:nvSpPr>
      <xdr:spPr bwMode="auto">
        <a:xfrm>
          <a:off x="7848600" y="666750"/>
          <a:ext cx="4473577" cy="7746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L'entreprise en forte croissance, et en période d'investissement ne peut maîtriser son besoin en fonds de roulement, ce qui génère un fort déficit de trésorerie. Celui-ci est comblé par de l'endettement; les frais financiers augmentent donc fortement.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8673" name="Text Box 1">
          <a:extLst>
            <a:ext uri="{FF2B5EF4-FFF2-40B4-BE49-F238E27FC236}">
              <a16:creationId xmlns:a16="http://schemas.microsoft.com/office/drawing/2014/main" id="{00000000-0008-0000-1D00-0000017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1</xdr:col>
      <xdr:colOff>0</xdr:colOff>
      <xdr:row>0</xdr:row>
      <xdr:rowOff>0</xdr:rowOff>
    </xdr:from>
    <xdr:to>
      <xdr:col>1</xdr:col>
      <xdr:colOff>0</xdr:colOff>
      <xdr:row>0</xdr:row>
      <xdr:rowOff>0</xdr:rowOff>
    </xdr:to>
    <xdr:sp macro="" textlink="">
      <xdr:nvSpPr>
        <xdr:cNvPr id="28674" name="Text Box 2">
          <a:extLst>
            <a:ext uri="{FF2B5EF4-FFF2-40B4-BE49-F238E27FC236}">
              <a16:creationId xmlns:a16="http://schemas.microsoft.com/office/drawing/2014/main" id="{00000000-0008-0000-1D00-0000027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1</xdr:col>
      <xdr:colOff>0</xdr:colOff>
      <xdr:row>0</xdr:row>
      <xdr:rowOff>0</xdr:rowOff>
    </xdr:from>
    <xdr:to>
      <xdr:col>1</xdr:col>
      <xdr:colOff>0</xdr:colOff>
      <xdr:row>0</xdr:row>
      <xdr:rowOff>0</xdr:rowOff>
    </xdr:to>
    <xdr:sp macro="" textlink="">
      <xdr:nvSpPr>
        <xdr:cNvPr id="28675" name="Text Box 3">
          <a:extLst>
            <a:ext uri="{FF2B5EF4-FFF2-40B4-BE49-F238E27FC236}">
              <a16:creationId xmlns:a16="http://schemas.microsoft.com/office/drawing/2014/main" id="{00000000-0008-0000-1D00-0000037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1</xdr:col>
      <xdr:colOff>0</xdr:colOff>
      <xdr:row>0</xdr:row>
      <xdr:rowOff>0</xdr:rowOff>
    </xdr:from>
    <xdr:to>
      <xdr:col>1</xdr:col>
      <xdr:colOff>0</xdr:colOff>
      <xdr:row>0</xdr:row>
      <xdr:rowOff>0</xdr:rowOff>
    </xdr:to>
    <xdr:graphicFrame macro="">
      <xdr:nvGraphicFramePr>
        <xdr:cNvPr id="29374" name="Graphique 4">
          <a:extLst>
            <a:ext uri="{FF2B5EF4-FFF2-40B4-BE49-F238E27FC236}">
              <a16:creationId xmlns:a16="http://schemas.microsoft.com/office/drawing/2014/main" id="{00000000-0008-0000-1D00-0000BE7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0</xdr:colOff>
      <xdr:row>0</xdr:row>
      <xdr:rowOff>0</xdr:rowOff>
    </xdr:to>
    <xdr:graphicFrame macro="">
      <xdr:nvGraphicFramePr>
        <xdr:cNvPr id="29375" name="Graphique 5">
          <a:extLst>
            <a:ext uri="{FF2B5EF4-FFF2-40B4-BE49-F238E27FC236}">
              <a16:creationId xmlns:a16="http://schemas.microsoft.com/office/drawing/2014/main" id="{00000000-0008-0000-1D00-0000BF7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9697" name="Text Box 1">
          <a:extLst>
            <a:ext uri="{FF2B5EF4-FFF2-40B4-BE49-F238E27FC236}">
              <a16:creationId xmlns:a16="http://schemas.microsoft.com/office/drawing/2014/main" id="{00000000-0008-0000-1E00-0000017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9698" name="Text Box 2">
          <a:extLst>
            <a:ext uri="{FF2B5EF4-FFF2-40B4-BE49-F238E27FC236}">
              <a16:creationId xmlns:a16="http://schemas.microsoft.com/office/drawing/2014/main" id="{00000000-0008-0000-1E00-0000027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9699" name="Text Box 3">
          <a:extLst>
            <a:ext uri="{FF2B5EF4-FFF2-40B4-BE49-F238E27FC236}">
              <a16:creationId xmlns:a16="http://schemas.microsoft.com/office/drawing/2014/main" id="{00000000-0008-0000-1E00-0000037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0393" name="Graphique 4">
          <a:extLst>
            <a:ext uri="{FF2B5EF4-FFF2-40B4-BE49-F238E27FC236}">
              <a16:creationId xmlns:a16="http://schemas.microsoft.com/office/drawing/2014/main" id="{00000000-0008-0000-1E00-0000B97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0394" name="Graphique 5">
          <a:extLst>
            <a:ext uri="{FF2B5EF4-FFF2-40B4-BE49-F238E27FC236}">
              <a16:creationId xmlns:a16="http://schemas.microsoft.com/office/drawing/2014/main" id="{00000000-0008-0000-1E00-0000BA7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8913" name="Text Box 1">
          <a:extLst>
            <a:ext uri="{FF2B5EF4-FFF2-40B4-BE49-F238E27FC236}">
              <a16:creationId xmlns:a16="http://schemas.microsoft.com/office/drawing/2014/main" id="{00000000-0008-0000-1F00-0000019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8914" name="Text Box 2">
          <a:extLst>
            <a:ext uri="{FF2B5EF4-FFF2-40B4-BE49-F238E27FC236}">
              <a16:creationId xmlns:a16="http://schemas.microsoft.com/office/drawing/2014/main" id="{00000000-0008-0000-1F00-0000029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8915" name="Text Box 3">
          <a:extLst>
            <a:ext uri="{FF2B5EF4-FFF2-40B4-BE49-F238E27FC236}">
              <a16:creationId xmlns:a16="http://schemas.microsoft.com/office/drawing/2014/main" id="{00000000-0008-0000-1F00-0000039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9606" name="Graphique 4">
          <a:extLst>
            <a:ext uri="{FF2B5EF4-FFF2-40B4-BE49-F238E27FC236}">
              <a16:creationId xmlns:a16="http://schemas.microsoft.com/office/drawing/2014/main" id="{00000000-0008-0000-1F00-0000B69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9607" name="Graphique 5">
          <a:extLst>
            <a:ext uri="{FF2B5EF4-FFF2-40B4-BE49-F238E27FC236}">
              <a16:creationId xmlns:a16="http://schemas.microsoft.com/office/drawing/2014/main" id="{00000000-0008-0000-1F00-0000B79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3793" name="Text Box 1">
          <a:extLst>
            <a:ext uri="{FF2B5EF4-FFF2-40B4-BE49-F238E27FC236}">
              <a16:creationId xmlns:a16="http://schemas.microsoft.com/office/drawing/2014/main" id="{00000000-0008-0000-2000-0000018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3794" name="Text Box 2">
          <a:extLst>
            <a:ext uri="{FF2B5EF4-FFF2-40B4-BE49-F238E27FC236}">
              <a16:creationId xmlns:a16="http://schemas.microsoft.com/office/drawing/2014/main" id="{00000000-0008-0000-2000-0000028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3795" name="Text Box 3">
          <a:extLst>
            <a:ext uri="{FF2B5EF4-FFF2-40B4-BE49-F238E27FC236}">
              <a16:creationId xmlns:a16="http://schemas.microsoft.com/office/drawing/2014/main" id="{00000000-0008-0000-2000-0000038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4488" name="Graphique 4">
          <a:extLst>
            <a:ext uri="{FF2B5EF4-FFF2-40B4-BE49-F238E27FC236}">
              <a16:creationId xmlns:a16="http://schemas.microsoft.com/office/drawing/2014/main" id="{00000000-0008-0000-2000-0000B88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4489" name="Graphique 5">
          <a:extLst>
            <a:ext uri="{FF2B5EF4-FFF2-40B4-BE49-F238E27FC236}">
              <a16:creationId xmlns:a16="http://schemas.microsoft.com/office/drawing/2014/main" id="{00000000-0008-0000-2000-0000B98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4817" name="Text Box 1">
          <a:extLst>
            <a:ext uri="{FF2B5EF4-FFF2-40B4-BE49-F238E27FC236}">
              <a16:creationId xmlns:a16="http://schemas.microsoft.com/office/drawing/2014/main" id="{00000000-0008-0000-2100-0000018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4818" name="Text Box 2">
          <a:extLst>
            <a:ext uri="{FF2B5EF4-FFF2-40B4-BE49-F238E27FC236}">
              <a16:creationId xmlns:a16="http://schemas.microsoft.com/office/drawing/2014/main" id="{00000000-0008-0000-2100-0000028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4819" name="Text Box 3">
          <a:extLst>
            <a:ext uri="{FF2B5EF4-FFF2-40B4-BE49-F238E27FC236}">
              <a16:creationId xmlns:a16="http://schemas.microsoft.com/office/drawing/2014/main" id="{00000000-0008-0000-2100-0000038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5511" name="Graphique 4">
          <a:extLst>
            <a:ext uri="{FF2B5EF4-FFF2-40B4-BE49-F238E27FC236}">
              <a16:creationId xmlns:a16="http://schemas.microsoft.com/office/drawing/2014/main" id="{00000000-0008-0000-2100-0000B78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5512" name="Graphique 5">
          <a:extLst>
            <a:ext uri="{FF2B5EF4-FFF2-40B4-BE49-F238E27FC236}">
              <a16:creationId xmlns:a16="http://schemas.microsoft.com/office/drawing/2014/main" id="{00000000-0008-0000-2100-0000B88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5841" name="Text Box 1">
          <a:extLst>
            <a:ext uri="{FF2B5EF4-FFF2-40B4-BE49-F238E27FC236}">
              <a16:creationId xmlns:a16="http://schemas.microsoft.com/office/drawing/2014/main" id="{00000000-0008-0000-2200-0000018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5842" name="Text Box 2">
          <a:extLst>
            <a:ext uri="{FF2B5EF4-FFF2-40B4-BE49-F238E27FC236}">
              <a16:creationId xmlns:a16="http://schemas.microsoft.com/office/drawing/2014/main" id="{00000000-0008-0000-2200-0000028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5843" name="Text Box 3">
          <a:extLst>
            <a:ext uri="{FF2B5EF4-FFF2-40B4-BE49-F238E27FC236}">
              <a16:creationId xmlns:a16="http://schemas.microsoft.com/office/drawing/2014/main" id="{00000000-0008-0000-2200-0000038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6540" name="Graphique 4">
          <a:extLst>
            <a:ext uri="{FF2B5EF4-FFF2-40B4-BE49-F238E27FC236}">
              <a16:creationId xmlns:a16="http://schemas.microsoft.com/office/drawing/2014/main" id="{00000000-0008-0000-2200-0000BC8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6541" name="Graphique 5">
          <a:extLst>
            <a:ext uri="{FF2B5EF4-FFF2-40B4-BE49-F238E27FC236}">
              <a16:creationId xmlns:a16="http://schemas.microsoft.com/office/drawing/2014/main" id="{00000000-0008-0000-2200-0000BD8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1">
          <a:extLst>
            <a:ext uri="{FF2B5EF4-FFF2-40B4-BE49-F238E27FC236}">
              <a16:creationId xmlns:a16="http://schemas.microsoft.com/office/drawing/2014/main" id="{00000000-0008-0000-2300-000002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Text Box 2">
          <a:extLst>
            <a:ext uri="{FF2B5EF4-FFF2-40B4-BE49-F238E27FC236}">
              <a16:creationId xmlns:a16="http://schemas.microsoft.com/office/drawing/2014/main" id="{00000000-0008-0000-2300-000003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Text Box 3">
          <a:extLst>
            <a:ext uri="{FF2B5EF4-FFF2-40B4-BE49-F238E27FC236}">
              <a16:creationId xmlns:a16="http://schemas.microsoft.com/office/drawing/2014/main" id="{00000000-0008-0000-2300-000004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1904166" name="Graphique 4">
          <a:extLst>
            <a:ext uri="{FF2B5EF4-FFF2-40B4-BE49-F238E27FC236}">
              <a16:creationId xmlns:a16="http://schemas.microsoft.com/office/drawing/2014/main" id="{00000000-0008-0000-2300-0000260E1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1904167" name="Graphique 5">
          <a:extLst>
            <a:ext uri="{FF2B5EF4-FFF2-40B4-BE49-F238E27FC236}">
              <a16:creationId xmlns:a16="http://schemas.microsoft.com/office/drawing/2014/main" id="{00000000-0008-0000-2300-0000270E1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1">
          <a:extLst>
            <a:ext uri="{FF2B5EF4-FFF2-40B4-BE49-F238E27FC236}">
              <a16:creationId xmlns:a16="http://schemas.microsoft.com/office/drawing/2014/main" id="{00000000-0008-0000-2400-000002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Text Box 2">
          <a:extLst>
            <a:ext uri="{FF2B5EF4-FFF2-40B4-BE49-F238E27FC236}">
              <a16:creationId xmlns:a16="http://schemas.microsoft.com/office/drawing/2014/main" id="{00000000-0008-0000-2400-000003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Text Box 3">
          <a:extLst>
            <a:ext uri="{FF2B5EF4-FFF2-40B4-BE49-F238E27FC236}">
              <a16:creationId xmlns:a16="http://schemas.microsoft.com/office/drawing/2014/main" id="{00000000-0008-0000-2400-000004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363906" name="Graphique 4">
          <a:extLst>
            <a:ext uri="{FF2B5EF4-FFF2-40B4-BE49-F238E27FC236}">
              <a16:creationId xmlns:a16="http://schemas.microsoft.com/office/drawing/2014/main" id="{00000000-0008-0000-2400-000002122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363907" name="Graphique 5">
          <a:extLst>
            <a:ext uri="{FF2B5EF4-FFF2-40B4-BE49-F238E27FC236}">
              <a16:creationId xmlns:a16="http://schemas.microsoft.com/office/drawing/2014/main" id="{00000000-0008-0000-2400-000003122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9153" name="Text Box 1">
          <a:extLst>
            <a:ext uri="{FF2B5EF4-FFF2-40B4-BE49-F238E27FC236}">
              <a16:creationId xmlns:a16="http://schemas.microsoft.com/office/drawing/2014/main" id="{00000000-0008-0000-2500-000001C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 </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9154" name="Text Box 2">
          <a:extLst>
            <a:ext uri="{FF2B5EF4-FFF2-40B4-BE49-F238E27FC236}">
              <a16:creationId xmlns:a16="http://schemas.microsoft.com/office/drawing/2014/main" id="{00000000-0008-0000-2500-000002C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9155" name="Text Box 3">
          <a:extLst>
            <a:ext uri="{FF2B5EF4-FFF2-40B4-BE49-F238E27FC236}">
              <a16:creationId xmlns:a16="http://schemas.microsoft.com/office/drawing/2014/main" id="{00000000-0008-0000-2500-000003C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9985" name="Graphique 4">
          <a:extLst>
            <a:ext uri="{FF2B5EF4-FFF2-40B4-BE49-F238E27FC236}">
              <a16:creationId xmlns:a16="http://schemas.microsoft.com/office/drawing/2014/main" id="{00000000-0008-0000-2500-000041C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9986" name="Graphique 5">
          <a:extLst>
            <a:ext uri="{FF2B5EF4-FFF2-40B4-BE49-F238E27FC236}">
              <a16:creationId xmlns:a16="http://schemas.microsoft.com/office/drawing/2014/main" id="{00000000-0008-0000-2500-000042C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593725</xdr:colOff>
      <xdr:row>20</xdr:row>
      <xdr:rowOff>0</xdr:rowOff>
    </xdr:from>
    <xdr:to>
      <xdr:col>4</xdr:col>
      <xdr:colOff>212658</xdr:colOff>
      <xdr:row>31</xdr:row>
      <xdr:rowOff>130165</xdr:rowOff>
    </xdr:to>
    <xdr:sp macro="" textlink="">
      <xdr:nvSpPr>
        <xdr:cNvPr id="49159" name="Text Box 7">
          <a:extLst>
            <a:ext uri="{FF2B5EF4-FFF2-40B4-BE49-F238E27FC236}">
              <a16:creationId xmlns:a16="http://schemas.microsoft.com/office/drawing/2014/main" id="{00000000-0008-0000-2500-000007C00000}"/>
            </a:ext>
          </a:extLst>
        </xdr:cNvPr>
        <xdr:cNvSpPr txBox="1">
          <a:spLocks noChangeArrowheads="1"/>
        </xdr:cNvSpPr>
      </xdr:nvSpPr>
      <xdr:spPr bwMode="auto">
        <a:xfrm>
          <a:off x="561975" y="3295650"/>
          <a:ext cx="4019550" cy="1905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Actionnariat</a:t>
          </a:r>
        </a:p>
        <a:p>
          <a:pPr algn="l" rtl="0">
            <a:defRPr sz="1000"/>
          </a:pPr>
          <a:r>
            <a:rPr lang="fr-FR" sz="1000" b="0" i="0" u="none" strike="noStrike" baseline="0">
              <a:solidFill>
                <a:srgbClr val="000000"/>
              </a:solidFill>
              <a:latin typeface="Verdana"/>
            </a:rPr>
            <a:t>     . Stable: 2-5</a:t>
          </a:r>
        </a:p>
        <a:p>
          <a:pPr algn="l" rtl="0">
            <a:defRPr sz="1000"/>
          </a:pPr>
          <a:r>
            <a:rPr lang="fr-FR" sz="1000" b="0" i="0" u="none" strike="noStrike" baseline="0">
              <a:solidFill>
                <a:srgbClr val="000000"/>
              </a:solidFill>
              <a:latin typeface="Verdana"/>
            </a:rPr>
            <a:t>     . Instable: 1-3-4</a:t>
          </a:r>
        </a:p>
        <a:p>
          <a:pPr algn="l" rtl="0">
            <a:defRPr sz="1000"/>
          </a:pPr>
          <a:endParaRPr lang="fr-FR" sz="1000" b="0" i="0" u="none" strike="noStrike" baseline="0">
            <a:solidFill>
              <a:srgbClr val="000000"/>
            </a:solidFill>
            <a:latin typeface="Verdana"/>
          </a:endParaRPr>
        </a:p>
        <a:p>
          <a:pPr algn="l" rtl="0">
            <a:defRPr sz="1000"/>
          </a:pPr>
          <a:r>
            <a:rPr lang="fr-FR" sz="1000" b="0" i="0" u="none" strike="noStrike" baseline="0">
              <a:solidFill>
                <a:srgbClr val="000000"/>
              </a:solidFill>
              <a:latin typeface="Verdana"/>
            </a:rPr>
            <a:t>Dirigeants</a:t>
          </a:r>
        </a:p>
        <a:p>
          <a:pPr algn="l" rtl="0">
            <a:defRPr sz="1000"/>
          </a:pPr>
          <a:r>
            <a:rPr lang="fr-FR" sz="1000" b="0" i="0" u="none" strike="noStrike" baseline="0">
              <a:solidFill>
                <a:srgbClr val="000000"/>
              </a:solidFill>
              <a:latin typeface="Verdana"/>
            </a:rPr>
            <a:t>    . 1) Très contrôlé</a:t>
          </a:r>
        </a:p>
        <a:p>
          <a:pPr algn="l" rtl="0">
            <a:defRPr sz="1000"/>
          </a:pPr>
          <a:r>
            <a:rPr lang="fr-FR" sz="1000" b="0" i="0" u="none" strike="noStrike" baseline="0">
              <a:solidFill>
                <a:srgbClr val="000000"/>
              </a:solidFill>
              <a:latin typeface="Verdana"/>
            </a:rPr>
            <a:t>    . 2) Stable</a:t>
          </a:r>
        </a:p>
        <a:p>
          <a:pPr algn="l" rtl="0">
            <a:defRPr sz="1000"/>
          </a:pPr>
          <a:r>
            <a:rPr lang="fr-FR" sz="1000" b="0" i="0" u="none" strike="noStrike" baseline="0">
              <a:solidFill>
                <a:srgbClr val="000000"/>
              </a:solidFill>
              <a:latin typeface="Verdana"/>
            </a:rPr>
            <a:t>    . 3) Seul risque est celui d'une OPA</a:t>
          </a:r>
        </a:p>
        <a:p>
          <a:pPr algn="l" rtl="0">
            <a:defRPr sz="1000"/>
          </a:pPr>
          <a:r>
            <a:rPr lang="fr-FR" sz="1000" b="0" i="0" u="none" strike="noStrike" baseline="0">
              <a:solidFill>
                <a:srgbClr val="000000"/>
              </a:solidFill>
              <a:latin typeface="Verdana"/>
            </a:rPr>
            <a:t>    . 4) Risque d'une OPA si le financier vend sa participation à un concurrent de l'industriel</a:t>
          </a:r>
        </a:p>
        <a:p>
          <a:pPr algn="l" rtl="0">
            <a:defRPr sz="1000"/>
          </a:pPr>
          <a:r>
            <a:rPr lang="fr-FR" sz="1000" b="0" i="0" u="none" strike="noStrike" baseline="0">
              <a:solidFill>
                <a:srgbClr val="000000"/>
              </a:solidFill>
              <a:latin typeface="Verdana"/>
            </a:rPr>
            <a:t>    . 5) Stable (retrait de Bourse non exclu)</a:t>
          </a:r>
        </a:p>
        <a:p>
          <a:pPr algn="l" rtl="0">
            <a:defRPr sz="1000"/>
          </a:pPr>
          <a:r>
            <a:rPr lang="fr-FR" sz="1000" b="0" i="0" u="none" strike="noStrike" baseline="0">
              <a:solidFill>
                <a:srgbClr val="000000"/>
              </a:solidFill>
              <a:latin typeface="Verdana"/>
            </a:rPr>
            <a:t>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0961" name="Text Box 1">
          <a:extLst>
            <a:ext uri="{FF2B5EF4-FFF2-40B4-BE49-F238E27FC236}">
              <a16:creationId xmlns:a16="http://schemas.microsoft.com/office/drawing/2014/main" id="{00000000-0008-0000-2700-000001A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0962" name="Text Box 2">
          <a:extLst>
            <a:ext uri="{FF2B5EF4-FFF2-40B4-BE49-F238E27FC236}">
              <a16:creationId xmlns:a16="http://schemas.microsoft.com/office/drawing/2014/main" id="{00000000-0008-0000-2700-000002A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0963" name="Text Box 3">
          <a:extLst>
            <a:ext uri="{FF2B5EF4-FFF2-40B4-BE49-F238E27FC236}">
              <a16:creationId xmlns:a16="http://schemas.microsoft.com/office/drawing/2014/main" id="{00000000-0008-0000-2700-000003A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1658" name="Graphique 4">
          <a:extLst>
            <a:ext uri="{FF2B5EF4-FFF2-40B4-BE49-F238E27FC236}">
              <a16:creationId xmlns:a16="http://schemas.microsoft.com/office/drawing/2014/main" id="{00000000-0008-0000-2700-0000BAA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1659" name="Graphique 5">
          <a:extLst>
            <a:ext uri="{FF2B5EF4-FFF2-40B4-BE49-F238E27FC236}">
              <a16:creationId xmlns:a16="http://schemas.microsoft.com/office/drawing/2014/main" id="{00000000-0008-0000-2700-0000BBA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12700</xdr:colOff>
      <xdr:row>97</xdr:row>
      <xdr:rowOff>0</xdr:rowOff>
    </xdr:from>
    <xdr:to>
      <xdr:col>8</xdr:col>
      <xdr:colOff>12700</xdr:colOff>
      <xdr:row>112</xdr:row>
      <xdr:rowOff>158750</xdr:rowOff>
    </xdr:to>
    <xdr:graphicFrame macro="">
      <xdr:nvGraphicFramePr>
        <xdr:cNvPr id="2" name="Graphique 4">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0177" name="Text Box 1">
          <a:extLst>
            <a:ext uri="{FF2B5EF4-FFF2-40B4-BE49-F238E27FC236}">
              <a16:creationId xmlns:a16="http://schemas.microsoft.com/office/drawing/2014/main" id="{00000000-0008-0000-2800-000001C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0178" name="Text Box 2">
          <a:extLst>
            <a:ext uri="{FF2B5EF4-FFF2-40B4-BE49-F238E27FC236}">
              <a16:creationId xmlns:a16="http://schemas.microsoft.com/office/drawing/2014/main" id="{00000000-0008-0000-2800-000002C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0179" name="Text Box 3">
          <a:extLst>
            <a:ext uri="{FF2B5EF4-FFF2-40B4-BE49-F238E27FC236}">
              <a16:creationId xmlns:a16="http://schemas.microsoft.com/office/drawing/2014/main" id="{00000000-0008-0000-2800-000003C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50966" name="Graphique 4">
          <a:extLst>
            <a:ext uri="{FF2B5EF4-FFF2-40B4-BE49-F238E27FC236}">
              <a16:creationId xmlns:a16="http://schemas.microsoft.com/office/drawing/2014/main" id="{00000000-0008-0000-2800-000016C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50967" name="Graphique 5">
          <a:extLst>
            <a:ext uri="{FF2B5EF4-FFF2-40B4-BE49-F238E27FC236}">
              <a16:creationId xmlns:a16="http://schemas.microsoft.com/office/drawing/2014/main" id="{00000000-0008-0000-2800-000017C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114300</xdr:colOff>
      <xdr:row>62</xdr:row>
      <xdr:rowOff>88900</xdr:rowOff>
    </xdr:from>
    <xdr:to>
      <xdr:col>6</xdr:col>
      <xdr:colOff>95250</xdr:colOff>
      <xdr:row>77</xdr:row>
      <xdr:rowOff>139700</xdr:rowOff>
    </xdr:to>
    <xdr:graphicFrame macro="">
      <xdr:nvGraphicFramePr>
        <xdr:cNvPr id="58645" name="Graphique 1">
          <a:extLst>
            <a:ext uri="{FF2B5EF4-FFF2-40B4-BE49-F238E27FC236}">
              <a16:creationId xmlns:a16="http://schemas.microsoft.com/office/drawing/2014/main" id="{00000000-0008-0000-2900-000015E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98</xdr:row>
      <xdr:rowOff>88900</xdr:rowOff>
    </xdr:from>
    <xdr:to>
      <xdr:col>6</xdr:col>
      <xdr:colOff>95250</xdr:colOff>
      <xdr:row>113</xdr:row>
      <xdr:rowOff>139700</xdr:rowOff>
    </xdr:to>
    <xdr:graphicFrame macro="">
      <xdr:nvGraphicFramePr>
        <xdr:cNvPr id="58646" name="Graphique 2">
          <a:extLst>
            <a:ext uri="{FF2B5EF4-FFF2-40B4-BE49-F238E27FC236}">
              <a16:creationId xmlns:a16="http://schemas.microsoft.com/office/drawing/2014/main" id="{00000000-0008-0000-2900-000016E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1985" name="Text Box 1">
          <a:extLst>
            <a:ext uri="{FF2B5EF4-FFF2-40B4-BE49-F238E27FC236}">
              <a16:creationId xmlns:a16="http://schemas.microsoft.com/office/drawing/2014/main" id="{00000000-0008-0000-2A00-000001A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1986" name="Text Box 2">
          <a:extLst>
            <a:ext uri="{FF2B5EF4-FFF2-40B4-BE49-F238E27FC236}">
              <a16:creationId xmlns:a16="http://schemas.microsoft.com/office/drawing/2014/main" id="{00000000-0008-0000-2A00-000002A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1987" name="Text Box 3">
          <a:extLst>
            <a:ext uri="{FF2B5EF4-FFF2-40B4-BE49-F238E27FC236}">
              <a16:creationId xmlns:a16="http://schemas.microsoft.com/office/drawing/2014/main" id="{00000000-0008-0000-2A00-000003A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2993" name="Graphique 4">
          <a:extLst>
            <a:ext uri="{FF2B5EF4-FFF2-40B4-BE49-F238E27FC236}">
              <a16:creationId xmlns:a16="http://schemas.microsoft.com/office/drawing/2014/main" id="{00000000-0008-0000-2A00-0000F1A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2994" name="Graphique 5">
          <a:extLst>
            <a:ext uri="{FF2B5EF4-FFF2-40B4-BE49-F238E27FC236}">
              <a16:creationId xmlns:a16="http://schemas.microsoft.com/office/drawing/2014/main" id="{00000000-0008-0000-2A00-0000F2A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180975</xdr:colOff>
      <xdr:row>1</xdr:row>
      <xdr:rowOff>22225</xdr:rowOff>
    </xdr:from>
    <xdr:to>
      <xdr:col>9</xdr:col>
      <xdr:colOff>31784</xdr:colOff>
      <xdr:row>7</xdr:row>
      <xdr:rowOff>187301</xdr:rowOff>
    </xdr:to>
    <xdr:sp macro="" textlink="">
      <xdr:nvSpPr>
        <xdr:cNvPr id="42013" name="AutoShape 29">
          <a:extLst>
            <a:ext uri="{FF2B5EF4-FFF2-40B4-BE49-F238E27FC236}">
              <a16:creationId xmlns:a16="http://schemas.microsoft.com/office/drawing/2014/main" id="{00000000-0008-0000-2A00-00001DA40000}"/>
            </a:ext>
          </a:extLst>
        </xdr:cNvPr>
        <xdr:cNvSpPr>
          <a:spLocks noChangeArrowheads="1"/>
        </xdr:cNvSpPr>
      </xdr:nvSpPr>
      <xdr:spPr bwMode="auto">
        <a:xfrm>
          <a:off x="5540375" y="193675"/>
          <a:ext cx="4841909" cy="1536676"/>
        </a:xfrm>
        <a:prstGeom prst="wedgeRectCallout">
          <a:avLst>
            <a:gd name="adj1" fmla="val -94394"/>
            <a:gd name="adj2" fmla="val 4111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rPr>
            <a:t>Dans 3 mois j'aurais 1 BOK à vendre:</a:t>
          </a:r>
        </a:p>
        <a:p>
          <a:pPr algn="l" rtl="0">
            <a:defRPr sz="1000"/>
          </a:pPr>
          <a:r>
            <a:rPr lang="fr-FR" sz="800" b="0" i="0" u="none" strike="noStrike" baseline="0">
              <a:solidFill>
                <a:srgbClr val="000000"/>
              </a:solidFill>
              <a:latin typeface="Verdana"/>
            </a:rPr>
            <a:t>&gt; quelle somme dois-je emprunter aujoud'hui en BOK pour avoir 1 BOK à rembourser dans 3 mois? (Cf B11)</a:t>
          </a:r>
        </a:p>
        <a:p>
          <a:pPr algn="l" rtl="0">
            <a:defRPr sz="1000"/>
          </a:pPr>
          <a:r>
            <a:rPr lang="fr-FR" sz="800" b="0" i="0" u="none" strike="noStrike" baseline="0">
              <a:solidFill>
                <a:srgbClr val="000000"/>
              </a:solidFill>
              <a:latin typeface="Verdana"/>
            </a:rPr>
            <a:t>&gt; la banque m'achète cette somme contre des EUR, d'où une nouvelle somme en SYK (Cf B13)</a:t>
          </a:r>
        </a:p>
        <a:p>
          <a:pPr algn="l" rtl="0">
            <a:defRPr sz="1000"/>
          </a:pPr>
          <a:r>
            <a:rPr lang="fr-FR" sz="800" b="0" i="0" u="none" strike="noStrike" baseline="0">
              <a:solidFill>
                <a:srgbClr val="000000"/>
              </a:solidFill>
              <a:latin typeface="Verdana"/>
            </a:rPr>
            <a:t>&gt; enfin je place cette somme en SYK, d'où 3 mois plus tard une somme x taux rémunéré (Cf B15)</a:t>
          </a:r>
        </a:p>
        <a:p>
          <a:pPr algn="l" rtl="0">
            <a:defRPr sz="1000"/>
          </a:pPr>
          <a:r>
            <a:rPr lang="fr-FR" sz="800" b="0" i="0" u="none" strike="noStrike" baseline="0">
              <a:solidFill>
                <a:srgbClr val="000000"/>
              </a:solidFill>
              <a:latin typeface="Verdana"/>
            </a:rPr>
            <a:t>&gt; Au bout de 3 mois, pour 1 BOK que je pourrais rembourser, j'aurais donc 0,9803 SYK (Cf B17)</a:t>
          </a:r>
        </a:p>
        <a:p>
          <a:pPr algn="l" rtl="0">
            <a:defRPr sz="1000"/>
          </a:pPr>
          <a:endParaRPr lang="fr-FR" sz="800" b="0" i="0" u="none" strike="noStrike" baseline="0">
            <a:solidFill>
              <a:srgbClr val="000000"/>
            </a:solidFill>
            <a:latin typeface="Verdana"/>
          </a:endParaRPr>
        </a:p>
      </xdr:txBody>
    </xdr:sp>
    <xdr:clientData/>
  </xdr:twoCellAnchor>
  <xdr:twoCellAnchor>
    <xdr:from>
      <xdr:col>3</xdr:col>
      <xdr:colOff>609600</xdr:colOff>
      <xdr:row>7</xdr:row>
      <xdr:rowOff>288925</xdr:rowOff>
    </xdr:from>
    <xdr:to>
      <xdr:col>9</xdr:col>
      <xdr:colOff>9676</xdr:colOff>
      <xdr:row>12</xdr:row>
      <xdr:rowOff>129513</xdr:rowOff>
    </xdr:to>
    <xdr:sp macro="" textlink="">
      <xdr:nvSpPr>
        <xdr:cNvPr id="42014" name="AutoShape 30">
          <a:extLst>
            <a:ext uri="{FF2B5EF4-FFF2-40B4-BE49-F238E27FC236}">
              <a16:creationId xmlns:a16="http://schemas.microsoft.com/office/drawing/2014/main" id="{00000000-0008-0000-2A00-00001EA40000}"/>
            </a:ext>
          </a:extLst>
        </xdr:cNvPr>
        <xdr:cNvSpPr>
          <a:spLocks noChangeArrowheads="1"/>
        </xdr:cNvSpPr>
      </xdr:nvSpPr>
      <xdr:spPr bwMode="auto">
        <a:xfrm>
          <a:off x="4105275" y="1647825"/>
          <a:ext cx="4543425" cy="1276350"/>
        </a:xfrm>
        <a:prstGeom prst="wedgeRectCallout">
          <a:avLst>
            <a:gd name="adj1" fmla="val -64042"/>
            <a:gd name="adj2" fmla="val -470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rPr>
            <a:t>Dans 3 mois j'aurais besoin d'1 BOK à acheter:</a:t>
          </a:r>
        </a:p>
        <a:p>
          <a:pPr algn="l" rtl="0">
            <a:defRPr sz="1000"/>
          </a:pPr>
          <a:r>
            <a:rPr lang="fr-FR" sz="800" b="0" i="0" u="none" strike="noStrike" baseline="0">
              <a:solidFill>
                <a:srgbClr val="000000"/>
              </a:solidFill>
              <a:latin typeface="Verdana"/>
            </a:rPr>
            <a:t>&gt; quelle somme dois-je placer aujoud'hui en BOK pour avoir 1 BOK dans 3 mois? (Cf C11)</a:t>
          </a:r>
        </a:p>
        <a:p>
          <a:pPr algn="l" rtl="0">
            <a:defRPr sz="1000"/>
          </a:pPr>
          <a:r>
            <a:rPr lang="fr-FR" sz="800" b="0" i="0" u="none" strike="noStrike" baseline="0">
              <a:solidFill>
                <a:srgbClr val="000000"/>
              </a:solidFill>
              <a:latin typeface="Verdana"/>
            </a:rPr>
            <a:t>&gt; la banque me vend donc aujourd'hui cette somme contre des SYK, d'où une nouvelle somme en SYK (Cf C13)</a:t>
          </a:r>
        </a:p>
        <a:p>
          <a:pPr algn="l" rtl="0">
            <a:defRPr sz="1000"/>
          </a:pPr>
          <a:r>
            <a:rPr lang="fr-FR" sz="800" b="0" i="0" u="none" strike="noStrike" baseline="0">
              <a:solidFill>
                <a:srgbClr val="000000"/>
              </a:solidFill>
              <a:latin typeface="Verdana"/>
            </a:rPr>
            <a:t>&gt; mais en fait je ne les ai pas; quelle somme que j'emprunte devrais-je donc rembourser dans 3 mois (Cf C15)</a:t>
          </a:r>
        </a:p>
        <a:p>
          <a:pPr algn="l" rtl="0">
            <a:defRPr sz="1000"/>
          </a:pPr>
          <a:r>
            <a:rPr lang="fr-FR" sz="800" b="0" i="0" u="none" strike="noStrike" baseline="0">
              <a:solidFill>
                <a:srgbClr val="000000"/>
              </a:solidFill>
              <a:latin typeface="Verdana"/>
            </a:rPr>
            <a:t>&gt; Au bout de 3 mois, pour 1 BOK que la banque me vendra, je paierai 0,9819 SYK (Cf C17)</a:t>
          </a:r>
        </a:p>
        <a:p>
          <a:pPr algn="l" rtl="0">
            <a:defRPr sz="1000"/>
          </a:pPr>
          <a:endParaRPr lang="fr-FR" sz="800" b="0" i="0" u="none" strike="noStrike" baseline="0">
            <a:solidFill>
              <a:srgbClr val="000000"/>
            </a:solidFill>
            <a:latin typeface="Verdan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28</xdr:row>
      <xdr:rowOff>85725</xdr:rowOff>
    </xdr:from>
    <xdr:to>
      <xdr:col>0</xdr:col>
      <xdr:colOff>0</xdr:colOff>
      <xdr:row>34</xdr:row>
      <xdr:rowOff>57150</xdr:rowOff>
    </xdr:to>
    <xdr:sp macro="" textlink="">
      <xdr:nvSpPr>
        <xdr:cNvPr id="17409" name="Text Box 1">
          <a:extLst>
            <a:ext uri="{FF2B5EF4-FFF2-40B4-BE49-F238E27FC236}">
              <a16:creationId xmlns:a16="http://schemas.microsoft.com/office/drawing/2014/main" id="{00000000-0008-0000-0D00-000001440000}"/>
            </a:ext>
          </a:extLst>
        </xdr:cNvPr>
        <xdr:cNvSpPr txBox="1">
          <a:spLocks noChangeArrowheads="1"/>
        </xdr:cNvSpPr>
      </xdr:nvSpPr>
      <xdr:spPr bwMode="auto">
        <a:xfrm>
          <a:off x="0" y="4867275"/>
          <a:ext cx="0" cy="952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44</xdr:row>
      <xdr:rowOff>38100</xdr:rowOff>
    </xdr:from>
    <xdr:to>
      <xdr:col>0</xdr:col>
      <xdr:colOff>0</xdr:colOff>
      <xdr:row>49</xdr:row>
      <xdr:rowOff>0</xdr:rowOff>
    </xdr:to>
    <xdr:sp macro="" textlink="">
      <xdr:nvSpPr>
        <xdr:cNvPr id="17410" name="Text Box 2">
          <a:extLst>
            <a:ext uri="{FF2B5EF4-FFF2-40B4-BE49-F238E27FC236}">
              <a16:creationId xmlns:a16="http://schemas.microsoft.com/office/drawing/2014/main" id="{00000000-0008-0000-0D00-000002440000}"/>
            </a:ext>
          </a:extLst>
        </xdr:cNvPr>
        <xdr:cNvSpPr txBox="1">
          <a:spLocks noChangeArrowheads="1"/>
        </xdr:cNvSpPr>
      </xdr:nvSpPr>
      <xdr:spPr bwMode="auto">
        <a:xfrm>
          <a:off x="0" y="7419975"/>
          <a:ext cx="0" cy="771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279400</xdr:colOff>
      <xdr:row>49</xdr:row>
      <xdr:rowOff>31750</xdr:rowOff>
    </xdr:from>
    <xdr:to>
      <xdr:col>8</xdr:col>
      <xdr:colOff>641350</xdr:colOff>
      <xdr:row>58</xdr:row>
      <xdr:rowOff>139700</xdr:rowOff>
    </xdr:to>
    <xdr:graphicFrame macro="">
      <xdr:nvGraphicFramePr>
        <xdr:cNvPr id="18389" name="Graphique 5">
          <a:extLst>
            <a:ext uri="{FF2B5EF4-FFF2-40B4-BE49-F238E27FC236}">
              <a16:creationId xmlns:a16="http://schemas.microsoft.com/office/drawing/2014/main" id="{00000000-0008-0000-0D00-0000D54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95250</xdr:colOff>
      <xdr:row>83</xdr:row>
      <xdr:rowOff>158750</xdr:rowOff>
    </xdr:from>
    <xdr:to>
      <xdr:col>10</xdr:col>
      <xdr:colOff>469900</xdr:colOff>
      <xdr:row>93</xdr:row>
      <xdr:rowOff>31750</xdr:rowOff>
    </xdr:to>
    <xdr:graphicFrame macro="">
      <xdr:nvGraphicFramePr>
        <xdr:cNvPr id="18390" name="Graphique 14">
          <a:extLst>
            <a:ext uri="{FF2B5EF4-FFF2-40B4-BE49-F238E27FC236}">
              <a16:creationId xmlns:a16="http://schemas.microsoft.com/office/drawing/2014/main" id="{00000000-0008-0000-0D00-0000D64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95250</xdr:colOff>
      <xdr:row>93</xdr:row>
      <xdr:rowOff>133350</xdr:rowOff>
    </xdr:from>
    <xdr:to>
      <xdr:col>10</xdr:col>
      <xdr:colOff>476250</xdr:colOff>
      <xdr:row>102</xdr:row>
      <xdr:rowOff>0</xdr:rowOff>
    </xdr:to>
    <xdr:graphicFrame macro="">
      <xdr:nvGraphicFramePr>
        <xdr:cNvPr id="18391" name="Graphique 15">
          <a:extLst>
            <a:ext uri="{FF2B5EF4-FFF2-40B4-BE49-F238E27FC236}">
              <a16:creationId xmlns:a16="http://schemas.microsoft.com/office/drawing/2014/main" id="{00000000-0008-0000-0D00-0000D74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73025</xdr:rowOff>
    </xdr:from>
    <xdr:to>
      <xdr:col>0</xdr:col>
      <xdr:colOff>0</xdr:colOff>
      <xdr:row>4</xdr:row>
      <xdr:rowOff>57277</xdr:rowOff>
    </xdr:to>
    <xdr:sp macro="" textlink="">
      <xdr:nvSpPr>
        <xdr:cNvPr id="18433" name="Text Box 1">
          <a:extLst>
            <a:ext uri="{FF2B5EF4-FFF2-40B4-BE49-F238E27FC236}">
              <a16:creationId xmlns:a16="http://schemas.microsoft.com/office/drawing/2014/main" id="{00000000-0008-0000-0E00-000001480000}"/>
            </a:ext>
          </a:extLst>
        </xdr:cNvPr>
        <xdr:cNvSpPr txBox="1">
          <a:spLocks noChangeArrowheads="1"/>
        </xdr:cNvSpPr>
      </xdr:nvSpPr>
      <xdr:spPr bwMode="auto">
        <a:xfrm>
          <a:off x="0" y="95250"/>
          <a:ext cx="0" cy="628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13</xdr:row>
      <xdr:rowOff>38100</xdr:rowOff>
    </xdr:from>
    <xdr:to>
      <xdr:col>0</xdr:col>
      <xdr:colOff>0</xdr:colOff>
      <xdr:row>17</xdr:row>
      <xdr:rowOff>0</xdr:rowOff>
    </xdr:to>
    <xdr:sp macro="" textlink="">
      <xdr:nvSpPr>
        <xdr:cNvPr id="18434" name="Text Box 2">
          <a:extLst>
            <a:ext uri="{FF2B5EF4-FFF2-40B4-BE49-F238E27FC236}">
              <a16:creationId xmlns:a16="http://schemas.microsoft.com/office/drawing/2014/main" id="{00000000-0008-0000-0E00-000002480000}"/>
            </a:ext>
          </a:extLst>
        </xdr:cNvPr>
        <xdr:cNvSpPr txBox="1">
          <a:spLocks noChangeArrowheads="1"/>
        </xdr:cNvSpPr>
      </xdr:nvSpPr>
      <xdr:spPr bwMode="auto">
        <a:xfrm>
          <a:off x="0" y="2162175"/>
          <a:ext cx="0" cy="609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30</xdr:row>
      <xdr:rowOff>85725</xdr:rowOff>
    </xdr:from>
    <xdr:to>
      <xdr:col>0</xdr:col>
      <xdr:colOff>0</xdr:colOff>
      <xdr:row>34</xdr:row>
      <xdr:rowOff>57150</xdr:rowOff>
    </xdr:to>
    <xdr:sp macro="" textlink="">
      <xdr:nvSpPr>
        <xdr:cNvPr id="20481" name="Text Box 1">
          <a:extLst>
            <a:ext uri="{FF2B5EF4-FFF2-40B4-BE49-F238E27FC236}">
              <a16:creationId xmlns:a16="http://schemas.microsoft.com/office/drawing/2014/main" id="{00000000-0008-0000-0F00-000001500000}"/>
            </a:ext>
          </a:extLst>
        </xdr:cNvPr>
        <xdr:cNvSpPr txBox="1">
          <a:spLocks noChangeArrowheads="1"/>
        </xdr:cNvSpPr>
      </xdr:nvSpPr>
      <xdr:spPr bwMode="auto">
        <a:xfrm>
          <a:off x="0" y="5314950"/>
          <a:ext cx="0" cy="609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43</xdr:row>
      <xdr:rowOff>38100</xdr:rowOff>
    </xdr:from>
    <xdr:to>
      <xdr:col>0</xdr:col>
      <xdr:colOff>0</xdr:colOff>
      <xdr:row>47</xdr:row>
      <xdr:rowOff>0</xdr:rowOff>
    </xdr:to>
    <xdr:sp macro="" textlink="">
      <xdr:nvSpPr>
        <xdr:cNvPr id="20482" name="Text Box 2">
          <a:extLst>
            <a:ext uri="{FF2B5EF4-FFF2-40B4-BE49-F238E27FC236}">
              <a16:creationId xmlns:a16="http://schemas.microsoft.com/office/drawing/2014/main" id="{00000000-0008-0000-0F00-000002500000}"/>
            </a:ext>
          </a:extLst>
        </xdr:cNvPr>
        <xdr:cNvSpPr txBox="1">
          <a:spLocks noChangeArrowheads="1"/>
        </xdr:cNvSpPr>
      </xdr:nvSpPr>
      <xdr:spPr bwMode="auto">
        <a:xfrm>
          <a:off x="0" y="7362825"/>
          <a:ext cx="0" cy="628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2</xdr:col>
      <xdr:colOff>44450</xdr:colOff>
      <xdr:row>28</xdr:row>
      <xdr:rowOff>31750</xdr:rowOff>
    </xdr:from>
    <xdr:to>
      <xdr:col>8</xdr:col>
      <xdr:colOff>292100</xdr:colOff>
      <xdr:row>43</xdr:row>
      <xdr:rowOff>31750</xdr:rowOff>
    </xdr:to>
    <xdr:graphicFrame macro="">
      <xdr:nvGraphicFramePr>
        <xdr:cNvPr id="21182" name="Graphique 4">
          <a:extLst>
            <a:ext uri="{FF2B5EF4-FFF2-40B4-BE49-F238E27FC236}">
              <a16:creationId xmlns:a16="http://schemas.microsoft.com/office/drawing/2014/main" id="{00000000-0008-0000-0F00-0000BE5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209550</xdr:colOff>
      <xdr:row>56</xdr:row>
      <xdr:rowOff>101600</xdr:rowOff>
    </xdr:from>
    <xdr:to>
      <xdr:col>8</xdr:col>
      <xdr:colOff>444500</xdr:colOff>
      <xdr:row>72</xdr:row>
      <xdr:rowOff>139700</xdr:rowOff>
    </xdr:to>
    <xdr:graphicFrame macro="">
      <xdr:nvGraphicFramePr>
        <xdr:cNvPr id="21183" name="Graphique 5">
          <a:extLst>
            <a:ext uri="{FF2B5EF4-FFF2-40B4-BE49-F238E27FC236}">
              <a16:creationId xmlns:a16="http://schemas.microsoft.com/office/drawing/2014/main" id="{00000000-0008-0000-0F00-0000BF5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869950</xdr:colOff>
      <xdr:row>64</xdr:row>
      <xdr:rowOff>28575</xdr:rowOff>
    </xdr:from>
    <xdr:ext cx="190309" cy="178960"/>
    <xdr:sp macro="" textlink="">
      <xdr:nvSpPr>
        <xdr:cNvPr id="20494" name="Text Box 14">
          <a:extLst>
            <a:ext uri="{FF2B5EF4-FFF2-40B4-BE49-F238E27FC236}">
              <a16:creationId xmlns:a16="http://schemas.microsoft.com/office/drawing/2014/main" id="{00000000-0008-0000-0F00-00000E500000}"/>
            </a:ext>
          </a:extLst>
        </xdr:cNvPr>
        <xdr:cNvSpPr txBox="1">
          <a:spLocks noChangeArrowheads="1"/>
        </xdr:cNvSpPr>
      </xdr:nvSpPr>
      <xdr:spPr bwMode="auto">
        <a:xfrm>
          <a:off x="5791200" y="11001375"/>
          <a:ext cx="190309" cy="178960"/>
        </a:xfrm>
        <a:prstGeom prst="rect">
          <a:avLst/>
        </a:prstGeom>
        <a:noFill/>
        <a:ln>
          <a:noFill/>
        </a:ln>
      </xdr:spPr>
      <xdr:txBody>
        <a:bodyPr wrap="none" lIns="27432" tIns="22860" rIns="0" bIns="0" anchor="t" upright="1">
          <a:spAutoFit/>
        </a:bodyPr>
        <a:lstStyle/>
        <a:p>
          <a:pPr algn="l" rtl="0">
            <a:defRPr sz="1000"/>
          </a:pPr>
          <a:r>
            <a:rPr lang="fr-FR" sz="1000" b="0" i="0" u="none" strike="noStrike" baseline="0">
              <a:solidFill>
                <a:srgbClr val="000000"/>
              </a:solidFill>
              <a:latin typeface="Verdana"/>
            </a:rPr>
            <a:t>E*</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0</xdr:colOff>
      <xdr:row>37</xdr:row>
      <xdr:rowOff>85725</xdr:rowOff>
    </xdr:from>
    <xdr:to>
      <xdr:col>0</xdr:col>
      <xdr:colOff>0</xdr:colOff>
      <xdr:row>40</xdr:row>
      <xdr:rowOff>238</xdr:rowOff>
    </xdr:to>
    <xdr:sp macro="" textlink="">
      <xdr:nvSpPr>
        <xdr:cNvPr id="21505" name="Text Box 1">
          <a:extLst>
            <a:ext uri="{FF2B5EF4-FFF2-40B4-BE49-F238E27FC236}">
              <a16:creationId xmlns:a16="http://schemas.microsoft.com/office/drawing/2014/main" id="{00000000-0008-0000-1000-000001540000}"/>
            </a:ext>
          </a:extLst>
        </xdr:cNvPr>
        <xdr:cNvSpPr txBox="1">
          <a:spLocks noChangeArrowheads="1"/>
        </xdr:cNvSpPr>
      </xdr:nvSpPr>
      <xdr:spPr bwMode="auto">
        <a:xfrm>
          <a:off x="0" y="5838825"/>
          <a:ext cx="0" cy="390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40</xdr:row>
      <xdr:rowOff>0</xdr:rowOff>
    </xdr:from>
    <xdr:to>
      <xdr:col>0</xdr:col>
      <xdr:colOff>0</xdr:colOff>
      <xdr:row>40</xdr:row>
      <xdr:rowOff>0</xdr:rowOff>
    </xdr:to>
    <xdr:sp macro="" textlink="">
      <xdr:nvSpPr>
        <xdr:cNvPr id="21506" name="Text Box 2">
          <a:extLst>
            <a:ext uri="{FF2B5EF4-FFF2-40B4-BE49-F238E27FC236}">
              <a16:creationId xmlns:a16="http://schemas.microsoft.com/office/drawing/2014/main" id="{00000000-0008-0000-1000-000002540000}"/>
            </a:ext>
          </a:extLst>
        </xdr:cNvPr>
        <xdr:cNvSpPr txBox="1">
          <a:spLocks noChangeArrowheads="1"/>
        </xdr:cNvSpPr>
      </xdr:nvSpPr>
      <xdr:spPr bwMode="auto">
        <a:xfrm>
          <a:off x="0" y="62293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1</xdr:row>
      <xdr:rowOff>38100</xdr:rowOff>
    </xdr:from>
    <xdr:to>
      <xdr:col>0</xdr:col>
      <xdr:colOff>0</xdr:colOff>
      <xdr:row>4</xdr:row>
      <xdr:rowOff>85889</xdr:rowOff>
    </xdr:to>
    <xdr:sp macro="" textlink="">
      <xdr:nvSpPr>
        <xdr:cNvPr id="21507" name="Text Box 3">
          <a:extLst>
            <a:ext uri="{FF2B5EF4-FFF2-40B4-BE49-F238E27FC236}">
              <a16:creationId xmlns:a16="http://schemas.microsoft.com/office/drawing/2014/main" id="{00000000-0008-0000-1000-000003540000}"/>
            </a:ext>
          </a:extLst>
        </xdr:cNvPr>
        <xdr:cNvSpPr txBox="1">
          <a:spLocks noChangeArrowheads="1"/>
        </xdr:cNvSpPr>
      </xdr:nvSpPr>
      <xdr:spPr bwMode="auto">
        <a:xfrm>
          <a:off x="0" y="219075"/>
          <a:ext cx="0" cy="542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34</xdr:row>
      <xdr:rowOff>101600</xdr:rowOff>
    </xdr:from>
    <xdr:to>
      <xdr:col>0</xdr:col>
      <xdr:colOff>0</xdr:colOff>
      <xdr:row>40</xdr:row>
      <xdr:rowOff>0</xdr:rowOff>
    </xdr:to>
    <xdr:graphicFrame macro="">
      <xdr:nvGraphicFramePr>
        <xdr:cNvPr id="22341" name="Graphique 4">
          <a:extLst>
            <a:ext uri="{FF2B5EF4-FFF2-40B4-BE49-F238E27FC236}">
              <a16:creationId xmlns:a16="http://schemas.microsoft.com/office/drawing/2014/main" id="{00000000-0008-0000-1000-0000455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0</xdr:col>
      <xdr:colOff>0</xdr:colOff>
      <xdr:row>40</xdr:row>
      <xdr:rowOff>0</xdr:rowOff>
    </xdr:to>
    <xdr:graphicFrame macro="">
      <xdr:nvGraphicFramePr>
        <xdr:cNvPr id="22342" name="Graphique 5">
          <a:extLst>
            <a:ext uri="{FF2B5EF4-FFF2-40B4-BE49-F238E27FC236}">
              <a16:creationId xmlns:a16="http://schemas.microsoft.com/office/drawing/2014/main" id="{00000000-0008-0000-1000-0000465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58</xdr:row>
      <xdr:rowOff>69850</xdr:rowOff>
    </xdr:from>
    <xdr:to>
      <xdr:col>5</xdr:col>
      <xdr:colOff>584200</xdr:colOff>
      <xdr:row>72</xdr:row>
      <xdr:rowOff>101600</xdr:rowOff>
    </xdr:to>
    <xdr:graphicFrame macro="">
      <xdr:nvGraphicFramePr>
        <xdr:cNvPr id="22343" name="Graphique 11">
          <a:extLst>
            <a:ext uri="{FF2B5EF4-FFF2-40B4-BE49-F238E27FC236}">
              <a16:creationId xmlns:a16="http://schemas.microsoft.com/office/drawing/2014/main" id="{00000000-0008-0000-1000-0000475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6321" name="Text Box 1">
          <a:extLst>
            <a:ext uri="{FF2B5EF4-FFF2-40B4-BE49-F238E27FC236}">
              <a16:creationId xmlns:a16="http://schemas.microsoft.com/office/drawing/2014/main" id="{00000000-0008-0000-1100-000001D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6322" name="Text Box 2">
          <a:extLst>
            <a:ext uri="{FF2B5EF4-FFF2-40B4-BE49-F238E27FC236}">
              <a16:creationId xmlns:a16="http://schemas.microsoft.com/office/drawing/2014/main" id="{00000000-0008-0000-1100-000002D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6323" name="Text Box 3">
          <a:extLst>
            <a:ext uri="{FF2B5EF4-FFF2-40B4-BE49-F238E27FC236}">
              <a16:creationId xmlns:a16="http://schemas.microsoft.com/office/drawing/2014/main" id="{00000000-0008-0000-1100-000003D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57153" name="Graphique 4">
          <a:extLst>
            <a:ext uri="{FF2B5EF4-FFF2-40B4-BE49-F238E27FC236}">
              <a16:creationId xmlns:a16="http://schemas.microsoft.com/office/drawing/2014/main" id="{00000000-0008-0000-1100-000041D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57154" name="Graphique 5">
          <a:extLst>
            <a:ext uri="{FF2B5EF4-FFF2-40B4-BE49-F238E27FC236}">
              <a16:creationId xmlns:a16="http://schemas.microsoft.com/office/drawing/2014/main" id="{00000000-0008-0000-1100-000042D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196850</xdr:colOff>
      <xdr:row>77</xdr:row>
      <xdr:rowOff>0</xdr:rowOff>
    </xdr:from>
    <xdr:to>
      <xdr:col>4</xdr:col>
      <xdr:colOff>260350</xdr:colOff>
      <xdr:row>77</xdr:row>
      <xdr:rowOff>0</xdr:rowOff>
    </xdr:to>
    <xdr:sp macro="" textlink="">
      <xdr:nvSpPr>
        <xdr:cNvPr id="56326" name="Text Box 6">
          <a:extLst>
            <a:ext uri="{FF2B5EF4-FFF2-40B4-BE49-F238E27FC236}">
              <a16:creationId xmlns:a16="http://schemas.microsoft.com/office/drawing/2014/main" id="{00000000-0008-0000-1100-000006DC0000}"/>
            </a:ext>
          </a:extLst>
        </xdr:cNvPr>
        <xdr:cNvSpPr txBox="1">
          <a:spLocks noChangeArrowheads="1"/>
        </xdr:cNvSpPr>
      </xdr:nvSpPr>
      <xdr:spPr bwMode="auto">
        <a:xfrm>
          <a:off x="2990850" y="12887325"/>
          <a:ext cx="17335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Légère différence.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4577" name="Text Box 1">
          <a:extLst>
            <a:ext uri="{FF2B5EF4-FFF2-40B4-BE49-F238E27FC236}">
              <a16:creationId xmlns:a16="http://schemas.microsoft.com/office/drawing/2014/main" id="{00000000-0008-0000-1200-0000016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4578" name="Text Box 2">
          <a:extLst>
            <a:ext uri="{FF2B5EF4-FFF2-40B4-BE49-F238E27FC236}">
              <a16:creationId xmlns:a16="http://schemas.microsoft.com/office/drawing/2014/main" id="{00000000-0008-0000-1200-0000026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4579" name="Text Box 3">
          <a:extLst>
            <a:ext uri="{FF2B5EF4-FFF2-40B4-BE49-F238E27FC236}">
              <a16:creationId xmlns:a16="http://schemas.microsoft.com/office/drawing/2014/main" id="{00000000-0008-0000-1200-0000036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8532058" name="Graphique 4">
          <a:extLst>
            <a:ext uri="{FF2B5EF4-FFF2-40B4-BE49-F238E27FC236}">
              <a16:creationId xmlns:a16="http://schemas.microsoft.com/office/drawing/2014/main" id="{00000000-0008-0000-1200-00005A308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8532059" name="Graphique 5">
          <a:extLst>
            <a:ext uri="{FF2B5EF4-FFF2-40B4-BE49-F238E27FC236}">
              <a16:creationId xmlns:a16="http://schemas.microsoft.com/office/drawing/2014/main" id="{00000000-0008-0000-1200-00005B308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504825</xdr:colOff>
      <xdr:row>0</xdr:row>
      <xdr:rowOff>0</xdr:rowOff>
    </xdr:from>
    <xdr:to>
      <xdr:col>5</xdr:col>
      <xdr:colOff>339858</xdr:colOff>
      <xdr:row>0</xdr:row>
      <xdr:rowOff>0</xdr:rowOff>
    </xdr:to>
    <xdr:sp macro="" textlink="">
      <xdr:nvSpPr>
        <xdr:cNvPr id="24582" name="Text Box 6">
          <a:extLst>
            <a:ext uri="{FF2B5EF4-FFF2-40B4-BE49-F238E27FC236}">
              <a16:creationId xmlns:a16="http://schemas.microsoft.com/office/drawing/2014/main" id="{00000000-0008-0000-1200-000006600000}"/>
            </a:ext>
          </a:extLst>
        </xdr:cNvPr>
        <xdr:cNvSpPr txBox="1">
          <a:spLocks noChangeArrowheads="1"/>
        </xdr:cNvSpPr>
      </xdr:nvSpPr>
      <xdr:spPr bwMode="auto">
        <a:xfrm>
          <a:off x="3171825" y="0"/>
          <a:ext cx="236220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sng" strike="noStrike" baseline="0">
              <a:solidFill>
                <a:srgbClr val="000000"/>
              </a:solidFill>
              <a:latin typeface="Verdana"/>
            </a:rPr>
            <a:t>Note:</a:t>
          </a:r>
          <a:r>
            <a:rPr lang="fr-FR" sz="800" b="1" i="0" u="none" strike="noStrike" baseline="0">
              <a:solidFill>
                <a:srgbClr val="000000"/>
              </a:solidFill>
              <a:latin typeface="Verdana"/>
            </a:rPr>
            <a:t> attention, il s'agit de le déduire des impôts et non du revenu avant impôt… (ce qui a encore moins de chance d'être voté !)</a:t>
          </a:r>
        </a:p>
      </xdr:txBody>
    </xdr:sp>
    <xdr:clientData/>
  </xdr:twoCellAnchor>
  <xdr:twoCellAnchor>
    <xdr:from>
      <xdr:col>2</xdr:col>
      <xdr:colOff>466725</xdr:colOff>
      <xdr:row>0</xdr:row>
      <xdr:rowOff>0</xdr:rowOff>
    </xdr:from>
    <xdr:to>
      <xdr:col>4</xdr:col>
      <xdr:colOff>710990</xdr:colOff>
      <xdr:row>0</xdr:row>
      <xdr:rowOff>0</xdr:rowOff>
    </xdr:to>
    <xdr:sp macro="" textlink="">
      <xdr:nvSpPr>
        <xdr:cNvPr id="24583" name="Text Box 7">
          <a:extLst>
            <a:ext uri="{FF2B5EF4-FFF2-40B4-BE49-F238E27FC236}">
              <a16:creationId xmlns:a16="http://schemas.microsoft.com/office/drawing/2014/main" id="{00000000-0008-0000-1200-000007600000}"/>
            </a:ext>
          </a:extLst>
        </xdr:cNvPr>
        <xdr:cNvSpPr txBox="1">
          <a:spLocks noChangeArrowheads="1"/>
        </xdr:cNvSpPr>
      </xdr:nvSpPr>
      <xdr:spPr bwMode="auto">
        <a:xfrm>
          <a:off x="3133725" y="0"/>
          <a:ext cx="18954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Léger écart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ib.net/home/ylefur/userprofile/Desktop/Vernimmen/Edition%202022/corriges_exo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itre 2"/>
      <sheetName val=" Chapitre 3"/>
      <sheetName val="Chapitre 4"/>
      <sheetName val="Chapitre 5"/>
      <sheetName val="Chapitre 7"/>
      <sheetName val="Chapitre 9"/>
      <sheetName val="Chapitre 10"/>
      <sheetName val="Chapitre 11"/>
      <sheetName val=" Chapitre 12"/>
      <sheetName val="Chapitre 13"/>
      <sheetName val="Chapitre 14"/>
      <sheetName val="Chapitre 15"/>
      <sheetName val=" Chapitre 17"/>
      <sheetName val="Chapitre 18"/>
      <sheetName val="Chapitre 19"/>
      <sheetName val="Chapitre 20"/>
      <sheetName val="Chapitre 21"/>
      <sheetName val="Chapitre 22"/>
      <sheetName val="Chapitre 24"/>
      <sheetName val="Chapitre 25"/>
      <sheetName val="Chapitre 26"/>
      <sheetName val=" Chapitre 27"/>
      <sheetName val=" Chapitre 28"/>
      <sheetName val="Chapitre 29"/>
      <sheetName val="Chapitre 30"/>
      <sheetName val=" Chapitre 31"/>
      <sheetName val="Chapitre 32"/>
      <sheetName val="Chapitre 33"/>
      <sheetName val="Chapitre 34"/>
      <sheetName val=" Chapitre 35"/>
      <sheetName val="Chapitre 36"/>
      <sheetName val="Chapitre 37"/>
      <sheetName val="Chapitre 38"/>
      <sheetName val="Chapitre 39"/>
      <sheetName val=" Chapitre 40"/>
      <sheetName val=" Chapitre 41"/>
      <sheetName val=" Chapitre 42"/>
      <sheetName val="Chapitre 43"/>
      <sheetName val="Chapitre 48"/>
      <sheetName val="Chapitre 50"/>
      <sheetName val="Chapitre 51"/>
      <sheetName val=" Chapitre 53"/>
      <sheetName val="Chapitre 54"/>
    </sheetNames>
    <sheetDataSet>
      <sheetData sheetId="0">
        <row r="12">
          <cell r="F12">
            <v>1</v>
          </cell>
          <cell r="G12">
            <v>1</v>
          </cell>
          <cell r="H12">
            <v>1</v>
          </cell>
          <cell r="I12">
            <v>1</v>
          </cell>
          <cell r="J12">
            <v>1</v>
          </cell>
          <cell r="K12">
            <v>1</v>
          </cell>
          <cell r="L12">
            <v>1</v>
          </cell>
          <cell r="M12">
            <v>1</v>
          </cell>
          <cell r="N12">
            <v>1</v>
          </cell>
          <cell r="O12">
            <v>1</v>
          </cell>
          <cell r="P12">
            <v>1</v>
          </cell>
          <cell r="Q12">
            <v>1</v>
          </cell>
          <cell r="R12">
            <v>2</v>
          </cell>
          <cell r="S12">
            <v>2</v>
          </cell>
          <cell r="T12">
            <v>2</v>
          </cell>
          <cell r="U12">
            <v>2</v>
          </cell>
          <cell r="V12">
            <v>2</v>
          </cell>
          <cell r="W12">
            <v>2</v>
          </cell>
          <cell r="X12">
            <v>2</v>
          </cell>
          <cell r="Y12">
            <v>2</v>
          </cell>
          <cell r="Z12">
            <v>2</v>
          </cell>
          <cell r="AA12">
            <v>2</v>
          </cell>
          <cell r="AB12">
            <v>2</v>
          </cell>
          <cell r="AC12">
            <v>2</v>
          </cell>
          <cell r="AD12">
            <v>3</v>
          </cell>
          <cell r="AE12">
            <v>3</v>
          </cell>
          <cell r="AF12">
            <v>3</v>
          </cell>
          <cell r="AG12">
            <v>3</v>
          </cell>
          <cell r="AH12">
            <v>3</v>
          </cell>
          <cell r="AI12">
            <v>3</v>
          </cell>
          <cell r="AJ12">
            <v>3</v>
          </cell>
          <cell r="AK12">
            <v>3</v>
          </cell>
          <cell r="AL12">
            <v>3</v>
          </cell>
          <cell r="AM12">
            <v>3</v>
          </cell>
          <cell r="AN12">
            <v>3</v>
          </cell>
          <cell r="AO12">
            <v>3</v>
          </cell>
          <cell r="AP12"/>
          <cell r="AQ12"/>
          <cell r="AR12"/>
          <cell r="AS12"/>
          <cell r="AT12"/>
          <cell r="AU12"/>
          <cell r="AV12"/>
          <cell r="AW12"/>
          <cell r="AX12"/>
          <cell r="AY12"/>
          <cell r="AZ12"/>
          <cell r="BA12"/>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row>
        <row r="17">
          <cell r="G17">
            <v>2</v>
          </cell>
        </row>
        <row r="20">
          <cell r="F20">
            <v>-30</v>
          </cell>
        </row>
        <row r="24">
          <cell r="F24"/>
          <cell r="G24"/>
          <cell r="H24"/>
          <cell r="I24"/>
          <cell r="J24"/>
          <cell r="K24">
            <v>1</v>
          </cell>
          <cell r="L24"/>
          <cell r="M24"/>
          <cell r="N24"/>
          <cell r="O24"/>
          <cell r="P24"/>
          <cell r="Q24">
            <v>0.9</v>
          </cell>
          <cell r="R24"/>
          <cell r="S24"/>
          <cell r="T24"/>
          <cell r="U24"/>
          <cell r="V24"/>
          <cell r="W24">
            <v>0.8</v>
          </cell>
          <cell r="X24"/>
          <cell r="Y24"/>
          <cell r="Z24"/>
          <cell r="AA24"/>
          <cell r="AB24"/>
          <cell r="AC24">
            <v>0.7</v>
          </cell>
          <cell r="AD24"/>
          <cell r="AE24"/>
          <cell r="AF24"/>
          <cell r="AG24"/>
          <cell r="AH24"/>
          <cell r="AI24">
            <v>0.6</v>
          </cell>
          <cell r="AJ24"/>
          <cell r="AK24"/>
          <cell r="AL24"/>
          <cell r="AM24"/>
          <cell r="AN24"/>
          <cell r="AO24">
            <v>0.5</v>
          </cell>
          <cell r="AP24"/>
          <cell r="AQ24"/>
          <cell r="AR24"/>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row>
        <row r="28">
          <cell r="D28">
            <v>144</v>
          </cell>
          <cell r="E28">
            <v>144</v>
          </cell>
        </row>
        <row r="30">
          <cell r="C30">
            <v>40</v>
          </cell>
        </row>
        <row r="34">
          <cell r="C34">
            <v>-30</v>
          </cell>
          <cell r="D34">
            <v>0</v>
          </cell>
          <cell r="E34">
            <v>0</v>
          </cell>
        </row>
        <row r="37">
          <cell r="C37">
            <v>-16</v>
          </cell>
          <cell r="D37">
            <v>4</v>
          </cell>
          <cell r="E37">
            <v>4</v>
          </cell>
        </row>
        <row r="39">
          <cell r="C39">
            <v>-29.9</v>
          </cell>
          <cell r="D39">
            <v>18.5</v>
          </cell>
          <cell r="E39">
            <v>18.899999999999999</v>
          </cell>
        </row>
      </sheetData>
      <sheetData sheetId="1">
        <row r="68">
          <cell r="B68">
            <v>10</v>
          </cell>
        </row>
        <row r="74">
          <cell r="B74">
            <v>6</v>
          </cell>
          <cell r="C74">
            <v>6</v>
          </cell>
          <cell r="D74">
            <v>6</v>
          </cell>
        </row>
        <row r="79">
          <cell r="B79">
            <v>14.1</v>
          </cell>
          <cell r="C79">
            <v>16.5</v>
          </cell>
          <cell r="D79">
            <v>16.899999999999999</v>
          </cell>
        </row>
      </sheetData>
      <sheetData sheetId="2">
        <row r="9">
          <cell r="C9">
            <v>0</v>
          </cell>
          <cell r="D9">
            <v>36</v>
          </cell>
          <cell r="E9">
            <v>36</v>
          </cell>
          <cell r="F9">
            <v>36</v>
          </cell>
        </row>
        <row r="15">
          <cell r="C15">
            <v>0</v>
          </cell>
          <cell r="D15"/>
          <cell r="E15"/>
        </row>
        <row r="16">
          <cell r="C16">
            <v>0</v>
          </cell>
          <cell r="D16">
            <v>16</v>
          </cell>
          <cell r="E16">
            <v>12</v>
          </cell>
          <cell r="F16">
            <v>8</v>
          </cell>
        </row>
        <row r="18">
          <cell r="C18">
            <v>40</v>
          </cell>
          <cell r="D18">
            <v>10.100000000000001</v>
          </cell>
          <cell r="E18">
            <v>28.6</v>
          </cell>
          <cell r="F18">
            <v>47.5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CC39"/>
  <sheetViews>
    <sheetView showGridLines="0" workbookViewId="0">
      <selection activeCell="A23" sqref="A23"/>
    </sheetView>
  </sheetViews>
  <sheetFormatPr baseColWidth="10" defaultColWidth="11" defaultRowHeight="14" x14ac:dyDescent="0.15"/>
  <cols>
    <col min="1" max="1" width="37.1640625" style="6" customWidth="1"/>
    <col min="2" max="81" width="8.1640625" style="3" customWidth="1"/>
    <col min="82" max="16384" width="11" style="3"/>
  </cols>
  <sheetData>
    <row r="1" spans="1:81" ht="15" x14ac:dyDescent="0.15">
      <c r="A1" s="1" t="s">
        <v>211</v>
      </c>
    </row>
    <row r="2" spans="1:81" ht="15" x14ac:dyDescent="0.15">
      <c r="A2" s="380" t="s">
        <v>927</v>
      </c>
      <c r="B2" s="360" t="s">
        <v>1356</v>
      </c>
      <c r="C2" s="360" t="s">
        <v>1353</v>
      </c>
      <c r="D2" s="360" t="s">
        <v>1354</v>
      </c>
      <c r="E2" s="360" t="s">
        <v>1388</v>
      </c>
      <c r="F2" s="360" t="s">
        <v>1389</v>
      </c>
      <c r="G2" s="360" t="s">
        <v>1390</v>
      </c>
    </row>
    <row r="3" spans="1:81" ht="15" x14ac:dyDescent="0.15">
      <c r="A3" s="6" t="s">
        <v>928</v>
      </c>
      <c r="B3" s="3">
        <v>165</v>
      </c>
      <c r="C3" s="3">
        <v>200</v>
      </c>
      <c r="D3" s="3">
        <v>240</v>
      </c>
      <c r="E3" s="3">
        <v>280</v>
      </c>
      <c r="F3" s="3">
        <v>320</v>
      </c>
      <c r="G3" s="3">
        <v>360</v>
      </c>
    </row>
    <row r="4" spans="1:81" ht="15" x14ac:dyDescent="0.15">
      <c r="A4" s="6" t="s">
        <v>929</v>
      </c>
      <c r="B4" s="3">
        <v>165</v>
      </c>
      <c r="C4" s="3">
        <v>175</v>
      </c>
      <c r="D4" s="3">
        <v>180</v>
      </c>
      <c r="E4" s="3">
        <v>185</v>
      </c>
      <c r="F4" s="3">
        <v>180</v>
      </c>
      <c r="G4" s="3">
        <v>190</v>
      </c>
    </row>
    <row r="5" spans="1:81" ht="15" x14ac:dyDescent="0.15">
      <c r="A5" s="4" t="s">
        <v>930</v>
      </c>
      <c r="B5" s="3">
        <f t="shared" ref="B5:G5" si="0">B3-B4</f>
        <v>0</v>
      </c>
      <c r="C5" s="3">
        <f t="shared" si="0"/>
        <v>25</v>
      </c>
      <c r="D5" s="3">
        <f t="shared" si="0"/>
        <v>60</v>
      </c>
      <c r="E5" s="3">
        <f t="shared" si="0"/>
        <v>95</v>
      </c>
      <c r="F5" s="3">
        <f t="shared" si="0"/>
        <v>140</v>
      </c>
      <c r="G5" s="3">
        <f t="shared" si="0"/>
        <v>170</v>
      </c>
    </row>
    <row r="6" spans="1:81" ht="15" x14ac:dyDescent="0.15">
      <c r="A6" s="6" t="s">
        <v>931</v>
      </c>
      <c r="B6" s="3">
        <v>-200</v>
      </c>
    </row>
    <row r="7" spans="1:81" ht="15" x14ac:dyDescent="0.15">
      <c r="A7" s="4" t="s">
        <v>932</v>
      </c>
      <c r="B7" s="3">
        <f>B5+B6</f>
        <v>-200</v>
      </c>
      <c r="C7" s="3">
        <f>C5-C6</f>
        <v>25</v>
      </c>
      <c r="D7" s="3">
        <f>D5-D6</f>
        <v>60</v>
      </c>
      <c r="E7" s="3">
        <f>E5-E6</f>
        <v>95</v>
      </c>
      <c r="F7" s="3">
        <f>F5-F6</f>
        <v>140</v>
      </c>
      <c r="G7" s="3">
        <f>G5-G6</f>
        <v>170</v>
      </c>
    </row>
    <row r="8" spans="1:81" ht="15" x14ac:dyDescent="0.15">
      <c r="A8" s="6" t="s">
        <v>933</v>
      </c>
      <c r="B8" s="3">
        <f>B6/2</f>
        <v>-100</v>
      </c>
      <c r="C8" s="3">
        <f>-$B8*0.05</f>
        <v>5</v>
      </c>
      <c r="D8" s="3">
        <f>-$B8*0.05</f>
        <v>5</v>
      </c>
      <c r="E8" s="3">
        <f>-$B8*0.05</f>
        <v>5</v>
      </c>
      <c r="F8" s="3">
        <f>-$B8*0.05</f>
        <v>5</v>
      </c>
      <c r="G8" s="3">
        <f>-$B8*0.05-B8</f>
        <v>105</v>
      </c>
      <c r="H8" s="7">
        <f>SUM(B8:G8)</f>
        <v>25</v>
      </c>
    </row>
    <row r="9" spans="1:81" ht="15" x14ac:dyDescent="0.15">
      <c r="A9" s="6" t="s">
        <v>934</v>
      </c>
      <c r="B9" s="3">
        <f>B6/2</f>
        <v>-100</v>
      </c>
      <c r="C9" s="3">
        <f>C7-C8</f>
        <v>20</v>
      </c>
      <c r="D9" s="3">
        <f>D7-D8</f>
        <v>55</v>
      </c>
      <c r="E9" s="3">
        <f>E7-E8</f>
        <v>90</v>
      </c>
      <c r="F9" s="3">
        <f>F7-F8</f>
        <v>135</v>
      </c>
      <c r="G9" s="3">
        <f>G7-G8</f>
        <v>65</v>
      </c>
      <c r="H9" s="7">
        <f>SUM(B9:G9)</f>
        <v>265</v>
      </c>
    </row>
    <row r="11" spans="1:81" ht="15" x14ac:dyDescent="0.15">
      <c r="A11" s="8" t="s">
        <v>212</v>
      </c>
    </row>
    <row r="12" spans="1:81" ht="15" x14ac:dyDescent="0.15">
      <c r="A12" s="380" t="s">
        <v>941</v>
      </c>
      <c r="B12" s="359"/>
      <c r="C12" s="359"/>
      <c r="D12" s="359"/>
      <c r="E12" s="359"/>
      <c r="F12" s="360">
        <f>YEAR(F13)-1999</f>
        <v>1</v>
      </c>
      <c r="G12" s="360">
        <f t="shared" ref="G12:AO12" si="1">YEAR(G13)-1999</f>
        <v>1</v>
      </c>
      <c r="H12" s="360">
        <f t="shared" si="1"/>
        <v>1</v>
      </c>
      <c r="I12" s="360">
        <f t="shared" si="1"/>
        <v>1</v>
      </c>
      <c r="J12" s="360">
        <f t="shared" si="1"/>
        <v>1</v>
      </c>
      <c r="K12" s="360">
        <f t="shared" si="1"/>
        <v>1</v>
      </c>
      <c r="L12" s="360">
        <f t="shared" si="1"/>
        <v>1</v>
      </c>
      <c r="M12" s="360">
        <f t="shared" si="1"/>
        <v>1</v>
      </c>
      <c r="N12" s="360">
        <f t="shared" si="1"/>
        <v>1</v>
      </c>
      <c r="O12" s="360">
        <f t="shared" si="1"/>
        <v>1</v>
      </c>
      <c r="P12" s="360">
        <f t="shared" si="1"/>
        <v>1</v>
      </c>
      <c r="Q12" s="360">
        <f t="shared" si="1"/>
        <v>1</v>
      </c>
      <c r="R12" s="360">
        <f t="shared" si="1"/>
        <v>2</v>
      </c>
      <c r="S12" s="360">
        <f t="shared" si="1"/>
        <v>2</v>
      </c>
      <c r="T12" s="360">
        <f t="shared" si="1"/>
        <v>2</v>
      </c>
      <c r="U12" s="360">
        <f t="shared" si="1"/>
        <v>2</v>
      </c>
      <c r="V12" s="360">
        <f t="shared" si="1"/>
        <v>2</v>
      </c>
      <c r="W12" s="360">
        <f t="shared" si="1"/>
        <v>2</v>
      </c>
      <c r="X12" s="360">
        <f t="shared" si="1"/>
        <v>2</v>
      </c>
      <c r="Y12" s="360">
        <f t="shared" si="1"/>
        <v>2</v>
      </c>
      <c r="Z12" s="360">
        <f t="shared" si="1"/>
        <v>2</v>
      </c>
      <c r="AA12" s="360">
        <f t="shared" si="1"/>
        <v>2</v>
      </c>
      <c r="AB12" s="360">
        <f t="shared" si="1"/>
        <v>2</v>
      </c>
      <c r="AC12" s="360">
        <f t="shared" si="1"/>
        <v>2</v>
      </c>
      <c r="AD12" s="360">
        <f t="shared" si="1"/>
        <v>3</v>
      </c>
      <c r="AE12" s="360">
        <f t="shared" si="1"/>
        <v>3</v>
      </c>
      <c r="AF12" s="360">
        <f t="shared" si="1"/>
        <v>3</v>
      </c>
      <c r="AG12" s="360">
        <f t="shared" si="1"/>
        <v>3</v>
      </c>
      <c r="AH12" s="360">
        <f t="shared" si="1"/>
        <v>3</v>
      </c>
      <c r="AI12" s="360">
        <f t="shared" si="1"/>
        <v>3</v>
      </c>
      <c r="AJ12" s="360">
        <f t="shared" si="1"/>
        <v>3</v>
      </c>
      <c r="AK12" s="360">
        <f t="shared" si="1"/>
        <v>3</v>
      </c>
      <c r="AL12" s="360">
        <f t="shared" si="1"/>
        <v>3</v>
      </c>
      <c r="AM12" s="360">
        <f t="shared" si="1"/>
        <v>3</v>
      </c>
      <c r="AN12" s="360">
        <f t="shared" si="1"/>
        <v>3</v>
      </c>
      <c r="AO12" s="360">
        <f t="shared" si="1"/>
        <v>3</v>
      </c>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row>
    <row r="13" spans="1:81" s="6" customFormat="1" ht="30" x14ac:dyDescent="0.15">
      <c r="A13" s="380" t="s">
        <v>927</v>
      </c>
      <c r="B13" s="387" t="s">
        <v>1391</v>
      </c>
      <c r="C13" s="387" t="s">
        <v>1392</v>
      </c>
      <c r="D13" s="387" t="s">
        <v>1393</v>
      </c>
      <c r="E13" s="387" t="s">
        <v>1394</v>
      </c>
      <c r="F13" s="396">
        <f t="shared" ref="F13:AK13" si="2">DATE(2000,COLUMN(B11)-1,1)</f>
        <v>36526</v>
      </c>
      <c r="G13" s="396">
        <f t="shared" si="2"/>
        <v>36557</v>
      </c>
      <c r="H13" s="396">
        <f t="shared" si="2"/>
        <v>36586</v>
      </c>
      <c r="I13" s="396">
        <f t="shared" si="2"/>
        <v>36617</v>
      </c>
      <c r="J13" s="396">
        <f t="shared" si="2"/>
        <v>36647</v>
      </c>
      <c r="K13" s="396">
        <f t="shared" si="2"/>
        <v>36678</v>
      </c>
      <c r="L13" s="396">
        <f t="shared" si="2"/>
        <v>36708</v>
      </c>
      <c r="M13" s="396">
        <f t="shared" si="2"/>
        <v>36739</v>
      </c>
      <c r="N13" s="396">
        <f t="shared" si="2"/>
        <v>36770</v>
      </c>
      <c r="O13" s="396">
        <f t="shared" si="2"/>
        <v>36800</v>
      </c>
      <c r="P13" s="396">
        <f t="shared" si="2"/>
        <v>36831</v>
      </c>
      <c r="Q13" s="396">
        <f t="shared" si="2"/>
        <v>36861</v>
      </c>
      <c r="R13" s="396">
        <f t="shared" si="2"/>
        <v>36892</v>
      </c>
      <c r="S13" s="396">
        <f t="shared" si="2"/>
        <v>36923</v>
      </c>
      <c r="T13" s="396">
        <f t="shared" si="2"/>
        <v>36951</v>
      </c>
      <c r="U13" s="396">
        <f t="shared" si="2"/>
        <v>36982</v>
      </c>
      <c r="V13" s="396">
        <f t="shared" si="2"/>
        <v>37012</v>
      </c>
      <c r="W13" s="396">
        <f t="shared" si="2"/>
        <v>37043</v>
      </c>
      <c r="X13" s="396">
        <f t="shared" si="2"/>
        <v>37073</v>
      </c>
      <c r="Y13" s="396">
        <f t="shared" si="2"/>
        <v>37104</v>
      </c>
      <c r="Z13" s="396">
        <f t="shared" si="2"/>
        <v>37135</v>
      </c>
      <c r="AA13" s="396">
        <f t="shared" si="2"/>
        <v>37165</v>
      </c>
      <c r="AB13" s="396">
        <f t="shared" si="2"/>
        <v>37196</v>
      </c>
      <c r="AC13" s="396">
        <f t="shared" si="2"/>
        <v>37226</v>
      </c>
      <c r="AD13" s="396">
        <f t="shared" si="2"/>
        <v>37257</v>
      </c>
      <c r="AE13" s="396">
        <f t="shared" si="2"/>
        <v>37288</v>
      </c>
      <c r="AF13" s="396">
        <f t="shared" si="2"/>
        <v>37316</v>
      </c>
      <c r="AG13" s="396">
        <f t="shared" si="2"/>
        <v>37347</v>
      </c>
      <c r="AH13" s="396">
        <f t="shared" si="2"/>
        <v>37377</v>
      </c>
      <c r="AI13" s="396">
        <f t="shared" si="2"/>
        <v>37408</v>
      </c>
      <c r="AJ13" s="396">
        <f t="shared" si="2"/>
        <v>37438</v>
      </c>
      <c r="AK13" s="396">
        <f t="shared" si="2"/>
        <v>37469</v>
      </c>
      <c r="AL13" s="396">
        <f>DATE(2000,COLUMN(AH11)-1,1)</f>
        <v>37500</v>
      </c>
      <c r="AM13" s="396">
        <f>DATE(2000,COLUMN(AI11)-1,1)</f>
        <v>37530</v>
      </c>
      <c r="AN13" s="396">
        <f>DATE(2000,COLUMN(AJ11)-1,1)</f>
        <v>37561</v>
      </c>
      <c r="AO13" s="396">
        <f>DATE(2000,COLUMN(AK11)-1,1)</f>
        <v>37591</v>
      </c>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row>
    <row r="14" spans="1:81" ht="15" x14ac:dyDescent="0.15">
      <c r="A14" s="6" t="s">
        <v>1135</v>
      </c>
      <c r="B14" s="10">
        <f t="shared" ref="B14:B25" si="3">SUM(F14:CB14)</f>
        <v>384</v>
      </c>
      <c r="C14" s="11">
        <f>SUM(F14:Q14)</f>
        <v>96</v>
      </c>
      <c r="D14" s="11">
        <f>SUM(R14:AC14)</f>
        <v>144</v>
      </c>
      <c r="E14" s="12">
        <f>SUM(AD14:AO14)</f>
        <v>144</v>
      </c>
      <c r="F14" s="13"/>
      <c r="G14" s="13"/>
      <c r="H14" s="13"/>
      <c r="I14" s="13"/>
      <c r="J14" s="13">
        <v>12</v>
      </c>
      <c r="K14" s="13">
        <v>12</v>
      </c>
      <c r="L14" s="13">
        <v>12</v>
      </c>
      <c r="M14" s="13">
        <v>12</v>
      </c>
      <c r="N14" s="13">
        <v>12</v>
      </c>
      <c r="O14" s="13">
        <v>12</v>
      </c>
      <c r="P14" s="13">
        <v>12</v>
      </c>
      <c r="Q14" s="13">
        <v>12</v>
      </c>
      <c r="R14" s="13">
        <v>12</v>
      </c>
      <c r="S14" s="13">
        <v>12</v>
      </c>
      <c r="T14" s="13">
        <v>12</v>
      </c>
      <c r="U14" s="13">
        <v>12</v>
      </c>
      <c r="V14" s="13">
        <v>12</v>
      </c>
      <c r="W14" s="13">
        <v>12</v>
      </c>
      <c r="X14" s="13">
        <v>12</v>
      </c>
      <c r="Y14" s="13">
        <v>12</v>
      </c>
      <c r="Z14" s="13">
        <v>12</v>
      </c>
      <c r="AA14" s="13">
        <v>12</v>
      </c>
      <c r="AB14" s="13">
        <v>12</v>
      </c>
      <c r="AC14" s="13">
        <v>12</v>
      </c>
      <c r="AD14" s="13">
        <v>12</v>
      </c>
      <c r="AE14" s="13">
        <v>12</v>
      </c>
      <c r="AF14" s="13">
        <v>12</v>
      </c>
      <c r="AG14" s="13">
        <v>12</v>
      </c>
      <c r="AH14" s="13">
        <v>12</v>
      </c>
      <c r="AI14" s="13">
        <v>12</v>
      </c>
      <c r="AJ14" s="13">
        <v>12</v>
      </c>
      <c r="AK14" s="13">
        <v>12</v>
      </c>
      <c r="AL14" s="13">
        <v>12</v>
      </c>
      <c r="AM14" s="13">
        <v>12</v>
      </c>
      <c r="AN14" s="13">
        <v>12</v>
      </c>
      <c r="AO14" s="13">
        <v>12</v>
      </c>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row>
    <row r="15" spans="1:81" ht="15" x14ac:dyDescent="0.15">
      <c r="A15" s="6" t="s">
        <v>929</v>
      </c>
      <c r="B15" s="14">
        <f t="shared" si="3"/>
        <v>350</v>
      </c>
      <c r="C15" s="15">
        <f t="shared" ref="C15:C25" si="4">SUM(F15:Q15)</f>
        <v>110</v>
      </c>
      <c r="D15" s="15">
        <f t="shared" ref="D15:D25" si="5">SUM(R15:AC15)</f>
        <v>120</v>
      </c>
      <c r="E15" s="16">
        <f t="shared" ref="E15:E25" si="6">SUM(AD15:AO15)</f>
        <v>120</v>
      </c>
      <c r="F15" s="13">
        <f>SUM(F16:F18)</f>
        <v>4</v>
      </c>
      <c r="G15" s="13">
        <f t="shared" ref="G15:AO15" si="7">SUM(G16:G18)</f>
        <v>6</v>
      </c>
      <c r="H15" s="13">
        <f t="shared" si="7"/>
        <v>6</v>
      </c>
      <c r="I15" s="13">
        <f t="shared" si="7"/>
        <v>14</v>
      </c>
      <c r="J15" s="13">
        <f t="shared" si="7"/>
        <v>10</v>
      </c>
      <c r="K15" s="13">
        <f t="shared" si="7"/>
        <v>10</v>
      </c>
      <c r="L15" s="13">
        <f t="shared" si="7"/>
        <v>10</v>
      </c>
      <c r="M15" s="13">
        <f t="shared" si="7"/>
        <v>10</v>
      </c>
      <c r="N15" s="13">
        <f t="shared" si="7"/>
        <v>10</v>
      </c>
      <c r="O15" s="13">
        <f t="shared" si="7"/>
        <v>10</v>
      </c>
      <c r="P15" s="13">
        <f t="shared" si="7"/>
        <v>10</v>
      </c>
      <c r="Q15" s="13">
        <f t="shared" si="7"/>
        <v>10</v>
      </c>
      <c r="R15" s="13">
        <f t="shared" si="7"/>
        <v>10</v>
      </c>
      <c r="S15" s="13">
        <f t="shared" si="7"/>
        <v>10</v>
      </c>
      <c r="T15" s="13">
        <f t="shared" si="7"/>
        <v>10</v>
      </c>
      <c r="U15" s="13">
        <f t="shared" si="7"/>
        <v>10</v>
      </c>
      <c r="V15" s="13">
        <f t="shared" si="7"/>
        <v>10</v>
      </c>
      <c r="W15" s="13">
        <f t="shared" si="7"/>
        <v>10</v>
      </c>
      <c r="X15" s="13">
        <f t="shared" si="7"/>
        <v>10</v>
      </c>
      <c r="Y15" s="13">
        <f t="shared" si="7"/>
        <v>10</v>
      </c>
      <c r="Z15" s="13">
        <f t="shared" si="7"/>
        <v>10</v>
      </c>
      <c r="AA15" s="13">
        <f t="shared" si="7"/>
        <v>10</v>
      </c>
      <c r="AB15" s="13">
        <f t="shared" si="7"/>
        <v>10</v>
      </c>
      <c r="AC15" s="13">
        <f t="shared" si="7"/>
        <v>10</v>
      </c>
      <c r="AD15" s="13">
        <f t="shared" si="7"/>
        <v>10</v>
      </c>
      <c r="AE15" s="13">
        <f t="shared" si="7"/>
        <v>10</v>
      </c>
      <c r="AF15" s="13">
        <f t="shared" si="7"/>
        <v>10</v>
      </c>
      <c r="AG15" s="13">
        <f t="shared" si="7"/>
        <v>10</v>
      </c>
      <c r="AH15" s="13">
        <f t="shared" si="7"/>
        <v>10</v>
      </c>
      <c r="AI15" s="13">
        <f t="shared" si="7"/>
        <v>10</v>
      </c>
      <c r="AJ15" s="13">
        <f t="shared" si="7"/>
        <v>10</v>
      </c>
      <c r="AK15" s="13">
        <f t="shared" si="7"/>
        <v>10</v>
      </c>
      <c r="AL15" s="13">
        <f t="shared" si="7"/>
        <v>10</v>
      </c>
      <c r="AM15" s="13">
        <f t="shared" si="7"/>
        <v>10</v>
      </c>
      <c r="AN15" s="13">
        <f t="shared" si="7"/>
        <v>10</v>
      </c>
      <c r="AO15" s="13">
        <f t="shared" si="7"/>
        <v>10</v>
      </c>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row>
    <row r="16" spans="1:81" s="22" customFormat="1" ht="12" x14ac:dyDescent="0.15">
      <c r="A16" s="17" t="s">
        <v>1158</v>
      </c>
      <c r="B16" s="18">
        <f t="shared" si="3"/>
        <v>136</v>
      </c>
      <c r="C16" s="19">
        <f t="shared" si="4"/>
        <v>40</v>
      </c>
      <c r="D16" s="19">
        <f t="shared" si="5"/>
        <v>48</v>
      </c>
      <c r="E16" s="20">
        <f t="shared" si="6"/>
        <v>48</v>
      </c>
      <c r="F16" s="21"/>
      <c r="G16" s="21"/>
      <c r="H16" s="21"/>
      <c r="I16" s="21">
        <v>8</v>
      </c>
      <c r="J16" s="21">
        <v>4</v>
      </c>
      <c r="K16" s="21">
        <v>4</v>
      </c>
      <c r="L16" s="21">
        <v>4</v>
      </c>
      <c r="M16" s="21">
        <v>4</v>
      </c>
      <c r="N16" s="21">
        <v>4</v>
      </c>
      <c r="O16" s="21">
        <v>4</v>
      </c>
      <c r="P16" s="21">
        <v>4</v>
      </c>
      <c r="Q16" s="21">
        <v>4</v>
      </c>
      <c r="R16" s="21">
        <v>4</v>
      </c>
      <c r="S16" s="21">
        <v>4</v>
      </c>
      <c r="T16" s="21">
        <v>4</v>
      </c>
      <c r="U16" s="21">
        <v>4</v>
      </c>
      <c r="V16" s="21">
        <v>4</v>
      </c>
      <c r="W16" s="21">
        <v>4</v>
      </c>
      <c r="X16" s="21">
        <v>4</v>
      </c>
      <c r="Y16" s="21">
        <v>4</v>
      </c>
      <c r="Z16" s="21">
        <v>4</v>
      </c>
      <c r="AA16" s="21">
        <v>4</v>
      </c>
      <c r="AB16" s="21">
        <v>4</v>
      </c>
      <c r="AC16" s="21">
        <v>4</v>
      </c>
      <c r="AD16" s="21">
        <v>4</v>
      </c>
      <c r="AE16" s="21">
        <v>4</v>
      </c>
      <c r="AF16" s="21">
        <v>4</v>
      </c>
      <c r="AG16" s="21">
        <v>4</v>
      </c>
      <c r="AH16" s="21">
        <v>4</v>
      </c>
      <c r="AI16" s="21">
        <v>4</v>
      </c>
      <c r="AJ16" s="21">
        <v>4</v>
      </c>
      <c r="AK16" s="21">
        <v>4</v>
      </c>
      <c r="AL16" s="21">
        <v>4</v>
      </c>
      <c r="AM16" s="21">
        <v>4</v>
      </c>
      <c r="AN16" s="21">
        <v>4</v>
      </c>
      <c r="AO16" s="21">
        <v>4</v>
      </c>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row>
    <row r="17" spans="1:81" s="22" customFormat="1" ht="12" x14ac:dyDescent="0.15">
      <c r="A17" s="17" t="s">
        <v>937</v>
      </c>
      <c r="B17" s="18">
        <f t="shared" si="3"/>
        <v>70</v>
      </c>
      <c r="C17" s="19">
        <f t="shared" si="4"/>
        <v>22</v>
      </c>
      <c r="D17" s="19">
        <f t="shared" si="5"/>
        <v>24</v>
      </c>
      <c r="E17" s="20">
        <f t="shared" si="6"/>
        <v>24</v>
      </c>
      <c r="F17" s="21">
        <v>0</v>
      </c>
      <c r="G17" s="21">
        <v>2</v>
      </c>
      <c r="H17" s="21">
        <v>2</v>
      </c>
      <c r="I17" s="21">
        <v>2</v>
      </c>
      <c r="J17" s="21">
        <v>2</v>
      </c>
      <c r="K17" s="21">
        <v>2</v>
      </c>
      <c r="L17" s="21">
        <v>2</v>
      </c>
      <c r="M17" s="21">
        <v>2</v>
      </c>
      <c r="N17" s="21">
        <v>2</v>
      </c>
      <c r="O17" s="21">
        <v>2</v>
      </c>
      <c r="P17" s="21">
        <v>2</v>
      </c>
      <c r="Q17" s="21">
        <v>2</v>
      </c>
      <c r="R17" s="21">
        <v>2</v>
      </c>
      <c r="S17" s="21">
        <v>2</v>
      </c>
      <c r="T17" s="21">
        <v>2</v>
      </c>
      <c r="U17" s="21">
        <v>2</v>
      </c>
      <c r="V17" s="21">
        <v>2</v>
      </c>
      <c r="W17" s="21">
        <v>2</v>
      </c>
      <c r="X17" s="21">
        <v>2</v>
      </c>
      <c r="Y17" s="21">
        <v>2</v>
      </c>
      <c r="Z17" s="21">
        <v>2</v>
      </c>
      <c r="AA17" s="21">
        <v>2</v>
      </c>
      <c r="AB17" s="21">
        <v>2</v>
      </c>
      <c r="AC17" s="21">
        <v>2</v>
      </c>
      <c r="AD17" s="21">
        <v>2</v>
      </c>
      <c r="AE17" s="21">
        <v>2</v>
      </c>
      <c r="AF17" s="21">
        <v>2</v>
      </c>
      <c r="AG17" s="21">
        <v>2</v>
      </c>
      <c r="AH17" s="21">
        <v>2</v>
      </c>
      <c r="AI17" s="21">
        <v>2</v>
      </c>
      <c r="AJ17" s="21">
        <v>2</v>
      </c>
      <c r="AK17" s="21">
        <v>2</v>
      </c>
      <c r="AL17" s="21">
        <v>2</v>
      </c>
      <c r="AM17" s="21">
        <v>2</v>
      </c>
      <c r="AN17" s="21">
        <v>2</v>
      </c>
      <c r="AO17" s="21">
        <v>2</v>
      </c>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row>
    <row r="18" spans="1:81" s="22" customFormat="1" ht="12" x14ac:dyDescent="0.15">
      <c r="A18" s="17" t="s">
        <v>936</v>
      </c>
      <c r="B18" s="18">
        <f t="shared" si="3"/>
        <v>144</v>
      </c>
      <c r="C18" s="19">
        <f t="shared" si="4"/>
        <v>48</v>
      </c>
      <c r="D18" s="19">
        <f t="shared" si="5"/>
        <v>48</v>
      </c>
      <c r="E18" s="20">
        <f t="shared" si="6"/>
        <v>48</v>
      </c>
      <c r="F18" s="21">
        <v>4</v>
      </c>
      <c r="G18" s="21">
        <v>4</v>
      </c>
      <c r="H18" s="21">
        <v>4</v>
      </c>
      <c r="I18" s="21">
        <v>4</v>
      </c>
      <c r="J18" s="21">
        <v>4</v>
      </c>
      <c r="K18" s="21">
        <v>4</v>
      </c>
      <c r="L18" s="21">
        <v>4</v>
      </c>
      <c r="M18" s="21">
        <v>4</v>
      </c>
      <c r="N18" s="21">
        <v>4</v>
      </c>
      <c r="O18" s="21">
        <v>4</v>
      </c>
      <c r="P18" s="21">
        <v>4</v>
      </c>
      <c r="Q18" s="21">
        <v>4</v>
      </c>
      <c r="R18" s="21">
        <v>4</v>
      </c>
      <c r="S18" s="21">
        <v>4</v>
      </c>
      <c r="T18" s="21">
        <v>4</v>
      </c>
      <c r="U18" s="21">
        <v>4</v>
      </c>
      <c r="V18" s="21">
        <v>4</v>
      </c>
      <c r="W18" s="21">
        <v>4</v>
      </c>
      <c r="X18" s="21">
        <v>4</v>
      </c>
      <c r="Y18" s="21">
        <v>4</v>
      </c>
      <c r="Z18" s="21">
        <v>4</v>
      </c>
      <c r="AA18" s="21">
        <v>4</v>
      </c>
      <c r="AB18" s="21">
        <v>4</v>
      </c>
      <c r="AC18" s="21">
        <v>4</v>
      </c>
      <c r="AD18" s="21">
        <v>4</v>
      </c>
      <c r="AE18" s="21">
        <v>4</v>
      </c>
      <c r="AF18" s="21">
        <v>4</v>
      </c>
      <c r="AG18" s="21">
        <v>4</v>
      </c>
      <c r="AH18" s="21">
        <v>4</v>
      </c>
      <c r="AI18" s="21">
        <v>4</v>
      </c>
      <c r="AJ18" s="21">
        <v>4</v>
      </c>
      <c r="AK18" s="21">
        <v>4</v>
      </c>
      <c r="AL18" s="21">
        <v>4</v>
      </c>
      <c r="AM18" s="21">
        <v>4</v>
      </c>
      <c r="AN18" s="21">
        <v>4</v>
      </c>
      <c r="AO18" s="21">
        <v>4</v>
      </c>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row>
    <row r="19" spans="1:81" ht="15" x14ac:dyDescent="0.15">
      <c r="A19" s="4" t="s">
        <v>930</v>
      </c>
      <c r="B19" s="14">
        <f t="shared" si="3"/>
        <v>34</v>
      </c>
      <c r="C19" s="15">
        <f t="shared" si="4"/>
        <v>-14</v>
      </c>
      <c r="D19" s="15">
        <f t="shared" si="5"/>
        <v>24</v>
      </c>
      <c r="E19" s="16">
        <f t="shared" si="6"/>
        <v>24</v>
      </c>
      <c r="F19" s="13">
        <f>F14-F15</f>
        <v>-4</v>
      </c>
      <c r="G19" s="13">
        <f t="shared" ref="G19:AO19" si="8">G14-G15</f>
        <v>-6</v>
      </c>
      <c r="H19" s="13">
        <f t="shared" si="8"/>
        <v>-6</v>
      </c>
      <c r="I19" s="13">
        <f t="shared" si="8"/>
        <v>-14</v>
      </c>
      <c r="J19" s="13">
        <f t="shared" si="8"/>
        <v>2</v>
      </c>
      <c r="K19" s="13">
        <f t="shared" si="8"/>
        <v>2</v>
      </c>
      <c r="L19" s="13">
        <f t="shared" si="8"/>
        <v>2</v>
      </c>
      <c r="M19" s="13">
        <f t="shared" si="8"/>
        <v>2</v>
      </c>
      <c r="N19" s="13">
        <f t="shared" si="8"/>
        <v>2</v>
      </c>
      <c r="O19" s="13">
        <f t="shared" si="8"/>
        <v>2</v>
      </c>
      <c r="P19" s="13">
        <f t="shared" si="8"/>
        <v>2</v>
      </c>
      <c r="Q19" s="13">
        <f t="shared" si="8"/>
        <v>2</v>
      </c>
      <c r="R19" s="13">
        <f t="shared" si="8"/>
        <v>2</v>
      </c>
      <c r="S19" s="13">
        <f t="shared" si="8"/>
        <v>2</v>
      </c>
      <c r="T19" s="13">
        <f t="shared" si="8"/>
        <v>2</v>
      </c>
      <c r="U19" s="13">
        <f t="shared" si="8"/>
        <v>2</v>
      </c>
      <c r="V19" s="13">
        <f t="shared" si="8"/>
        <v>2</v>
      </c>
      <c r="W19" s="13">
        <f t="shared" si="8"/>
        <v>2</v>
      </c>
      <c r="X19" s="13">
        <f t="shared" si="8"/>
        <v>2</v>
      </c>
      <c r="Y19" s="13">
        <f t="shared" si="8"/>
        <v>2</v>
      </c>
      <c r="Z19" s="13">
        <f t="shared" si="8"/>
        <v>2</v>
      </c>
      <c r="AA19" s="13">
        <f t="shared" si="8"/>
        <v>2</v>
      </c>
      <c r="AB19" s="13">
        <f t="shared" si="8"/>
        <v>2</v>
      </c>
      <c r="AC19" s="13">
        <f t="shared" si="8"/>
        <v>2</v>
      </c>
      <c r="AD19" s="13">
        <f t="shared" si="8"/>
        <v>2</v>
      </c>
      <c r="AE19" s="13">
        <f t="shared" si="8"/>
        <v>2</v>
      </c>
      <c r="AF19" s="13">
        <f t="shared" si="8"/>
        <v>2</v>
      </c>
      <c r="AG19" s="13">
        <f t="shared" si="8"/>
        <v>2</v>
      </c>
      <c r="AH19" s="13">
        <f t="shared" si="8"/>
        <v>2</v>
      </c>
      <c r="AI19" s="13">
        <f t="shared" si="8"/>
        <v>2</v>
      </c>
      <c r="AJ19" s="13">
        <f t="shared" si="8"/>
        <v>2</v>
      </c>
      <c r="AK19" s="13">
        <f t="shared" si="8"/>
        <v>2</v>
      </c>
      <c r="AL19" s="13">
        <f t="shared" si="8"/>
        <v>2</v>
      </c>
      <c r="AM19" s="13">
        <f t="shared" si="8"/>
        <v>2</v>
      </c>
      <c r="AN19" s="13">
        <f t="shared" si="8"/>
        <v>2</v>
      </c>
      <c r="AO19" s="13">
        <f t="shared" si="8"/>
        <v>2</v>
      </c>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row>
    <row r="20" spans="1:81" ht="15" x14ac:dyDescent="0.15">
      <c r="A20" s="6" t="s">
        <v>931</v>
      </c>
      <c r="B20" s="14">
        <f t="shared" si="3"/>
        <v>-30</v>
      </c>
      <c r="C20" s="15">
        <f t="shared" si="4"/>
        <v>-30</v>
      </c>
      <c r="D20" s="15">
        <f t="shared" si="5"/>
        <v>0</v>
      </c>
      <c r="E20" s="16">
        <f t="shared" si="6"/>
        <v>0</v>
      </c>
      <c r="F20" s="13">
        <v>-30</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row>
    <row r="21" spans="1:81" ht="15" x14ac:dyDescent="0.15">
      <c r="A21" s="4" t="s">
        <v>932</v>
      </c>
      <c r="B21" s="14">
        <f t="shared" si="3"/>
        <v>4</v>
      </c>
      <c r="C21" s="15">
        <f t="shared" si="4"/>
        <v>-44</v>
      </c>
      <c r="D21" s="15">
        <f t="shared" si="5"/>
        <v>24</v>
      </c>
      <c r="E21" s="16">
        <f t="shared" si="6"/>
        <v>24</v>
      </c>
      <c r="F21" s="13">
        <f>SUM(F19:F20)</f>
        <v>-34</v>
      </c>
      <c r="G21" s="13">
        <f t="shared" ref="G21:AO21" si="9">SUM(G19:G20)</f>
        <v>-6</v>
      </c>
      <c r="H21" s="13">
        <f t="shared" si="9"/>
        <v>-6</v>
      </c>
      <c r="I21" s="13">
        <f t="shared" si="9"/>
        <v>-14</v>
      </c>
      <c r="J21" s="13">
        <f t="shared" si="9"/>
        <v>2</v>
      </c>
      <c r="K21" s="13">
        <f t="shared" si="9"/>
        <v>2</v>
      </c>
      <c r="L21" s="13">
        <f t="shared" si="9"/>
        <v>2</v>
      </c>
      <c r="M21" s="13">
        <f t="shared" si="9"/>
        <v>2</v>
      </c>
      <c r="N21" s="13">
        <f t="shared" si="9"/>
        <v>2</v>
      </c>
      <c r="O21" s="13">
        <f t="shared" si="9"/>
        <v>2</v>
      </c>
      <c r="P21" s="13">
        <f t="shared" si="9"/>
        <v>2</v>
      </c>
      <c r="Q21" s="13">
        <f t="shared" si="9"/>
        <v>2</v>
      </c>
      <c r="R21" s="13">
        <f t="shared" si="9"/>
        <v>2</v>
      </c>
      <c r="S21" s="13">
        <f t="shared" si="9"/>
        <v>2</v>
      </c>
      <c r="T21" s="13">
        <f t="shared" si="9"/>
        <v>2</v>
      </c>
      <c r="U21" s="13">
        <f t="shared" si="9"/>
        <v>2</v>
      </c>
      <c r="V21" s="13">
        <f t="shared" si="9"/>
        <v>2</v>
      </c>
      <c r="W21" s="13">
        <f t="shared" si="9"/>
        <v>2</v>
      </c>
      <c r="X21" s="13">
        <f t="shared" si="9"/>
        <v>2</v>
      </c>
      <c r="Y21" s="13">
        <f t="shared" si="9"/>
        <v>2</v>
      </c>
      <c r="Z21" s="13">
        <f t="shared" si="9"/>
        <v>2</v>
      </c>
      <c r="AA21" s="13">
        <f t="shared" si="9"/>
        <v>2</v>
      </c>
      <c r="AB21" s="13">
        <f t="shared" si="9"/>
        <v>2</v>
      </c>
      <c r="AC21" s="13">
        <f t="shared" si="9"/>
        <v>2</v>
      </c>
      <c r="AD21" s="13">
        <f t="shared" si="9"/>
        <v>2</v>
      </c>
      <c r="AE21" s="13">
        <f t="shared" si="9"/>
        <v>2</v>
      </c>
      <c r="AF21" s="13">
        <f t="shared" si="9"/>
        <v>2</v>
      </c>
      <c r="AG21" s="13">
        <f t="shared" si="9"/>
        <v>2</v>
      </c>
      <c r="AH21" s="13">
        <f t="shared" si="9"/>
        <v>2</v>
      </c>
      <c r="AI21" s="13">
        <f t="shared" si="9"/>
        <v>2</v>
      </c>
      <c r="AJ21" s="13">
        <f t="shared" si="9"/>
        <v>2</v>
      </c>
      <c r="AK21" s="13">
        <f t="shared" si="9"/>
        <v>2</v>
      </c>
      <c r="AL21" s="13">
        <f t="shared" si="9"/>
        <v>2</v>
      </c>
      <c r="AM21" s="13">
        <f t="shared" si="9"/>
        <v>2</v>
      </c>
      <c r="AN21" s="13">
        <f t="shared" si="9"/>
        <v>2</v>
      </c>
      <c r="AO21" s="13">
        <f t="shared" si="9"/>
        <v>2</v>
      </c>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row>
    <row r="22" spans="1:81" ht="15" x14ac:dyDescent="0.15">
      <c r="A22" s="6" t="s">
        <v>933</v>
      </c>
      <c r="B22" s="23">
        <f t="shared" si="3"/>
        <v>-3.5</v>
      </c>
      <c r="C22" s="15">
        <f t="shared" si="4"/>
        <v>-14.1</v>
      </c>
      <c r="D22" s="15">
        <f t="shared" si="5"/>
        <v>5.5</v>
      </c>
      <c r="E22" s="16">
        <f t="shared" si="6"/>
        <v>5.0999999999999996</v>
      </c>
      <c r="F22" s="13">
        <f>SUM(F23:F24)</f>
        <v>-18</v>
      </c>
      <c r="G22" s="13">
        <f t="shared" ref="G22:AO22" si="10">SUM(G23:G24)</f>
        <v>0</v>
      </c>
      <c r="H22" s="13">
        <f t="shared" si="10"/>
        <v>0</v>
      </c>
      <c r="I22" s="13">
        <f t="shared" si="10"/>
        <v>0</v>
      </c>
      <c r="J22" s="13">
        <f t="shared" si="10"/>
        <v>0</v>
      </c>
      <c r="K22" s="13">
        <f t="shared" si="10"/>
        <v>1</v>
      </c>
      <c r="L22" s="13">
        <f t="shared" si="10"/>
        <v>2</v>
      </c>
      <c r="M22" s="13">
        <f t="shared" si="10"/>
        <v>0</v>
      </c>
      <c r="N22" s="13">
        <f t="shared" si="10"/>
        <v>0</v>
      </c>
      <c r="O22" s="13">
        <f t="shared" si="10"/>
        <v>0</v>
      </c>
      <c r="P22" s="13">
        <f t="shared" si="10"/>
        <v>0</v>
      </c>
      <c r="Q22" s="13">
        <f t="shared" si="10"/>
        <v>0.9</v>
      </c>
      <c r="R22" s="13">
        <f t="shared" si="10"/>
        <v>2</v>
      </c>
      <c r="S22" s="13">
        <f t="shared" si="10"/>
        <v>0</v>
      </c>
      <c r="T22" s="13">
        <f t="shared" si="10"/>
        <v>0</v>
      </c>
      <c r="U22" s="13">
        <f t="shared" si="10"/>
        <v>0</v>
      </c>
      <c r="V22" s="13">
        <f t="shared" si="10"/>
        <v>0</v>
      </c>
      <c r="W22" s="13">
        <f t="shared" si="10"/>
        <v>0.8</v>
      </c>
      <c r="X22" s="13">
        <f t="shared" si="10"/>
        <v>2</v>
      </c>
      <c r="Y22" s="13">
        <f t="shared" si="10"/>
        <v>0</v>
      </c>
      <c r="Z22" s="13">
        <f t="shared" si="10"/>
        <v>0</v>
      </c>
      <c r="AA22" s="13">
        <f t="shared" si="10"/>
        <v>0</v>
      </c>
      <c r="AB22" s="13">
        <f t="shared" si="10"/>
        <v>0</v>
      </c>
      <c r="AC22" s="13">
        <f t="shared" si="10"/>
        <v>0.7</v>
      </c>
      <c r="AD22" s="13">
        <f t="shared" si="10"/>
        <v>2</v>
      </c>
      <c r="AE22" s="13">
        <f t="shared" si="10"/>
        <v>0</v>
      </c>
      <c r="AF22" s="13">
        <f t="shared" si="10"/>
        <v>0</v>
      </c>
      <c r="AG22" s="13">
        <f t="shared" si="10"/>
        <v>0</v>
      </c>
      <c r="AH22" s="13">
        <f t="shared" si="10"/>
        <v>0</v>
      </c>
      <c r="AI22" s="13">
        <f t="shared" si="10"/>
        <v>0.6</v>
      </c>
      <c r="AJ22" s="13">
        <f t="shared" si="10"/>
        <v>2</v>
      </c>
      <c r="AK22" s="13">
        <f t="shared" si="10"/>
        <v>0</v>
      </c>
      <c r="AL22" s="13">
        <f t="shared" si="10"/>
        <v>0</v>
      </c>
      <c r="AM22" s="13">
        <f t="shared" si="10"/>
        <v>0</v>
      </c>
      <c r="AN22" s="13">
        <f t="shared" si="10"/>
        <v>0</v>
      </c>
      <c r="AO22" s="13">
        <f t="shared" si="10"/>
        <v>0.5</v>
      </c>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row>
    <row r="23" spans="1:81" s="22" customFormat="1" ht="12" x14ac:dyDescent="0.15">
      <c r="A23" s="17" t="s">
        <v>939</v>
      </c>
      <c r="B23" s="24">
        <f t="shared" si="3"/>
        <v>-8</v>
      </c>
      <c r="C23" s="19">
        <f t="shared" si="4"/>
        <v>-16</v>
      </c>
      <c r="D23" s="19">
        <f t="shared" si="5"/>
        <v>4</v>
      </c>
      <c r="E23" s="20">
        <f t="shared" si="6"/>
        <v>4</v>
      </c>
      <c r="F23" s="25">
        <f>-20+2</f>
        <v>-18</v>
      </c>
      <c r="G23" s="25"/>
      <c r="H23" s="25"/>
      <c r="I23" s="25"/>
      <c r="J23" s="25"/>
      <c r="K23" s="25"/>
      <c r="L23" s="25">
        <v>2</v>
      </c>
      <c r="M23" s="25"/>
      <c r="N23" s="25"/>
      <c r="O23" s="25"/>
      <c r="P23" s="25"/>
      <c r="Q23" s="25"/>
      <c r="R23" s="25">
        <v>2</v>
      </c>
      <c r="S23" s="25"/>
      <c r="T23" s="25"/>
      <c r="U23" s="25"/>
      <c r="V23" s="25"/>
      <c r="W23" s="25"/>
      <c r="X23" s="25">
        <v>2</v>
      </c>
      <c r="Y23" s="25"/>
      <c r="Z23" s="25"/>
      <c r="AA23" s="25"/>
      <c r="AB23" s="25"/>
      <c r="AC23" s="25"/>
      <c r="AD23" s="25">
        <v>2</v>
      </c>
      <c r="AE23" s="25"/>
      <c r="AF23" s="25"/>
      <c r="AG23" s="25"/>
      <c r="AH23" s="25"/>
      <c r="AI23" s="25"/>
      <c r="AJ23" s="25">
        <v>2</v>
      </c>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row>
    <row r="24" spans="1:81" s="22" customFormat="1" ht="12" x14ac:dyDescent="0.15">
      <c r="A24" s="17" t="s">
        <v>940</v>
      </c>
      <c r="B24" s="24">
        <f t="shared" si="3"/>
        <v>4.5</v>
      </c>
      <c r="C24" s="19">
        <f t="shared" si="4"/>
        <v>1.9</v>
      </c>
      <c r="D24" s="19">
        <f t="shared" si="5"/>
        <v>1.5</v>
      </c>
      <c r="E24" s="20">
        <f t="shared" si="6"/>
        <v>1.1000000000000001</v>
      </c>
      <c r="F24" s="25"/>
      <c r="G24" s="25"/>
      <c r="H24" s="25"/>
      <c r="I24" s="25"/>
      <c r="J24" s="25"/>
      <c r="K24" s="25">
        <v>1</v>
      </c>
      <c r="L24" s="25"/>
      <c r="M24" s="25"/>
      <c r="N24" s="25"/>
      <c r="O24" s="25"/>
      <c r="P24" s="25"/>
      <c r="Q24" s="25">
        <v>0.9</v>
      </c>
      <c r="R24" s="25"/>
      <c r="S24" s="25"/>
      <c r="T24" s="25"/>
      <c r="U24" s="25"/>
      <c r="V24" s="25"/>
      <c r="W24" s="25">
        <v>0.8</v>
      </c>
      <c r="X24" s="25"/>
      <c r="Y24" s="25"/>
      <c r="Z24" s="25"/>
      <c r="AA24" s="25"/>
      <c r="AB24" s="25"/>
      <c r="AC24" s="25">
        <v>0.7</v>
      </c>
      <c r="AD24" s="25"/>
      <c r="AE24" s="25"/>
      <c r="AF24" s="25"/>
      <c r="AG24" s="25"/>
      <c r="AH24" s="25"/>
      <c r="AI24" s="25">
        <v>0.6</v>
      </c>
      <c r="AJ24" s="25"/>
      <c r="AK24" s="25"/>
      <c r="AL24" s="25"/>
      <c r="AM24" s="25"/>
      <c r="AN24" s="25"/>
      <c r="AO24" s="25">
        <v>0.5</v>
      </c>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row>
    <row r="25" spans="1:81" ht="15" x14ac:dyDescent="0.15">
      <c r="A25" s="6" t="s">
        <v>934</v>
      </c>
      <c r="B25" s="26">
        <f t="shared" si="3"/>
        <v>7.5000000000000018</v>
      </c>
      <c r="C25" s="27">
        <f t="shared" si="4"/>
        <v>-29.9</v>
      </c>
      <c r="D25" s="27">
        <f t="shared" si="5"/>
        <v>18.5</v>
      </c>
      <c r="E25" s="28">
        <f t="shared" si="6"/>
        <v>18.899999999999999</v>
      </c>
      <c r="F25" s="29">
        <f>F21-F22</f>
        <v>-16</v>
      </c>
      <c r="G25" s="29">
        <f t="shared" ref="G25:AO25" si="11">G21-G22</f>
        <v>-6</v>
      </c>
      <c r="H25" s="29">
        <f t="shared" si="11"/>
        <v>-6</v>
      </c>
      <c r="I25" s="29">
        <f t="shared" si="11"/>
        <v>-14</v>
      </c>
      <c r="J25" s="29">
        <f t="shared" si="11"/>
        <v>2</v>
      </c>
      <c r="K25" s="29">
        <f t="shared" si="11"/>
        <v>1</v>
      </c>
      <c r="L25" s="29">
        <f t="shared" si="11"/>
        <v>0</v>
      </c>
      <c r="M25" s="29">
        <f t="shared" si="11"/>
        <v>2</v>
      </c>
      <c r="N25" s="29">
        <f t="shared" si="11"/>
        <v>2</v>
      </c>
      <c r="O25" s="29">
        <f t="shared" si="11"/>
        <v>2</v>
      </c>
      <c r="P25" s="29">
        <f t="shared" si="11"/>
        <v>2</v>
      </c>
      <c r="Q25" s="29">
        <f t="shared" si="11"/>
        <v>1.1000000000000001</v>
      </c>
      <c r="R25" s="29">
        <f t="shared" si="11"/>
        <v>0</v>
      </c>
      <c r="S25" s="29">
        <f t="shared" si="11"/>
        <v>2</v>
      </c>
      <c r="T25" s="29">
        <f t="shared" si="11"/>
        <v>2</v>
      </c>
      <c r="U25" s="29">
        <f t="shared" si="11"/>
        <v>2</v>
      </c>
      <c r="V25" s="29">
        <f t="shared" si="11"/>
        <v>2</v>
      </c>
      <c r="W25" s="29">
        <f t="shared" si="11"/>
        <v>1.2</v>
      </c>
      <c r="X25" s="29">
        <f t="shared" si="11"/>
        <v>0</v>
      </c>
      <c r="Y25" s="29">
        <f t="shared" si="11"/>
        <v>2</v>
      </c>
      <c r="Z25" s="29">
        <f t="shared" si="11"/>
        <v>2</v>
      </c>
      <c r="AA25" s="29">
        <f t="shared" si="11"/>
        <v>2</v>
      </c>
      <c r="AB25" s="29">
        <f t="shared" si="11"/>
        <v>2</v>
      </c>
      <c r="AC25" s="29">
        <f t="shared" si="11"/>
        <v>1.3</v>
      </c>
      <c r="AD25" s="29">
        <f t="shared" si="11"/>
        <v>0</v>
      </c>
      <c r="AE25" s="29">
        <f t="shared" si="11"/>
        <v>2</v>
      </c>
      <c r="AF25" s="29">
        <f t="shared" si="11"/>
        <v>2</v>
      </c>
      <c r="AG25" s="29">
        <f t="shared" si="11"/>
        <v>2</v>
      </c>
      <c r="AH25" s="29">
        <f t="shared" si="11"/>
        <v>2</v>
      </c>
      <c r="AI25" s="29">
        <f t="shared" si="11"/>
        <v>1.4</v>
      </c>
      <c r="AJ25" s="29">
        <f t="shared" si="11"/>
        <v>0</v>
      </c>
      <c r="AK25" s="29">
        <f t="shared" si="11"/>
        <v>2</v>
      </c>
      <c r="AL25" s="29">
        <f t="shared" si="11"/>
        <v>2</v>
      </c>
      <c r="AM25" s="29">
        <f t="shared" si="11"/>
        <v>2</v>
      </c>
      <c r="AN25" s="29">
        <f t="shared" si="11"/>
        <v>2</v>
      </c>
      <c r="AO25" s="29">
        <f t="shared" si="11"/>
        <v>1.5</v>
      </c>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row>
    <row r="27" spans="1:81" ht="15" x14ac:dyDescent="0.15">
      <c r="A27" s="380" t="s">
        <v>941</v>
      </c>
      <c r="B27" s="387" t="s">
        <v>938</v>
      </c>
      <c r="C27" s="360">
        <v>1</v>
      </c>
      <c r="D27" s="360">
        <v>2</v>
      </c>
      <c r="E27" s="360">
        <v>3</v>
      </c>
      <c r="F27" s="5"/>
      <c r="G27" s="5"/>
      <c r="H27" s="5"/>
      <c r="I27" s="5"/>
    </row>
    <row r="28" spans="1:81" ht="15" x14ac:dyDescent="0.15">
      <c r="A28" s="6" t="s">
        <v>1135</v>
      </c>
      <c r="B28" s="11">
        <f t="shared" ref="B28:B39" si="12">SUM(C28:I28)</f>
        <v>384</v>
      </c>
      <c r="C28" s="29">
        <f t="shared" ref="C28:E39" si="13">SUMIF($F$12:$CB$12,C$27,$F14:$CB14)</f>
        <v>96</v>
      </c>
      <c r="D28" s="29">
        <f t="shared" si="13"/>
        <v>144</v>
      </c>
      <c r="E28" s="29">
        <f t="shared" si="13"/>
        <v>144</v>
      </c>
      <c r="F28" s="29"/>
      <c r="G28" s="29"/>
      <c r="H28" s="29"/>
      <c r="I28" s="29"/>
    </row>
    <row r="29" spans="1:81" ht="15" x14ac:dyDescent="0.15">
      <c r="A29" s="6" t="s">
        <v>929</v>
      </c>
      <c r="B29" s="30">
        <f t="shared" si="12"/>
        <v>350</v>
      </c>
      <c r="C29" s="29">
        <f t="shared" si="13"/>
        <v>110</v>
      </c>
      <c r="D29" s="29">
        <f t="shared" si="13"/>
        <v>120</v>
      </c>
      <c r="E29" s="29">
        <f t="shared" si="13"/>
        <v>120</v>
      </c>
      <c r="F29" s="29"/>
      <c r="G29" s="29"/>
      <c r="H29" s="29"/>
      <c r="I29" s="29"/>
    </row>
    <row r="30" spans="1:81" s="22" customFormat="1" ht="12" x14ac:dyDescent="0.15">
      <c r="A30" s="17" t="s">
        <v>1158</v>
      </c>
      <c r="B30" s="24"/>
      <c r="C30" s="25">
        <f t="shared" si="13"/>
        <v>40</v>
      </c>
      <c r="D30" s="25">
        <f t="shared" si="13"/>
        <v>48</v>
      </c>
      <c r="E30" s="25">
        <f t="shared" si="13"/>
        <v>48</v>
      </c>
      <c r="F30" s="25"/>
      <c r="G30" s="25"/>
      <c r="H30" s="25"/>
      <c r="I30" s="25"/>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row>
    <row r="31" spans="1:81" s="22" customFormat="1" ht="12" x14ac:dyDescent="0.15">
      <c r="A31" s="17" t="s">
        <v>937</v>
      </c>
      <c r="B31" s="24"/>
      <c r="C31" s="25">
        <f t="shared" si="13"/>
        <v>22</v>
      </c>
      <c r="D31" s="25">
        <f t="shared" si="13"/>
        <v>24</v>
      </c>
      <c r="E31" s="25">
        <f t="shared" si="13"/>
        <v>24</v>
      </c>
      <c r="F31" s="25"/>
      <c r="G31" s="25"/>
      <c r="H31" s="25"/>
      <c r="I31" s="25"/>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row>
    <row r="32" spans="1:81" s="22" customFormat="1" ht="12" x14ac:dyDescent="0.15">
      <c r="A32" s="17" t="s">
        <v>936</v>
      </c>
      <c r="B32" s="24"/>
      <c r="C32" s="25">
        <f t="shared" si="13"/>
        <v>48</v>
      </c>
      <c r="D32" s="25">
        <f t="shared" si="13"/>
        <v>48</v>
      </c>
      <c r="E32" s="25">
        <f t="shared" si="13"/>
        <v>48</v>
      </c>
      <c r="F32" s="25"/>
      <c r="G32" s="25"/>
      <c r="H32" s="25"/>
      <c r="I32" s="25"/>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row>
    <row r="33" spans="1:78" ht="15" x14ac:dyDescent="0.15">
      <c r="A33" s="4" t="s">
        <v>930</v>
      </c>
      <c r="B33" s="30">
        <f t="shared" si="12"/>
        <v>34</v>
      </c>
      <c r="C33" s="29">
        <f t="shared" si="13"/>
        <v>-14</v>
      </c>
      <c r="D33" s="29">
        <f t="shared" si="13"/>
        <v>24</v>
      </c>
      <c r="E33" s="29">
        <f t="shared" si="13"/>
        <v>24</v>
      </c>
      <c r="F33" s="29"/>
      <c r="G33" s="29"/>
      <c r="H33" s="29"/>
      <c r="I33" s="29"/>
    </row>
    <row r="34" spans="1:78" ht="15" x14ac:dyDescent="0.15">
      <c r="A34" s="6" t="s">
        <v>931</v>
      </c>
      <c r="B34" s="30">
        <f t="shared" si="12"/>
        <v>-30</v>
      </c>
      <c r="C34" s="29">
        <f t="shared" si="13"/>
        <v>-30</v>
      </c>
      <c r="D34" s="29">
        <f t="shared" si="13"/>
        <v>0</v>
      </c>
      <c r="E34" s="29">
        <f t="shared" si="13"/>
        <v>0</v>
      </c>
      <c r="F34" s="29"/>
      <c r="G34" s="29"/>
      <c r="H34" s="29"/>
      <c r="I34" s="29"/>
    </row>
    <row r="35" spans="1:78" ht="15" x14ac:dyDescent="0.15">
      <c r="A35" s="4" t="s">
        <v>932</v>
      </c>
      <c r="B35" s="30">
        <f t="shared" si="12"/>
        <v>4</v>
      </c>
      <c r="C35" s="29">
        <f t="shared" si="13"/>
        <v>-44</v>
      </c>
      <c r="D35" s="29">
        <f t="shared" si="13"/>
        <v>24</v>
      </c>
      <c r="E35" s="29">
        <f t="shared" si="13"/>
        <v>24</v>
      </c>
      <c r="F35" s="29"/>
      <c r="G35" s="29"/>
      <c r="H35" s="29"/>
      <c r="I35" s="29"/>
    </row>
    <row r="36" spans="1:78" ht="15" x14ac:dyDescent="0.15">
      <c r="A36" s="6" t="s">
        <v>933</v>
      </c>
      <c r="B36" s="30">
        <f t="shared" si="12"/>
        <v>-3.5</v>
      </c>
      <c r="C36" s="29">
        <f t="shared" si="13"/>
        <v>-14.1</v>
      </c>
      <c r="D36" s="29">
        <f t="shared" si="13"/>
        <v>5.5</v>
      </c>
      <c r="E36" s="29">
        <f t="shared" si="13"/>
        <v>5.0999999999999996</v>
      </c>
      <c r="F36" s="29"/>
      <c r="G36" s="29"/>
      <c r="H36" s="29"/>
      <c r="I36" s="29"/>
    </row>
    <row r="37" spans="1:78" s="22" customFormat="1" ht="12" x14ac:dyDescent="0.15">
      <c r="A37" s="17" t="s">
        <v>939</v>
      </c>
      <c r="B37" s="24"/>
      <c r="C37" s="25">
        <f t="shared" si="13"/>
        <v>-16</v>
      </c>
      <c r="D37" s="25">
        <f t="shared" si="13"/>
        <v>4</v>
      </c>
      <c r="E37" s="25">
        <f t="shared" si="13"/>
        <v>4</v>
      </c>
      <c r="F37" s="25"/>
      <c r="G37" s="25"/>
      <c r="H37" s="25"/>
      <c r="I37" s="25"/>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row>
    <row r="38" spans="1:78" s="22" customFormat="1" ht="12" x14ac:dyDescent="0.15">
      <c r="A38" s="17" t="s">
        <v>940</v>
      </c>
      <c r="B38" s="24"/>
      <c r="C38" s="25">
        <f t="shared" si="13"/>
        <v>1.9</v>
      </c>
      <c r="D38" s="25">
        <f t="shared" si="13"/>
        <v>1.5</v>
      </c>
      <c r="E38" s="25">
        <f t="shared" si="13"/>
        <v>1.1000000000000001</v>
      </c>
      <c r="F38" s="25"/>
      <c r="G38" s="25"/>
      <c r="H38" s="25"/>
      <c r="I38" s="25"/>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row>
    <row r="39" spans="1:78" ht="15" x14ac:dyDescent="0.15">
      <c r="A39" s="6" t="s">
        <v>934</v>
      </c>
      <c r="B39" s="32">
        <f t="shared" si="12"/>
        <v>7.5</v>
      </c>
      <c r="C39" s="29">
        <f t="shared" si="13"/>
        <v>-29.9</v>
      </c>
      <c r="D39" s="29">
        <f t="shared" si="13"/>
        <v>18.5</v>
      </c>
      <c r="E39" s="29">
        <f t="shared" si="13"/>
        <v>18.899999999999999</v>
      </c>
      <c r="F39" s="29"/>
      <c r="G39" s="29"/>
      <c r="H39" s="29"/>
      <c r="I39" s="29"/>
    </row>
  </sheetData>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1">
    <pageSetUpPr fitToPage="1"/>
  </sheetPr>
  <dimension ref="A1:F22"/>
  <sheetViews>
    <sheetView showGridLines="0" workbookViewId="0">
      <selection sqref="A1:XFD1048576"/>
    </sheetView>
  </sheetViews>
  <sheetFormatPr baseColWidth="10" defaultColWidth="11" defaultRowHeight="14" x14ac:dyDescent="0.15"/>
  <cols>
    <col min="1" max="1" width="32.1640625" style="3" customWidth="1"/>
    <col min="2" max="16384" width="11" style="3"/>
  </cols>
  <sheetData>
    <row r="1" spans="1:6" ht="15" x14ac:dyDescent="0.15">
      <c r="A1" s="1" t="s">
        <v>1235</v>
      </c>
    </row>
    <row r="2" spans="1:6" x14ac:dyDescent="0.15">
      <c r="A2" s="359"/>
      <c r="B2" s="360">
        <v>1</v>
      </c>
      <c r="C2" s="360">
        <v>2</v>
      </c>
      <c r="D2" s="360">
        <v>3</v>
      </c>
      <c r="E2" s="360">
        <v>4</v>
      </c>
      <c r="F2" s="360">
        <v>5</v>
      </c>
    </row>
    <row r="3" spans="1:6" x14ac:dyDescent="0.15">
      <c r="A3" s="3" t="s">
        <v>178</v>
      </c>
      <c r="B3" s="166">
        <v>100</v>
      </c>
      <c r="C3" s="166">
        <v>110</v>
      </c>
      <c r="D3" s="166">
        <v>120</v>
      </c>
      <c r="E3" s="166">
        <v>130</v>
      </c>
      <c r="F3" s="166">
        <v>140</v>
      </c>
    </row>
    <row r="4" spans="1:6" x14ac:dyDescent="0.15">
      <c r="A4" s="3" t="s">
        <v>179</v>
      </c>
      <c r="B4" s="166">
        <v>200</v>
      </c>
      <c r="C4" s="166">
        <v>225</v>
      </c>
      <c r="D4" s="166">
        <v>250</v>
      </c>
      <c r="E4" s="166">
        <v>280</v>
      </c>
      <c r="F4" s="166">
        <v>315</v>
      </c>
    </row>
    <row r="5" spans="1:6" x14ac:dyDescent="0.15">
      <c r="A5" s="3" t="s">
        <v>1206</v>
      </c>
      <c r="B5" s="166" t="s">
        <v>180</v>
      </c>
      <c r="C5" s="166">
        <v>40</v>
      </c>
      <c r="D5" s="166">
        <v>44</v>
      </c>
      <c r="E5" s="166">
        <v>48</v>
      </c>
      <c r="F5" s="166">
        <v>52</v>
      </c>
    </row>
    <row r="6" spans="1:6" x14ac:dyDescent="0.15">
      <c r="A6" s="3" t="s">
        <v>986</v>
      </c>
      <c r="B6" s="166" t="s">
        <v>180</v>
      </c>
      <c r="C6" s="166">
        <v>10</v>
      </c>
      <c r="D6" s="166">
        <v>11</v>
      </c>
      <c r="E6" s="166">
        <v>12</v>
      </c>
      <c r="F6" s="166">
        <v>13</v>
      </c>
    </row>
    <row r="7" spans="1:6" x14ac:dyDescent="0.15">
      <c r="A7" s="3" t="s">
        <v>1185</v>
      </c>
      <c r="B7" s="166" t="s">
        <v>180</v>
      </c>
      <c r="C7" s="166">
        <v>15</v>
      </c>
      <c r="D7" s="166">
        <v>17</v>
      </c>
      <c r="E7" s="166">
        <v>19</v>
      </c>
      <c r="F7" s="166">
        <v>22</v>
      </c>
    </row>
    <row r="8" spans="1:6" x14ac:dyDescent="0.15">
      <c r="A8" s="3" t="s">
        <v>1018</v>
      </c>
      <c r="B8" s="166" t="s">
        <v>180</v>
      </c>
      <c r="C8" s="166">
        <v>7.5</v>
      </c>
      <c r="D8" s="166">
        <v>8</v>
      </c>
      <c r="E8" s="166">
        <v>8</v>
      </c>
      <c r="F8" s="166">
        <v>8.5</v>
      </c>
    </row>
    <row r="9" spans="1:6" x14ac:dyDescent="0.15">
      <c r="A9" s="3" t="s">
        <v>1020</v>
      </c>
      <c r="B9" s="166">
        <v>5</v>
      </c>
      <c r="C9" s="166">
        <v>5</v>
      </c>
      <c r="D9" s="166">
        <v>5</v>
      </c>
      <c r="E9" s="166">
        <v>6</v>
      </c>
      <c r="F9" s="166">
        <v>6</v>
      </c>
    </row>
    <row r="11" spans="1:6" x14ac:dyDescent="0.15">
      <c r="A11" s="7" t="s">
        <v>181</v>
      </c>
      <c r="C11" s="5">
        <f>C2</f>
        <v>2</v>
      </c>
      <c r="D11" s="5">
        <f>D2</f>
        <v>3</v>
      </c>
      <c r="E11" s="5">
        <f>E2</f>
        <v>4</v>
      </c>
      <c r="F11" s="5">
        <f>F2</f>
        <v>5</v>
      </c>
    </row>
    <row r="12" spans="1:6" x14ac:dyDescent="0.15">
      <c r="A12" s="3" t="s">
        <v>1168</v>
      </c>
      <c r="C12" s="264">
        <f>C5-C7-C8</f>
        <v>17.5</v>
      </c>
      <c r="D12" s="166">
        <f>D5-D7-D8</f>
        <v>19</v>
      </c>
      <c r="E12" s="166">
        <f>E5-E7-E8</f>
        <v>21</v>
      </c>
      <c r="F12" s="264">
        <f>F5-F7-F8</f>
        <v>21.5</v>
      </c>
    </row>
    <row r="13" spans="1:6" x14ac:dyDescent="0.15">
      <c r="A13" s="88" t="s">
        <v>351</v>
      </c>
      <c r="B13" s="88"/>
      <c r="C13" s="169">
        <f>C4-B4</f>
        <v>25</v>
      </c>
      <c r="D13" s="169">
        <f>D4-C4</f>
        <v>25</v>
      </c>
      <c r="E13" s="169">
        <f>E4-D4</f>
        <v>30</v>
      </c>
      <c r="F13" s="169">
        <f>F4-E4</f>
        <v>35</v>
      </c>
    </row>
    <row r="14" spans="1:6" ht="15" x14ac:dyDescent="0.15">
      <c r="A14" s="6" t="s">
        <v>182</v>
      </c>
      <c r="B14" s="264"/>
      <c r="C14" s="264">
        <f>C12-C13</f>
        <v>-7.5</v>
      </c>
      <c r="D14" s="264">
        <f>D12-D13</f>
        <v>-6</v>
      </c>
      <c r="E14" s="264">
        <f>E12-E13</f>
        <v>-9</v>
      </c>
      <c r="F14" s="264">
        <f>F12-F13</f>
        <v>-13.5</v>
      </c>
    </row>
    <row r="15" spans="1:6" x14ac:dyDescent="0.15">
      <c r="A15" s="3" t="s">
        <v>183</v>
      </c>
      <c r="B15" s="264"/>
      <c r="C15" s="166">
        <f>C3-B3+C6</f>
        <v>20</v>
      </c>
      <c r="D15" s="166">
        <f>D3-C3+D6</f>
        <v>21</v>
      </c>
      <c r="E15" s="166">
        <f>E3-D3+E6</f>
        <v>22</v>
      </c>
      <c r="F15" s="166">
        <f>F3-E3+F6</f>
        <v>23</v>
      </c>
    </row>
    <row r="16" spans="1:6" x14ac:dyDescent="0.15">
      <c r="A16" s="3" t="s">
        <v>184</v>
      </c>
      <c r="B16" s="264"/>
      <c r="C16" s="166"/>
      <c r="D16" s="166"/>
      <c r="E16" s="166"/>
      <c r="F16" s="166"/>
    </row>
    <row r="17" spans="1:6" x14ac:dyDescent="0.15">
      <c r="A17" s="3" t="s">
        <v>59</v>
      </c>
      <c r="B17" s="264"/>
      <c r="C17" s="166">
        <f>B9</f>
        <v>5</v>
      </c>
      <c r="D17" s="166">
        <f>C9</f>
        <v>5</v>
      </c>
      <c r="E17" s="166">
        <f>D9</f>
        <v>5</v>
      </c>
      <c r="F17" s="166">
        <f>E9</f>
        <v>6</v>
      </c>
    </row>
    <row r="18" spans="1:6" x14ac:dyDescent="0.15">
      <c r="B18" s="264"/>
      <c r="C18" s="264"/>
      <c r="D18" s="264"/>
      <c r="E18" s="264"/>
      <c r="F18" s="264"/>
    </row>
    <row r="19" spans="1:6" ht="15" x14ac:dyDescent="0.15">
      <c r="A19" s="6" t="s">
        <v>185</v>
      </c>
      <c r="B19" s="264"/>
      <c r="C19" s="264">
        <f>C14-C15+C16-C17</f>
        <v>-32.5</v>
      </c>
      <c r="D19" s="264">
        <f>D14-D15+D16-D17</f>
        <v>-32</v>
      </c>
      <c r="E19" s="264">
        <f>E14-E15+E16-E17</f>
        <v>-36</v>
      </c>
      <c r="F19" s="264">
        <f>F14-F15+F16-F17</f>
        <v>-42.5</v>
      </c>
    </row>
    <row r="20" spans="1:6" x14ac:dyDescent="0.15">
      <c r="A20" s="6"/>
      <c r="B20" s="264"/>
      <c r="C20" s="264"/>
      <c r="D20" s="264"/>
      <c r="E20" s="264"/>
      <c r="F20" s="264"/>
    </row>
    <row r="21" spans="1:6" ht="15" x14ac:dyDescent="0.15">
      <c r="A21" s="8" t="s">
        <v>1680</v>
      </c>
    </row>
    <row r="22" spans="1:6" x14ac:dyDescent="0.15">
      <c r="A22" s="3" t="s">
        <v>1453</v>
      </c>
    </row>
  </sheetData>
  <phoneticPr fontId="4" type="noConversion"/>
  <pageMargins left="0.78740157480314965" right="0.78740157480314965" top="0.98425196850393704" bottom="0.98425196850393704" header="0.51181102362204722" footer="0.51181102362204722"/>
  <pageSetup paperSize="9" scale="74"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2">
    <pageSetUpPr fitToPage="1"/>
  </sheetPr>
  <dimension ref="A1:F112"/>
  <sheetViews>
    <sheetView showGridLines="0" workbookViewId="0">
      <selection activeCell="D70" sqref="D70"/>
    </sheetView>
  </sheetViews>
  <sheetFormatPr baseColWidth="10" defaultColWidth="11" defaultRowHeight="14" x14ac:dyDescent="0.15"/>
  <cols>
    <col min="1" max="1" width="54.1640625" style="3" customWidth="1"/>
    <col min="2" max="3" width="11" style="3"/>
    <col min="4" max="4" width="10.1640625" style="3" customWidth="1"/>
    <col min="5" max="16384" width="11" style="3"/>
  </cols>
  <sheetData>
    <row r="1" spans="1:3" ht="15" x14ac:dyDescent="0.15">
      <c r="A1" s="366" t="s">
        <v>1399</v>
      </c>
      <c r="B1" s="360" t="s">
        <v>951</v>
      </c>
      <c r="C1" s="360" t="s">
        <v>950</v>
      </c>
    </row>
    <row r="2" spans="1:3" ht="15" x14ac:dyDescent="0.15">
      <c r="A2" s="366"/>
      <c r="B2" s="360" t="s">
        <v>954</v>
      </c>
      <c r="C2" s="360" t="s">
        <v>955</v>
      </c>
    </row>
    <row r="3" spans="1:3" x14ac:dyDescent="0.15">
      <c r="A3" s="334" t="s">
        <v>952</v>
      </c>
      <c r="B3" s="360">
        <v>2021</v>
      </c>
      <c r="C3" s="360">
        <f>B3</f>
        <v>2021</v>
      </c>
    </row>
    <row r="4" spans="1:3" x14ac:dyDescent="0.15">
      <c r="A4" s="278" t="s">
        <v>1181</v>
      </c>
      <c r="B4" s="279">
        <v>32.299999999999997</v>
      </c>
      <c r="C4" s="279">
        <v>66.599999999999994</v>
      </c>
    </row>
    <row r="5" spans="1:3" x14ac:dyDescent="0.15">
      <c r="A5" s="3" t="s">
        <v>1108</v>
      </c>
      <c r="B5" s="280">
        <v>-8.4</v>
      </c>
      <c r="C5" s="280">
        <v>-35.299999999999997</v>
      </c>
    </row>
    <row r="6" spans="1:3" x14ac:dyDescent="0.15">
      <c r="A6" s="278" t="s">
        <v>343</v>
      </c>
      <c r="B6" s="279">
        <f>+B4+B5</f>
        <v>23.9</v>
      </c>
      <c r="C6" s="279">
        <f>+C4+C5</f>
        <v>31.299999999999997</v>
      </c>
    </row>
    <row r="7" spans="1:3" x14ac:dyDescent="0.15">
      <c r="A7" s="3" t="s">
        <v>1327</v>
      </c>
      <c r="B7" s="280">
        <v>-10.6</v>
      </c>
      <c r="C7" s="280">
        <v>-16.7</v>
      </c>
    </row>
    <row r="8" spans="1:3" x14ac:dyDescent="0.15">
      <c r="A8" s="3" t="s">
        <v>1328</v>
      </c>
      <c r="B8" s="280">
        <v>-6.1</v>
      </c>
      <c r="C8" s="280">
        <v>-4.2</v>
      </c>
    </row>
    <row r="9" spans="1:3" x14ac:dyDescent="0.15">
      <c r="A9" s="3" t="s">
        <v>1339</v>
      </c>
      <c r="B9" s="280">
        <v>-1</v>
      </c>
      <c r="C9" s="280">
        <v>0</v>
      </c>
    </row>
    <row r="10" spans="1:3" x14ac:dyDescent="0.15">
      <c r="A10" s="3" t="s">
        <v>1329</v>
      </c>
      <c r="B10" s="280">
        <v>-0.4</v>
      </c>
      <c r="C10" s="280">
        <v>0.1</v>
      </c>
    </row>
    <row r="11" spans="1:3" x14ac:dyDescent="0.15">
      <c r="A11" s="3" t="s">
        <v>1342</v>
      </c>
      <c r="B11" s="280">
        <v>0.4</v>
      </c>
      <c r="C11" s="280">
        <v>0.3</v>
      </c>
    </row>
    <row r="12" spans="1:3" x14ac:dyDescent="0.15">
      <c r="A12" s="278" t="s">
        <v>1330</v>
      </c>
      <c r="B12" s="279">
        <f>SUM(B6:B11)</f>
        <v>6.1999999999999993</v>
      </c>
      <c r="C12" s="279">
        <f>SUM(C6:C11)</f>
        <v>10.799999999999999</v>
      </c>
    </row>
    <row r="13" spans="1:3" x14ac:dyDescent="0.15">
      <c r="A13" s="3" t="s">
        <v>1526</v>
      </c>
      <c r="B13" s="280">
        <v>0</v>
      </c>
      <c r="C13" s="280">
        <v>-0.2</v>
      </c>
    </row>
    <row r="14" spans="1:3" x14ac:dyDescent="0.15">
      <c r="A14" s="278" t="s">
        <v>1331</v>
      </c>
      <c r="B14" s="279">
        <f>B12+B13</f>
        <v>6.1999999999999993</v>
      </c>
      <c r="C14" s="279">
        <f>C12+C13</f>
        <v>10.6</v>
      </c>
    </row>
    <row r="15" spans="1:3" x14ac:dyDescent="0.15">
      <c r="A15" s="3" t="s">
        <v>1185</v>
      </c>
      <c r="B15" s="280">
        <v>-0.1</v>
      </c>
      <c r="C15" s="280">
        <v>-1</v>
      </c>
    </row>
    <row r="16" spans="1:3" x14ac:dyDescent="0.15">
      <c r="A16" s="3" t="s">
        <v>1205</v>
      </c>
      <c r="B16" s="280">
        <v>0</v>
      </c>
      <c r="C16" s="280">
        <v>0.6</v>
      </c>
    </row>
    <row r="17" spans="1:4" x14ac:dyDescent="0.15">
      <c r="A17" s="278" t="s">
        <v>1050</v>
      </c>
      <c r="B17" s="279">
        <f>+B14+B15+B16</f>
        <v>6.1</v>
      </c>
      <c r="C17" s="279">
        <f>+C14+C15+C16</f>
        <v>10.199999999999999</v>
      </c>
    </row>
    <row r="18" spans="1:4" x14ac:dyDescent="0.15">
      <c r="A18" s="3" t="s">
        <v>203</v>
      </c>
      <c r="B18" s="280">
        <v>-1.4</v>
      </c>
      <c r="C18" s="280">
        <v>-2.2000000000000002</v>
      </c>
    </row>
    <row r="19" spans="1:4" x14ac:dyDescent="0.15">
      <c r="A19" s="88" t="s">
        <v>1234</v>
      </c>
      <c r="B19" s="281">
        <v>0</v>
      </c>
      <c r="C19" s="281">
        <v>-1.2</v>
      </c>
    </row>
    <row r="20" spans="1:4" x14ac:dyDescent="0.15">
      <c r="A20" s="7" t="s">
        <v>1286</v>
      </c>
      <c r="B20" s="283">
        <f>+B17+B18+B19</f>
        <v>4.6999999999999993</v>
      </c>
      <c r="C20" s="283">
        <f>+C17+C18+C19</f>
        <v>6.7999999999999989</v>
      </c>
    </row>
    <row r="21" spans="1:4" x14ac:dyDescent="0.15">
      <c r="A21" s="7"/>
      <c r="B21" s="282"/>
      <c r="C21" s="282"/>
    </row>
    <row r="22" spans="1:4" ht="15" x14ac:dyDescent="0.15">
      <c r="A22" s="359"/>
      <c r="B22" s="360" t="s">
        <v>951</v>
      </c>
      <c r="C22" s="472" t="s">
        <v>950</v>
      </c>
    </row>
    <row r="23" spans="1:4" x14ac:dyDescent="0.15">
      <c r="A23" s="359"/>
      <c r="B23" s="360" t="s">
        <v>954</v>
      </c>
      <c r="C23" s="360" t="s">
        <v>955</v>
      </c>
    </row>
    <row r="24" spans="1:4" x14ac:dyDescent="0.15">
      <c r="A24" s="362" t="s">
        <v>953</v>
      </c>
      <c r="B24" s="367">
        <v>2021</v>
      </c>
      <c r="C24" s="367">
        <f>B24</f>
        <v>2021</v>
      </c>
    </row>
    <row r="25" spans="1:4" x14ac:dyDescent="0.15">
      <c r="A25" s="103" t="s">
        <v>1426</v>
      </c>
      <c r="B25" s="280">
        <v>11.1</v>
      </c>
      <c r="C25" s="280">
        <v>52.5</v>
      </c>
    </row>
    <row r="26" spans="1:4" x14ac:dyDescent="0.15">
      <c r="A26" s="3" t="s">
        <v>1340</v>
      </c>
      <c r="B26" s="280">
        <v>3.5</v>
      </c>
      <c r="C26" s="280">
        <v>16</v>
      </c>
    </row>
    <row r="27" spans="1:4" x14ac:dyDescent="0.15">
      <c r="A27" s="3" t="s">
        <v>1188</v>
      </c>
      <c r="B27" s="280">
        <v>3.3</v>
      </c>
      <c r="C27" s="280">
        <v>26.8</v>
      </c>
    </row>
    <row r="28" spans="1:4" x14ac:dyDescent="0.15">
      <c r="A28" s="3" t="s">
        <v>1341</v>
      </c>
      <c r="B28" s="280">
        <v>10.9</v>
      </c>
      <c r="C28" s="280">
        <v>5.2</v>
      </c>
    </row>
    <row r="29" spans="1:4" x14ac:dyDescent="0.15">
      <c r="A29" s="278" t="s">
        <v>206</v>
      </c>
      <c r="B29" s="279">
        <f>+B28+B27+B25+B26</f>
        <v>28.799999999999997</v>
      </c>
      <c r="C29" s="279">
        <f>+C28+C27+C25+C26</f>
        <v>100.5</v>
      </c>
      <c r="D29" s="495"/>
    </row>
    <row r="30" spans="1:4" x14ac:dyDescent="0.15">
      <c r="A30" s="3" t="s">
        <v>1195</v>
      </c>
      <c r="B30" s="280">
        <v>3.2</v>
      </c>
      <c r="C30" s="280">
        <v>5.4</v>
      </c>
    </row>
    <row r="31" spans="1:4" x14ac:dyDescent="0.15">
      <c r="A31" s="3" t="s">
        <v>328</v>
      </c>
      <c r="B31" s="280">
        <v>4</v>
      </c>
      <c r="C31" s="280">
        <v>6.8</v>
      </c>
    </row>
    <row r="32" spans="1:4" x14ac:dyDescent="0.15">
      <c r="A32" s="3" t="s">
        <v>207</v>
      </c>
      <c r="B32" s="280">
        <f>2.2+0.4</f>
        <v>2.6</v>
      </c>
      <c r="C32" s="280">
        <f>3.4</f>
        <v>3.4</v>
      </c>
    </row>
    <row r="33" spans="1:5" x14ac:dyDescent="0.15">
      <c r="A33" s="3" t="s">
        <v>1333</v>
      </c>
      <c r="B33" s="280">
        <v>-6.1</v>
      </c>
      <c r="C33" s="280">
        <v>-20.6</v>
      </c>
    </row>
    <row r="34" spans="1:5" x14ac:dyDescent="0.15">
      <c r="A34" s="3" t="s">
        <v>1202</v>
      </c>
      <c r="B34" s="280">
        <f>-5.5</f>
        <v>-5.5</v>
      </c>
      <c r="C34" s="280">
        <f>-16.5-2.9</f>
        <v>-19.399999999999999</v>
      </c>
    </row>
    <row r="35" spans="1:5" x14ac:dyDescent="0.15">
      <c r="A35" s="7" t="s">
        <v>1336</v>
      </c>
      <c r="B35" s="283">
        <f>+B30+B31+B32+B33+B34</f>
        <v>-1.7999999999999989</v>
      </c>
      <c r="C35" s="283">
        <f>+C30+C31+C32+C33+C34</f>
        <v>-24.4</v>
      </c>
    </row>
    <row r="36" spans="1:5" x14ac:dyDescent="0.15">
      <c r="A36" s="278" t="s">
        <v>1335</v>
      </c>
      <c r="B36" s="494">
        <v>0</v>
      </c>
      <c r="C36" s="494">
        <v>0</v>
      </c>
    </row>
    <row r="37" spans="1:5" x14ac:dyDescent="0.15">
      <c r="A37" s="278" t="s">
        <v>1334</v>
      </c>
      <c r="B37" s="283">
        <f>+B36+B35</f>
        <v>-1.7999999999999989</v>
      </c>
      <c r="C37" s="283">
        <f>+C36+C35</f>
        <v>-24.4</v>
      </c>
      <c r="D37" s="284"/>
    </row>
    <row r="38" spans="1:5" x14ac:dyDescent="0.15">
      <c r="A38" s="259" t="s">
        <v>208</v>
      </c>
      <c r="B38" s="285">
        <f>23.8+0.8-0.7</f>
        <v>23.900000000000002</v>
      </c>
      <c r="C38" s="285">
        <f>43.9+6.4-1.9</f>
        <v>48.4</v>
      </c>
      <c r="D38" s="495"/>
    </row>
    <row r="39" spans="1:5" x14ac:dyDescent="0.15">
      <c r="A39" s="259" t="s">
        <v>1234</v>
      </c>
      <c r="B39" s="285">
        <v>0</v>
      </c>
      <c r="C39" s="285">
        <v>4.8</v>
      </c>
    </row>
    <row r="40" spans="1:5" x14ac:dyDescent="0.15">
      <c r="A40" s="3" t="s">
        <v>1337</v>
      </c>
      <c r="B40" s="280">
        <v>0.4</v>
      </c>
      <c r="C40" s="280">
        <v>2.2999999999999998</v>
      </c>
    </row>
    <row r="41" spans="1:5" x14ac:dyDescent="0.15">
      <c r="A41" s="3" t="s">
        <v>209</v>
      </c>
      <c r="B41" s="280">
        <v>0</v>
      </c>
      <c r="C41" s="280">
        <v>22.7</v>
      </c>
    </row>
    <row r="42" spans="1:5" x14ac:dyDescent="0.15">
      <c r="A42" s="3" t="s">
        <v>50</v>
      </c>
      <c r="B42" s="280">
        <v>4.5999999999999996</v>
      </c>
      <c r="C42" s="280">
        <v>6.2</v>
      </c>
    </row>
    <row r="43" spans="1:5" x14ac:dyDescent="0.15">
      <c r="A43" s="88" t="s">
        <v>1343</v>
      </c>
      <c r="B43" s="281">
        <v>2.7</v>
      </c>
      <c r="C43" s="281">
        <v>8.3000000000000007</v>
      </c>
      <c r="E43" s="495"/>
    </row>
    <row r="44" spans="1:5" x14ac:dyDescent="0.15">
      <c r="A44" s="7" t="s">
        <v>1209</v>
      </c>
      <c r="B44" s="283">
        <f>+B41+B42-B43+B40</f>
        <v>2.2999999999999994</v>
      </c>
      <c r="C44" s="283">
        <f>+C41+C42-C43+C40</f>
        <v>22.9</v>
      </c>
      <c r="D44" s="495"/>
    </row>
    <row r="45" spans="1:5" x14ac:dyDescent="0.15">
      <c r="A45" s="7"/>
      <c r="B45" s="283"/>
      <c r="C45" s="283"/>
      <c r="D45" s="284"/>
    </row>
    <row r="46" spans="1:5" x14ac:dyDescent="0.15">
      <c r="C46" s="496"/>
    </row>
    <row r="47" spans="1:5" ht="15" x14ac:dyDescent="0.15">
      <c r="A47" s="359"/>
      <c r="B47" s="360" t="s">
        <v>951</v>
      </c>
      <c r="C47" s="497" t="s">
        <v>950</v>
      </c>
    </row>
    <row r="48" spans="1:5" x14ac:dyDescent="0.15">
      <c r="A48" s="368"/>
      <c r="B48" s="360" t="s">
        <v>954</v>
      </c>
      <c r="C48" s="360" t="s">
        <v>955</v>
      </c>
    </row>
    <row r="49" spans="1:3" x14ac:dyDescent="0.15">
      <c r="A49" s="368"/>
      <c r="B49" s="498">
        <f>B24</f>
        <v>2021</v>
      </c>
      <c r="C49" s="498">
        <f>C24</f>
        <v>2021</v>
      </c>
    </row>
    <row r="50" spans="1:3" x14ac:dyDescent="0.15">
      <c r="A50" s="3" t="s">
        <v>1208</v>
      </c>
      <c r="B50" s="280">
        <f>+B29+B37-B28</f>
        <v>16.100000000000001</v>
      </c>
      <c r="C50" s="280">
        <f>+C29+C37</f>
        <v>76.099999999999994</v>
      </c>
    </row>
    <row r="51" spans="1:3" x14ac:dyDescent="0.15">
      <c r="A51" s="3" t="s">
        <v>23</v>
      </c>
      <c r="B51" s="280">
        <f>+B12-B11</f>
        <v>5.7999999999999989</v>
      </c>
      <c r="C51" s="280">
        <f>+C12</f>
        <v>10.799999999999999</v>
      </c>
    </row>
    <row r="52" spans="1:3" x14ac:dyDescent="0.15">
      <c r="A52" s="3" t="s">
        <v>1764</v>
      </c>
      <c r="B52" s="280">
        <f>0.24*B51</f>
        <v>1.3919999999999997</v>
      </c>
      <c r="C52" s="280">
        <f>0.22*C51</f>
        <v>2.3759999999999999</v>
      </c>
    </row>
    <row r="53" spans="1:3" x14ac:dyDescent="0.15">
      <c r="A53" s="7" t="s">
        <v>334</v>
      </c>
      <c r="B53" s="110">
        <f>(B51-B52)/(B50)</f>
        <v>0.27378881987577636</v>
      </c>
      <c r="C53" s="110">
        <f>(C51-C52)/C50</f>
        <v>0.11069645203679369</v>
      </c>
    </row>
    <row r="54" spans="1:3" x14ac:dyDescent="0.15">
      <c r="A54" s="286"/>
      <c r="B54" s="122"/>
      <c r="C54" s="184"/>
    </row>
    <row r="56" spans="1:3" x14ac:dyDescent="0.15">
      <c r="A56" s="3" t="s">
        <v>956</v>
      </c>
      <c r="B56" s="29">
        <f>+B38</f>
        <v>23.900000000000002</v>
      </c>
      <c r="C56" s="29">
        <f>+C38+C39</f>
        <v>53.199999999999996</v>
      </c>
    </row>
    <row r="57" spans="1:3" x14ac:dyDescent="0.15">
      <c r="A57" s="3" t="s">
        <v>957</v>
      </c>
      <c r="B57" s="284">
        <f>B17+B18</f>
        <v>4.6999999999999993</v>
      </c>
      <c r="C57" s="284">
        <f>(C17-+C13)*(1-22%)</f>
        <v>8.1119999999999983</v>
      </c>
    </row>
    <row r="58" spans="1:3" x14ac:dyDescent="0.15">
      <c r="A58" s="7" t="s">
        <v>24</v>
      </c>
      <c r="B58" s="111">
        <f>B57/B56</f>
        <v>0.19665271966527192</v>
      </c>
      <c r="C58" s="111">
        <f>C57/C56</f>
        <v>0.15248120300751877</v>
      </c>
    </row>
    <row r="59" spans="1:3" x14ac:dyDescent="0.15">
      <c r="A59" s="7"/>
      <c r="B59" s="111"/>
      <c r="C59" s="67"/>
    </row>
    <row r="60" spans="1:3" ht="15" x14ac:dyDescent="0.15">
      <c r="A60" s="8" t="s">
        <v>1237</v>
      </c>
    </row>
    <row r="62" spans="1:3" x14ac:dyDescent="0.15">
      <c r="A62" s="3" t="s">
        <v>187</v>
      </c>
      <c r="B62" s="80">
        <v>0.03</v>
      </c>
    </row>
    <row r="63" spans="1:3" x14ac:dyDescent="0.15">
      <c r="A63" s="3" t="s">
        <v>188</v>
      </c>
      <c r="B63" s="80">
        <v>0.05</v>
      </c>
    </row>
    <row r="64" spans="1:3" x14ac:dyDescent="0.15">
      <c r="A64" s="3" t="s">
        <v>189</v>
      </c>
      <c r="B64" s="80">
        <v>0.4</v>
      </c>
    </row>
    <row r="65" spans="1:2" x14ac:dyDescent="0.15">
      <c r="A65" s="3" t="s">
        <v>190</v>
      </c>
      <c r="B65" s="264">
        <v>1000</v>
      </c>
    </row>
    <row r="67" spans="1:2" x14ac:dyDescent="0.15">
      <c r="A67" s="3" t="s">
        <v>193</v>
      </c>
      <c r="B67" s="80">
        <v>0.2</v>
      </c>
    </row>
    <row r="68" spans="1:2" x14ac:dyDescent="0.15">
      <c r="B68" s="80"/>
    </row>
    <row r="69" spans="1:2" x14ac:dyDescent="0.15">
      <c r="A69" s="7" t="s">
        <v>191</v>
      </c>
    </row>
    <row r="70" spans="1:2" x14ac:dyDescent="0.15">
      <c r="A70" s="103" t="s">
        <v>195</v>
      </c>
      <c r="B70" s="287">
        <v>250</v>
      </c>
    </row>
    <row r="72" spans="1:2" x14ac:dyDescent="0.15">
      <c r="A72" s="3" t="s">
        <v>1208</v>
      </c>
      <c r="B72" s="166">
        <f>B65</f>
        <v>1000</v>
      </c>
    </row>
    <row r="73" spans="1:2" x14ac:dyDescent="0.15">
      <c r="A73" s="3" t="s">
        <v>1209</v>
      </c>
      <c r="B73" s="166">
        <f>B72-B74</f>
        <v>750</v>
      </c>
    </row>
    <row r="74" spans="1:2" x14ac:dyDescent="0.15">
      <c r="A74" s="3" t="s">
        <v>1199</v>
      </c>
      <c r="B74" s="166">
        <f>B70</f>
        <v>250</v>
      </c>
    </row>
    <row r="75" spans="1:2" x14ac:dyDescent="0.15">
      <c r="A75" s="3" t="s">
        <v>1181</v>
      </c>
      <c r="B75" s="166">
        <f>B76*(1-B64)/B62</f>
        <v>2416.666666666667</v>
      </c>
    </row>
    <row r="76" spans="1:2" x14ac:dyDescent="0.15">
      <c r="A76" s="3" t="s">
        <v>1014</v>
      </c>
      <c r="B76" s="166">
        <f>SUM(B77:B79)</f>
        <v>120.83333333333334</v>
      </c>
    </row>
    <row r="77" spans="1:2" x14ac:dyDescent="0.15">
      <c r="A77" s="3" t="s">
        <v>1185</v>
      </c>
      <c r="B77" s="166">
        <f>B73*B63</f>
        <v>37.5</v>
      </c>
    </row>
    <row r="78" spans="1:2" x14ac:dyDescent="0.15">
      <c r="A78" s="3" t="s">
        <v>1283</v>
      </c>
      <c r="B78" s="166">
        <f>B79/(1-B64)*B64</f>
        <v>33.333333333333336</v>
      </c>
    </row>
    <row r="79" spans="1:2" x14ac:dyDescent="0.15">
      <c r="A79" s="3" t="s">
        <v>1051</v>
      </c>
      <c r="B79" s="166">
        <f>B74*B67</f>
        <v>50</v>
      </c>
    </row>
    <row r="80" spans="1:2" x14ac:dyDescent="0.15">
      <c r="A80" s="103" t="s">
        <v>333</v>
      </c>
      <c r="B80" s="288">
        <f>B76*(1-B64)/B72</f>
        <v>7.2499999999999995E-2</v>
      </c>
    </row>
    <row r="82" spans="1:6" ht="19" x14ac:dyDescent="0.15">
      <c r="A82" s="8" t="s">
        <v>196</v>
      </c>
      <c r="C82" s="289"/>
      <c r="D82" s="289"/>
      <c r="E82" s="289"/>
    </row>
    <row r="83" spans="1:6" x14ac:dyDescent="0.15">
      <c r="A83" s="360" t="s">
        <v>139</v>
      </c>
      <c r="B83" s="360">
        <v>1</v>
      </c>
      <c r="C83" s="360">
        <v>2</v>
      </c>
      <c r="D83" s="360">
        <v>3</v>
      </c>
      <c r="E83" s="360">
        <v>4</v>
      </c>
      <c r="F83" s="360">
        <v>5</v>
      </c>
    </row>
    <row r="84" spans="1:6" x14ac:dyDescent="0.15">
      <c r="A84" s="3" t="s">
        <v>1199</v>
      </c>
      <c r="B84" s="166">
        <v>100</v>
      </c>
      <c r="C84" s="166">
        <v>115</v>
      </c>
      <c r="D84" s="166">
        <v>320</v>
      </c>
      <c r="E84" s="166">
        <v>300</v>
      </c>
      <c r="F84" s="166">
        <v>240</v>
      </c>
    </row>
    <row r="85" spans="1:6" x14ac:dyDescent="0.15">
      <c r="A85" s="3" t="s">
        <v>1209</v>
      </c>
      <c r="B85" s="166">
        <v>123</v>
      </c>
      <c r="C85" s="166">
        <v>180</v>
      </c>
      <c r="D85" s="166">
        <v>540</v>
      </c>
      <c r="E85" s="166">
        <v>640</v>
      </c>
      <c r="F85" s="166">
        <v>680</v>
      </c>
    </row>
    <row r="86" spans="1:6" x14ac:dyDescent="0.15">
      <c r="A86" s="3" t="s">
        <v>197</v>
      </c>
      <c r="B86" s="166">
        <v>11</v>
      </c>
      <c r="C86" s="166">
        <v>18.5</v>
      </c>
      <c r="D86" s="166">
        <v>29</v>
      </c>
      <c r="E86" s="166">
        <v>63</v>
      </c>
      <c r="F86" s="166">
        <v>83</v>
      </c>
    </row>
    <row r="87" spans="1:6" x14ac:dyDescent="0.15">
      <c r="A87" s="3" t="s">
        <v>1051</v>
      </c>
      <c r="B87" s="166">
        <v>14</v>
      </c>
      <c r="C87" s="166">
        <v>16</v>
      </c>
      <c r="D87" s="166">
        <v>-20</v>
      </c>
      <c r="E87" s="166">
        <v>-60</v>
      </c>
      <c r="F87" s="166">
        <v>-40</v>
      </c>
    </row>
    <row r="89" spans="1:6" x14ac:dyDescent="0.15">
      <c r="A89" s="3" t="s">
        <v>198</v>
      </c>
      <c r="B89" s="80">
        <v>0.35</v>
      </c>
      <c r="C89" s="80">
        <f>B89</f>
        <v>0.35</v>
      </c>
      <c r="D89" s="80">
        <f>C89</f>
        <v>0.35</v>
      </c>
      <c r="E89" s="80">
        <f>D89</f>
        <v>0.35</v>
      </c>
      <c r="F89" s="80">
        <f>E89</f>
        <v>0.35</v>
      </c>
    </row>
    <row r="91" spans="1:6" x14ac:dyDescent="0.15">
      <c r="A91" s="3" t="s">
        <v>1186</v>
      </c>
      <c r="B91" s="29">
        <f>IF(B87&gt;0, B87*B89/(1-B89),0)</f>
        <v>7.5384615384615374</v>
      </c>
      <c r="C91" s="29">
        <f>IF(C87&gt;0, C87*C89/(1-C89),0)</f>
        <v>8.615384615384615</v>
      </c>
      <c r="D91" s="3">
        <f>IF(D87&gt;0, D87*D89/(1-D89),0)</f>
        <v>0</v>
      </c>
      <c r="E91" s="3">
        <f>IF(E87&gt;0, E87*E89/(1-E89),0)</f>
        <v>0</v>
      </c>
      <c r="F91" s="3">
        <f>IF(F87&gt;0, F87*F89/(1-F89),0)</f>
        <v>0</v>
      </c>
    </row>
    <row r="92" spans="1:6" x14ac:dyDescent="0.15">
      <c r="A92" s="3" t="s">
        <v>1014</v>
      </c>
      <c r="B92" s="29">
        <f>B87+B86+B91</f>
        <v>32.53846153846154</v>
      </c>
      <c r="C92" s="29">
        <f>C87+C86+C91</f>
        <v>43.115384615384613</v>
      </c>
      <c r="D92" s="29">
        <f>D87+D86+D91</f>
        <v>9</v>
      </c>
      <c r="E92" s="29">
        <f>E87+E86+E91</f>
        <v>3</v>
      </c>
      <c r="F92" s="29">
        <f>F87+F86+F91</f>
        <v>43</v>
      </c>
    </row>
    <row r="94" spans="1:6" x14ac:dyDescent="0.15">
      <c r="A94" s="3" t="s">
        <v>199</v>
      </c>
      <c r="B94" s="55">
        <f>B92*(1-B89)/(B84+B85)</f>
        <v>9.4843049327354267E-2</v>
      </c>
      <c r="C94" s="55">
        <f>C92*(1-C89)/(C84+C85)</f>
        <v>9.5000000000000001E-2</v>
      </c>
      <c r="D94" s="55">
        <f>D92*(1-D89)/(D84+D85)</f>
        <v>6.8023255813953491E-3</v>
      </c>
      <c r="E94" s="55">
        <f>E92*(1-E89)/(E84+E85)</f>
        <v>2.0744680851063832E-3</v>
      </c>
      <c r="F94" s="55">
        <f>F92*(1-F89)/(F84+F85)</f>
        <v>3.0380434782608694E-2</v>
      </c>
    </row>
    <row r="95" spans="1:6" x14ac:dyDescent="0.15">
      <c r="A95" s="3" t="s">
        <v>200</v>
      </c>
      <c r="B95" s="55">
        <f>IF(B86&lt;B92,B86/B85*(1-B89),B92/B85*(1-B89)+(B86-B92)/B85)</f>
        <v>5.8130081300813014E-2</v>
      </c>
      <c r="C95" s="55">
        <f>IF(C86&lt;C92,C86/C85*(1-C89),C92/C85*(1-C89)+(C86-C92)/C85)</f>
        <v>6.6805555555555549E-2</v>
      </c>
      <c r="D95" s="55">
        <f>IF(D86&lt;D92,D86/D85*(1-D89),D92/D85*(1-D89)+(D86-D92)/D85)</f>
        <v>4.7870370370370369E-2</v>
      </c>
      <c r="E95" s="55">
        <f>IF(E86&lt;E92,E86/E85*(1-E89),E92/E85*(1-E89)+(E86-E92)/E85)</f>
        <v>9.6796875000000004E-2</v>
      </c>
      <c r="F95" s="55">
        <f>IF(F86&lt;F92,F86/F85*(1-F89),F92/F85*(1-F89)+(F86-F92)/F85)</f>
        <v>9.9926470588235283E-2</v>
      </c>
    </row>
    <row r="96" spans="1:6" x14ac:dyDescent="0.15">
      <c r="A96" s="88" t="s">
        <v>201</v>
      </c>
      <c r="B96" s="290">
        <f>B85/B84</f>
        <v>1.23</v>
      </c>
      <c r="C96" s="290">
        <f>C85/C84</f>
        <v>1.5652173913043479</v>
      </c>
      <c r="D96" s="290">
        <f>D85/D84</f>
        <v>1.6875</v>
      </c>
      <c r="E96" s="290">
        <f>E85/E84</f>
        <v>2.1333333333333333</v>
      </c>
      <c r="F96" s="290">
        <f>F85/F84</f>
        <v>2.8333333333333335</v>
      </c>
    </row>
    <row r="97" spans="1:6" x14ac:dyDescent="0.15">
      <c r="A97" s="7" t="s">
        <v>194</v>
      </c>
      <c r="B97" s="152">
        <f>(B94-B95)*B96</f>
        <v>4.5156950672645739E-2</v>
      </c>
      <c r="C97" s="152">
        <f>(C94-C95)*C96</f>
        <v>4.413043478260871E-2</v>
      </c>
      <c r="D97" s="152">
        <f>(D94-D95)*D96</f>
        <v>-6.9302325581395346E-2</v>
      </c>
      <c r="E97" s="152">
        <f>(E94-E95)*E96</f>
        <v>-0.20207446808510637</v>
      </c>
      <c r="F97" s="152">
        <f>(F94-F95)*F96</f>
        <v>-0.19704710144927534</v>
      </c>
    </row>
    <row r="98" spans="1:6" x14ac:dyDescent="0.15">
      <c r="B98" s="104"/>
      <c r="C98" s="104"/>
      <c r="D98" s="104"/>
      <c r="E98" s="104"/>
      <c r="F98" s="104"/>
    </row>
    <row r="99" spans="1:6" x14ac:dyDescent="0.15">
      <c r="A99" s="3" t="s">
        <v>202</v>
      </c>
      <c r="B99" s="55">
        <f>B94+B97</f>
        <v>0.14000000000000001</v>
      </c>
      <c r="C99" s="55">
        <f>C94+C97</f>
        <v>0.13913043478260873</v>
      </c>
      <c r="D99" s="55">
        <f>D94+D97</f>
        <v>-6.25E-2</v>
      </c>
      <c r="E99" s="55">
        <f>E94+E97</f>
        <v>-0.19999999999999998</v>
      </c>
      <c r="F99" s="55">
        <f>F94+F97</f>
        <v>-0.16666666666666666</v>
      </c>
    </row>
    <row r="101" spans="1:6" x14ac:dyDescent="0.15">
      <c r="B101" s="264"/>
      <c r="D101" s="3" t="s">
        <v>353</v>
      </c>
    </row>
    <row r="102" spans="1:6" ht="15" x14ac:dyDescent="0.15">
      <c r="A102" s="8" t="s">
        <v>160</v>
      </c>
      <c r="B102" s="264"/>
      <c r="D102" s="3" t="s">
        <v>353</v>
      </c>
    </row>
    <row r="104" spans="1:6" x14ac:dyDescent="0.15">
      <c r="A104" s="3" t="s">
        <v>1528</v>
      </c>
    </row>
    <row r="109" spans="1:6" x14ac:dyDescent="0.15">
      <c r="D109" s="3" t="s">
        <v>353</v>
      </c>
      <c r="E109" s="3" t="s">
        <v>353</v>
      </c>
    </row>
    <row r="110" spans="1:6" x14ac:dyDescent="0.15">
      <c r="D110" s="3" t="s">
        <v>353</v>
      </c>
      <c r="F110" s="3" t="s">
        <v>353</v>
      </c>
    </row>
    <row r="111" spans="1:6" x14ac:dyDescent="0.15">
      <c r="D111" s="3" t="s">
        <v>353</v>
      </c>
      <c r="F111" s="3" t="s">
        <v>353</v>
      </c>
    </row>
    <row r="112" spans="1:6" x14ac:dyDescent="0.15">
      <c r="D112" s="3" t="s">
        <v>353</v>
      </c>
      <c r="F112" s="55" t="s">
        <v>353</v>
      </c>
    </row>
  </sheetData>
  <phoneticPr fontId="4" type="noConversion"/>
  <pageMargins left="0.78740157480314965" right="0.78740157480314965" top="0.98425196850393704" bottom="0.98425196850393704" header="0.51181102362204722" footer="0.51181102362204722"/>
  <pageSetup paperSize="9" scale="69" fitToHeight="6" orientation="portrait" r:id="rId1"/>
  <headerFooter alignWithMargins="0">
    <oddFooter>&amp;C&amp;P / &amp;N&amp;R&amp;"Verdana,Italique"&amp;9&amp;D - &amp;T&amp;L&amp;"Calibri"&amp;11&amp;K000000&amp;"Verdana,Italique"&amp;9&amp;F - &amp;A_x000D_&amp;1#&amp;"Calibri"&amp;1&amp;KFFFFFFC1 - Public Natixis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O353"/>
  <sheetViews>
    <sheetView showGridLines="0" zoomScale="85" zoomScaleNormal="85" zoomScalePageLayoutView="85" workbookViewId="0">
      <selection activeCell="K5" sqref="K5"/>
    </sheetView>
  </sheetViews>
  <sheetFormatPr baseColWidth="10" defaultColWidth="9.1640625" defaultRowHeight="16" x14ac:dyDescent="0.15"/>
  <cols>
    <col min="1" max="1" width="9.1640625" style="401"/>
    <col min="2" max="2" width="55.83203125" style="401" customWidth="1"/>
    <col min="3" max="3" width="13.1640625" style="401" hidden="1" customWidth="1"/>
    <col min="4" max="4" width="14.5" style="401" hidden="1" customWidth="1"/>
    <col min="5" max="9" width="14.5" style="401" customWidth="1"/>
    <col min="10" max="10" width="11" style="401" customWidth="1"/>
    <col min="11" max="11" width="55.83203125" style="401" customWidth="1"/>
    <col min="12" max="13" width="8.83203125" style="401" hidden="1" customWidth="1"/>
    <col min="14" max="18" width="8.83203125" style="401" customWidth="1"/>
    <col min="19" max="252" width="9.1640625" style="401"/>
    <col min="253" max="253" width="55.83203125" style="401" customWidth="1"/>
    <col min="254" max="256" width="0" style="401" hidden="1" customWidth="1"/>
    <col min="257" max="260" width="14.5" style="401" customWidth="1"/>
    <col min="261" max="261" width="11.5" style="401" customWidth="1"/>
    <col min="262" max="262" width="11" style="401" customWidth="1"/>
    <col min="263" max="263" width="55.83203125" style="401" customWidth="1"/>
    <col min="264" max="264" width="0" style="401" hidden="1" customWidth="1"/>
    <col min="265" max="268" width="14.5" style="401" customWidth="1"/>
    <col min="269" max="508" width="9.1640625" style="401"/>
    <col min="509" max="509" width="55.83203125" style="401" customWidth="1"/>
    <col min="510" max="512" width="0" style="401" hidden="1" customWidth="1"/>
    <col min="513" max="516" width="14.5" style="401" customWidth="1"/>
    <col min="517" max="517" width="11.5" style="401" customWidth="1"/>
    <col min="518" max="518" width="11" style="401" customWidth="1"/>
    <col min="519" max="519" width="55.83203125" style="401" customWidth="1"/>
    <col min="520" max="520" width="0" style="401" hidden="1" customWidth="1"/>
    <col min="521" max="524" width="14.5" style="401" customWidth="1"/>
    <col min="525" max="764" width="9.1640625" style="401"/>
    <col min="765" max="765" width="55.83203125" style="401" customWidth="1"/>
    <col min="766" max="768" width="0" style="401" hidden="1" customWidth="1"/>
    <col min="769" max="772" width="14.5" style="401" customWidth="1"/>
    <col min="773" max="773" width="11.5" style="401" customWidth="1"/>
    <col min="774" max="774" width="11" style="401" customWidth="1"/>
    <col min="775" max="775" width="55.83203125" style="401" customWidth="1"/>
    <col min="776" max="776" width="0" style="401" hidden="1" customWidth="1"/>
    <col min="777" max="780" width="14.5" style="401" customWidth="1"/>
    <col min="781" max="1020" width="9.1640625" style="401"/>
    <col min="1021" max="1021" width="55.83203125" style="401" customWidth="1"/>
    <col min="1022" max="1024" width="0" style="401" hidden="1" customWidth="1"/>
    <col min="1025" max="1028" width="14.5" style="401" customWidth="1"/>
    <col min="1029" max="1029" width="11.5" style="401" customWidth="1"/>
    <col min="1030" max="1030" width="11" style="401" customWidth="1"/>
    <col min="1031" max="1031" width="55.83203125" style="401" customWidth="1"/>
    <col min="1032" max="1032" width="0" style="401" hidden="1" customWidth="1"/>
    <col min="1033" max="1036" width="14.5" style="401" customWidth="1"/>
    <col min="1037" max="1276" width="9.1640625" style="401"/>
    <col min="1277" max="1277" width="55.83203125" style="401" customWidth="1"/>
    <col min="1278" max="1280" width="0" style="401" hidden="1" customWidth="1"/>
    <col min="1281" max="1284" width="14.5" style="401" customWidth="1"/>
    <col min="1285" max="1285" width="11.5" style="401" customWidth="1"/>
    <col min="1286" max="1286" width="11" style="401" customWidth="1"/>
    <col min="1287" max="1287" width="55.83203125" style="401" customWidth="1"/>
    <col min="1288" max="1288" width="0" style="401" hidden="1" customWidth="1"/>
    <col min="1289" max="1292" width="14.5" style="401" customWidth="1"/>
    <col min="1293" max="1532" width="9.1640625" style="401"/>
    <col min="1533" max="1533" width="55.83203125" style="401" customWidth="1"/>
    <col min="1534" max="1536" width="0" style="401" hidden="1" customWidth="1"/>
    <col min="1537" max="1540" width="14.5" style="401" customWidth="1"/>
    <col min="1541" max="1541" width="11.5" style="401" customWidth="1"/>
    <col min="1542" max="1542" width="11" style="401" customWidth="1"/>
    <col min="1543" max="1543" width="55.83203125" style="401" customWidth="1"/>
    <col min="1544" max="1544" width="0" style="401" hidden="1" customWidth="1"/>
    <col min="1545" max="1548" width="14.5" style="401" customWidth="1"/>
    <col min="1549" max="1788" width="9.1640625" style="401"/>
    <col min="1789" max="1789" width="55.83203125" style="401" customWidth="1"/>
    <col min="1790" max="1792" width="0" style="401" hidden="1" customWidth="1"/>
    <col min="1793" max="1796" width="14.5" style="401" customWidth="1"/>
    <col min="1797" max="1797" width="11.5" style="401" customWidth="1"/>
    <col min="1798" max="1798" width="11" style="401" customWidth="1"/>
    <col min="1799" max="1799" width="55.83203125" style="401" customWidth="1"/>
    <col min="1800" max="1800" width="0" style="401" hidden="1" customWidth="1"/>
    <col min="1801" max="1804" width="14.5" style="401" customWidth="1"/>
    <col min="1805" max="2044" width="9.1640625" style="401"/>
    <col min="2045" max="2045" width="55.83203125" style="401" customWidth="1"/>
    <col min="2046" max="2048" width="0" style="401" hidden="1" customWidth="1"/>
    <col min="2049" max="2052" width="14.5" style="401" customWidth="1"/>
    <col min="2053" max="2053" width="11.5" style="401" customWidth="1"/>
    <col min="2054" max="2054" width="11" style="401" customWidth="1"/>
    <col min="2055" max="2055" width="55.83203125" style="401" customWidth="1"/>
    <col min="2056" max="2056" width="0" style="401" hidden="1" customWidth="1"/>
    <col min="2057" max="2060" width="14.5" style="401" customWidth="1"/>
    <col min="2061" max="2300" width="9.1640625" style="401"/>
    <col min="2301" max="2301" width="55.83203125" style="401" customWidth="1"/>
    <col min="2302" max="2304" width="0" style="401" hidden="1" customWidth="1"/>
    <col min="2305" max="2308" width="14.5" style="401" customWidth="1"/>
    <col min="2309" max="2309" width="11.5" style="401" customWidth="1"/>
    <col min="2310" max="2310" width="11" style="401" customWidth="1"/>
    <col min="2311" max="2311" width="55.83203125" style="401" customWidth="1"/>
    <col min="2312" max="2312" width="0" style="401" hidden="1" customWidth="1"/>
    <col min="2313" max="2316" width="14.5" style="401" customWidth="1"/>
    <col min="2317" max="2556" width="9.1640625" style="401"/>
    <col min="2557" max="2557" width="55.83203125" style="401" customWidth="1"/>
    <col min="2558" max="2560" width="0" style="401" hidden="1" customWidth="1"/>
    <col min="2561" max="2564" width="14.5" style="401" customWidth="1"/>
    <col min="2565" max="2565" width="11.5" style="401" customWidth="1"/>
    <col min="2566" max="2566" width="11" style="401" customWidth="1"/>
    <col min="2567" max="2567" width="55.83203125" style="401" customWidth="1"/>
    <col min="2568" max="2568" width="0" style="401" hidden="1" customWidth="1"/>
    <col min="2569" max="2572" width="14.5" style="401" customWidth="1"/>
    <col min="2573" max="2812" width="9.1640625" style="401"/>
    <col min="2813" max="2813" width="55.83203125" style="401" customWidth="1"/>
    <col min="2814" max="2816" width="0" style="401" hidden="1" customWidth="1"/>
    <col min="2817" max="2820" width="14.5" style="401" customWidth="1"/>
    <col min="2821" max="2821" width="11.5" style="401" customWidth="1"/>
    <col min="2822" max="2822" width="11" style="401" customWidth="1"/>
    <col min="2823" max="2823" width="55.83203125" style="401" customWidth="1"/>
    <col min="2824" max="2824" width="0" style="401" hidden="1" customWidth="1"/>
    <col min="2825" max="2828" width="14.5" style="401" customWidth="1"/>
    <col min="2829" max="3068" width="9.1640625" style="401"/>
    <col min="3069" max="3069" width="55.83203125" style="401" customWidth="1"/>
    <col min="3070" max="3072" width="0" style="401" hidden="1" customWidth="1"/>
    <col min="3073" max="3076" width="14.5" style="401" customWidth="1"/>
    <col min="3077" max="3077" width="11.5" style="401" customWidth="1"/>
    <col min="3078" max="3078" width="11" style="401" customWidth="1"/>
    <col min="3079" max="3079" width="55.83203125" style="401" customWidth="1"/>
    <col min="3080" max="3080" width="0" style="401" hidden="1" customWidth="1"/>
    <col min="3081" max="3084" width="14.5" style="401" customWidth="1"/>
    <col min="3085" max="3324" width="9.1640625" style="401"/>
    <col min="3325" max="3325" width="55.83203125" style="401" customWidth="1"/>
    <col min="3326" max="3328" width="0" style="401" hidden="1" customWidth="1"/>
    <col min="3329" max="3332" width="14.5" style="401" customWidth="1"/>
    <col min="3333" max="3333" width="11.5" style="401" customWidth="1"/>
    <col min="3334" max="3334" width="11" style="401" customWidth="1"/>
    <col min="3335" max="3335" width="55.83203125" style="401" customWidth="1"/>
    <col min="3336" max="3336" width="0" style="401" hidden="1" customWidth="1"/>
    <col min="3337" max="3340" width="14.5" style="401" customWidth="1"/>
    <col min="3341" max="3580" width="9.1640625" style="401"/>
    <col min="3581" max="3581" width="55.83203125" style="401" customWidth="1"/>
    <col min="3582" max="3584" width="0" style="401" hidden="1" customWidth="1"/>
    <col min="3585" max="3588" width="14.5" style="401" customWidth="1"/>
    <col min="3589" max="3589" width="11.5" style="401" customWidth="1"/>
    <col min="3590" max="3590" width="11" style="401" customWidth="1"/>
    <col min="3591" max="3591" width="55.83203125" style="401" customWidth="1"/>
    <col min="3592" max="3592" width="0" style="401" hidden="1" customWidth="1"/>
    <col min="3593" max="3596" width="14.5" style="401" customWidth="1"/>
    <col min="3597" max="3836" width="9.1640625" style="401"/>
    <col min="3837" max="3837" width="55.83203125" style="401" customWidth="1"/>
    <col min="3838" max="3840" width="0" style="401" hidden="1" customWidth="1"/>
    <col min="3841" max="3844" width="14.5" style="401" customWidth="1"/>
    <col min="3845" max="3845" width="11.5" style="401" customWidth="1"/>
    <col min="3846" max="3846" width="11" style="401" customWidth="1"/>
    <col min="3847" max="3847" width="55.83203125" style="401" customWidth="1"/>
    <col min="3848" max="3848" width="0" style="401" hidden="1" customWidth="1"/>
    <col min="3849" max="3852" width="14.5" style="401" customWidth="1"/>
    <col min="3853" max="4092" width="9.1640625" style="401"/>
    <col min="4093" max="4093" width="55.83203125" style="401" customWidth="1"/>
    <col min="4094" max="4096" width="0" style="401" hidden="1" customWidth="1"/>
    <col min="4097" max="4100" width="14.5" style="401" customWidth="1"/>
    <col min="4101" max="4101" width="11.5" style="401" customWidth="1"/>
    <col min="4102" max="4102" width="11" style="401" customWidth="1"/>
    <col min="4103" max="4103" width="55.83203125" style="401" customWidth="1"/>
    <col min="4104" max="4104" width="0" style="401" hidden="1" customWidth="1"/>
    <col min="4105" max="4108" width="14.5" style="401" customWidth="1"/>
    <col min="4109" max="4348" width="9.1640625" style="401"/>
    <col min="4349" max="4349" width="55.83203125" style="401" customWidth="1"/>
    <col min="4350" max="4352" width="0" style="401" hidden="1" customWidth="1"/>
    <col min="4353" max="4356" width="14.5" style="401" customWidth="1"/>
    <col min="4357" max="4357" width="11.5" style="401" customWidth="1"/>
    <col min="4358" max="4358" width="11" style="401" customWidth="1"/>
    <col min="4359" max="4359" width="55.83203125" style="401" customWidth="1"/>
    <col min="4360" max="4360" width="0" style="401" hidden="1" customWidth="1"/>
    <col min="4361" max="4364" width="14.5" style="401" customWidth="1"/>
    <col min="4365" max="4604" width="9.1640625" style="401"/>
    <col min="4605" max="4605" width="55.83203125" style="401" customWidth="1"/>
    <col min="4606" max="4608" width="0" style="401" hidden="1" customWidth="1"/>
    <col min="4609" max="4612" width="14.5" style="401" customWidth="1"/>
    <col min="4613" max="4613" width="11.5" style="401" customWidth="1"/>
    <col min="4614" max="4614" width="11" style="401" customWidth="1"/>
    <col min="4615" max="4615" width="55.83203125" style="401" customWidth="1"/>
    <col min="4616" max="4616" width="0" style="401" hidden="1" customWidth="1"/>
    <col min="4617" max="4620" width="14.5" style="401" customWidth="1"/>
    <col min="4621" max="4860" width="9.1640625" style="401"/>
    <col min="4861" max="4861" width="55.83203125" style="401" customWidth="1"/>
    <col min="4862" max="4864" width="0" style="401" hidden="1" customWidth="1"/>
    <col min="4865" max="4868" width="14.5" style="401" customWidth="1"/>
    <col min="4869" max="4869" width="11.5" style="401" customWidth="1"/>
    <col min="4870" max="4870" width="11" style="401" customWidth="1"/>
    <col min="4871" max="4871" width="55.83203125" style="401" customWidth="1"/>
    <col min="4872" max="4872" width="0" style="401" hidden="1" customWidth="1"/>
    <col min="4873" max="4876" width="14.5" style="401" customWidth="1"/>
    <col min="4877" max="5116" width="9.1640625" style="401"/>
    <col min="5117" max="5117" width="55.83203125" style="401" customWidth="1"/>
    <col min="5118" max="5120" width="0" style="401" hidden="1" customWidth="1"/>
    <col min="5121" max="5124" width="14.5" style="401" customWidth="1"/>
    <col min="5125" max="5125" width="11.5" style="401" customWidth="1"/>
    <col min="5126" max="5126" width="11" style="401" customWidth="1"/>
    <col min="5127" max="5127" width="55.83203125" style="401" customWidth="1"/>
    <col min="5128" max="5128" width="0" style="401" hidden="1" customWidth="1"/>
    <col min="5129" max="5132" width="14.5" style="401" customWidth="1"/>
    <col min="5133" max="5372" width="9.1640625" style="401"/>
    <col min="5373" max="5373" width="55.83203125" style="401" customWidth="1"/>
    <col min="5374" max="5376" width="0" style="401" hidden="1" customWidth="1"/>
    <col min="5377" max="5380" width="14.5" style="401" customWidth="1"/>
    <col min="5381" max="5381" width="11.5" style="401" customWidth="1"/>
    <col min="5382" max="5382" width="11" style="401" customWidth="1"/>
    <col min="5383" max="5383" width="55.83203125" style="401" customWidth="1"/>
    <col min="5384" max="5384" width="0" style="401" hidden="1" customWidth="1"/>
    <col min="5385" max="5388" width="14.5" style="401" customWidth="1"/>
    <col min="5389" max="5628" width="9.1640625" style="401"/>
    <col min="5629" max="5629" width="55.83203125" style="401" customWidth="1"/>
    <col min="5630" max="5632" width="0" style="401" hidden="1" customWidth="1"/>
    <col min="5633" max="5636" width="14.5" style="401" customWidth="1"/>
    <col min="5637" max="5637" width="11.5" style="401" customWidth="1"/>
    <col min="5638" max="5638" width="11" style="401" customWidth="1"/>
    <col min="5639" max="5639" width="55.83203125" style="401" customWidth="1"/>
    <col min="5640" max="5640" width="0" style="401" hidden="1" customWidth="1"/>
    <col min="5641" max="5644" width="14.5" style="401" customWidth="1"/>
    <col min="5645" max="5884" width="9.1640625" style="401"/>
    <col min="5885" max="5885" width="55.83203125" style="401" customWidth="1"/>
    <col min="5886" max="5888" width="0" style="401" hidden="1" customWidth="1"/>
    <col min="5889" max="5892" width="14.5" style="401" customWidth="1"/>
    <col min="5893" max="5893" width="11.5" style="401" customWidth="1"/>
    <col min="5894" max="5894" width="11" style="401" customWidth="1"/>
    <col min="5895" max="5895" width="55.83203125" style="401" customWidth="1"/>
    <col min="5896" max="5896" width="0" style="401" hidden="1" customWidth="1"/>
    <col min="5897" max="5900" width="14.5" style="401" customWidth="1"/>
    <col min="5901" max="6140" width="9.1640625" style="401"/>
    <col min="6141" max="6141" width="55.83203125" style="401" customWidth="1"/>
    <col min="6142" max="6144" width="0" style="401" hidden="1" customWidth="1"/>
    <col min="6145" max="6148" width="14.5" style="401" customWidth="1"/>
    <col min="6149" max="6149" width="11.5" style="401" customWidth="1"/>
    <col min="6150" max="6150" width="11" style="401" customWidth="1"/>
    <col min="6151" max="6151" width="55.83203125" style="401" customWidth="1"/>
    <col min="6152" max="6152" width="0" style="401" hidden="1" customWidth="1"/>
    <col min="6153" max="6156" width="14.5" style="401" customWidth="1"/>
    <col min="6157" max="6396" width="9.1640625" style="401"/>
    <col min="6397" max="6397" width="55.83203125" style="401" customWidth="1"/>
    <col min="6398" max="6400" width="0" style="401" hidden="1" customWidth="1"/>
    <col min="6401" max="6404" width="14.5" style="401" customWidth="1"/>
    <col min="6405" max="6405" width="11.5" style="401" customWidth="1"/>
    <col min="6406" max="6406" width="11" style="401" customWidth="1"/>
    <col min="6407" max="6407" width="55.83203125" style="401" customWidth="1"/>
    <col min="6408" max="6408" width="0" style="401" hidden="1" customWidth="1"/>
    <col min="6409" max="6412" width="14.5" style="401" customWidth="1"/>
    <col min="6413" max="6652" width="9.1640625" style="401"/>
    <col min="6653" max="6653" width="55.83203125" style="401" customWidth="1"/>
    <col min="6654" max="6656" width="0" style="401" hidden="1" customWidth="1"/>
    <col min="6657" max="6660" width="14.5" style="401" customWidth="1"/>
    <col min="6661" max="6661" width="11.5" style="401" customWidth="1"/>
    <col min="6662" max="6662" width="11" style="401" customWidth="1"/>
    <col min="6663" max="6663" width="55.83203125" style="401" customWidth="1"/>
    <col min="6664" max="6664" width="0" style="401" hidden="1" customWidth="1"/>
    <col min="6665" max="6668" width="14.5" style="401" customWidth="1"/>
    <col min="6669" max="6908" width="9.1640625" style="401"/>
    <col min="6909" max="6909" width="55.83203125" style="401" customWidth="1"/>
    <col min="6910" max="6912" width="0" style="401" hidden="1" customWidth="1"/>
    <col min="6913" max="6916" width="14.5" style="401" customWidth="1"/>
    <col min="6917" max="6917" width="11.5" style="401" customWidth="1"/>
    <col min="6918" max="6918" width="11" style="401" customWidth="1"/>
    <col min="6919" max="6919" width="55.83203125" style="401" customWidth="1"/>
    <col min="6920" max="6920" width="0" style="401" hidden="1" customWidth="1"/>
    <col min="6921" max="6924" width="14.5" style="401" customWidth="1"/>
    <col min="6925" max="7164" width="9.1640625" style="401"/>
    <col min="7165" max="7165" width="55.83203125" style="401" customWidth="1"/>
    <col min="7166" max="7168" width="0" style="401" hidden="1" customWidth="1"/>
    <col min="7169" max="7172" width="14.5" style="401" customWidth="1"/>
    <col min="7173" max="7173" width="11.5" style="401" customWidth="1"/>
    <col min="7174" max="7174" width="11" style="401" customWidth="1"/>
    <col min="7175" max="7175" width="55.83203125" style="401" customWidth="1"/>
    <col min="7176" max="7176" width="0" style="401" hidden="1" customWidth="1"/>
    <col min="7177" max="7180" width="14.5" style="401" customWidth="1"/>
    <col min="7181" max="7420" width="9.1640625" style="401"/>
    <col min="7421" max="7421" width="55.83203125" style="401" customWidth="1"/>
    <col min="7422" max="7424" width="0" style="401" hidden="1" customWidth="1"/>
    <col min="7425" max="7428" width="14.5" style="401" customWidth="1"/>
    <col min="7429" max="7429" width="11.5" style="401" customWidth="1"/>
    <col min="7430" max="7430" width="11" style="401" customWidth="1"/>
    <col min="7431" max="7431" width="55.83203125" style="401" customWidth="1"/>
    <col min="7432" max="7432" width="0" style="401" hidden="1" customWidth="1"/>
    <col min="7433" max="7436" width="14.5" style="401" customWidth="1"/>
    <col min="7437" max="7676" width="9.1640625" style="401"/>
    <col min="7677" max="7677" width="55.83203125" style="401" customWidth="1"/>
    <col min="7678" max="7680" width="0" style="401" hidden="1" customWidth="1"/>
    <col min="7681" max="7684" width="14.5" style="401" customWidth="1"/>
    <col min="7685" max="7685" width="11.5" style="401" customWidth="1"/>
    <col min="7686" max="7686" width="11" style="401" customWidth="1"/>
    <col min="7687" max="7687" width="55.83203125" style="401" customWidth="1"/>
    <col min="7688" max="7688" width="0" style="401" hidden="1" customWidth="1"/>
    <col min="7689" max="7692" width="14.5" style="401" customWidth="1"/>
    <col min="7693" max="7932" width="9.1640625" style="401"/>
    <col min="7933" max="7933" width="55.83203125" style="401" customWidth="1"/>
    <col min="7934" max="7936" width="0" style="401" hidden="1" customWidth="1"/>
    <col min="7937" max="7940" width="14.5" style="401" customWidth="1"/>
    <col min="7941" max="7941" width="11.5" style="401" customWidth="1"/>
    <col min="7942" max="7942" width="11" style="401" customWidth="1"/>
    <col min="7943" max="7943" width="55.83203125" style="401" customWidth="1"/>
    <col min="7944" max="7944" width="0" style="401" hidden="1" customWidth="1"/>
    <col min="7945" max="7948" width="14.5" style="401" customWidth="1"/>
    <col min="7949" max="8188" width="9.1640625" style="401"/>
    <col min="8189" max="8189" width="55.83203125" style="401" customWidth="1"/>
    <col min="8190" max="8192" width="0" style="401" hidden="1" customWidth="1"/>
    <col min="8193" max="8196" width="14.5" style="401" customWidth="1"/>
    <col min="8197" max="8197" width="11.5" style="401" customWidth="1"/>
    <col min="8198" max="8198" width="11" style="401" customWidth="1"/>
    <col min="8199" max="8199" width="55.83203125" style="401" customWidth="1"/>
    <col min="8200" max="8200" width="0" style="401" hidden="1" customWidth="1"/>
    <col min="8201" max="8204" width="14.5" style="401" customWidth="1"/>
    <col min="8205" max="8444" width="9.1640625" style="401"/>
    <col min="8445" max="8445" width="55.83203125" style="401" customWidth="1"/>
    <col min="8446" max="8448" width="0" style="401" hidden="1" customWidth="1"/>
    <col min="8449" max="8452" width="14.5" style="401" customWidth="1"/>
    <col min="8453" max="8453" width="11.5" style="401" customWidth="1"/>
    <col min="8454" max="8454" width="11" style="401" customWidth="1"/>
    <col min="8455" max="8455" width="55.83203125" style="401" customWidth="1"/>
    <col min="8456" max="8456" width="0" style="401" hidden="1" customWidth="1"/>
    <col min="8457" max="8460" width="14.5" style="401" customWidth="1"/>
    <col min="8461" max="8700" width="9.1640625" style="401"/>
    <col min="8701" max="8701" width="55.83203125" style="401" customWidth="1"/>
    <col min="8702" max="8704" width="0" style="401" hidden="1" customWidth="1"/>
    <col min="8705" max="8708" width="14.5" style="401" customWidth="1"/>
    <col min="8709" max="8709" width="11.5" style="401" customWidth="1"/>
    <col min="8710" max="8710" width="11" style="401" customWidth="1"/>
    <col min="8711" max="8711" width="55.83203125" style="401" customWidth="1"/>
    <col min="8712" max="8712" width="0" style="401" hidden="1" customWidth="1"/>
    <col min="8713" max="8716" width="14.5" style="401" customWidth="1"/>
    <col min="8717" max="8956" width="9.1640625" style="401"/>
    <col min="8957" max="8957" width="55.83203125" style="401" customWidth="1"/>
    <col min="8958" max="8960" width="0" style="401" hidden="1" customWidth="1"/>
    <col min="8961" max="8964" width="14.5" style="401" customWidth="1"/>
    <col min="8965" max="8965" width="11.5" style="401" customWidth="1"/>
    <col min="8966" max="8966" width="11" style="401" customWidth="1"/>
    <col min="8967" max="8967" width="55.83203125" style="401" customWidth="1"/>
    <col min="8968" max="8968" width="0" style="401" hidden="1" customWidth="1"/>
    <col min="8969" max="8972" width="14.5" style="401" customWidth="1"/>
    <col min="8973" max="9212" width="9.1640625" style="401"/>
    <col min="9213" max="9213" width="55.83203125" style="401" customWidth="1"/>
    <col min="9214" max="9216" width="0" style="401" hidden="1" customWidth="1"/>
    <col min="9217" max="9220" width="14.5" style="401" customWidth="1"/>
    <col min="9221" max="9221" width="11.5" style="401" customWidth="1"/>
    <col min="9222" max="9222" width="11" style="401" customWidth="1"/>
    <col min="9223" max="9223" width="55.83203125" style="401" customWidth="1"/>
    <col min="9224" max="9224" width="0" style="401" hidden="1" customWidth="1"/>
    <col min="9225" max="9228" width="14.5" style="401" customWidth="1"/>
    <col min="9229" max="9468" width="9.1640625" style="401"/>
    <col min="9469" max="9469" width="55.83203125" style="401" customWidth="1"/>
    <col min="9470" max="9472" width="0" style="401" hidden="1" customWidth="1"/>
    <col min="9473" max="9476" width="14.5" style="401" customWidth="1"/>
    <col min="9477" max="9477" width="11.5" style="401" customWidth="1"/>
    <col min="9478" max="9478" width="11" style="401" customWidth="1"/>
    <col min="9479" max="9479" width="55.83203125" style="401" customWidth="1"/>
    <col min="9480" max="9480" width="0" style="401" hidden="1" customWidth="1"/>
    <col min="9481" max="9484" width="14.5" style="401" customWidth="1"/>
    <col min="9485" max="9724" width="9.1640625" style="401"/>
    <col min="9725" max="9725" width="55.83203125" style="401" customWidth="1"/>
    <col min="9726" max="9728" width="0" style="401" hidden="1" customWidth="1"/>
    <col min="9729" max="9732" width="14.5" style="401" customWidth="1"/>
    <col min="9733" max="9733" width="11.5" style="401" customWidth="1"/>
    <col min="9734" max="9734" width="11" style="401" customWidth="1"/>
    <col min="9735" max="9735" width="55.83203125" style="401" customWidth="1"/>
    <col min="9736" max="9736" width="0" style="401" hidden="1" customWidth="1"/>
    <col min="9737" max="9740" width="14.5" style="401" customWidth="1"/>
    <col min="9741" max="9980" width="9.1640625" style="401"/>
    <col min="9981" max="9981" width="55.83203125" style="401" customWidth="1"/>
    <col min="9982" max="9984" width="0" style="401" hidden="1" customWidth="1"/>
    <col min="9985" max="9988" width="14.5" style="401" customWidth="1"/>
    <col min="9989" max="9989" width="11.5" style="401" customWidth="1"/>
    <col min="9990" max="9990" width="11" style="401" customWidth="1"/>
    <col min="9991" max="9991" width="55.83203125" style="401" customWidth="1"/>
    <col min="9992" max="9992" width="0" style="401" hidden="1" customWidth="1"/>
    <col min="9993" max="9996" width="14.5" style="401" customWidth="1"/>
    <col min="9997" max="10236" width="9.1640625" style="401"/>
    <col min="10237" max="10237" width="55.83203125" style="401" customWidth="1"/>
    <col min="10238" max="10240" width="0" style="401" hidden="1" customWidth="1"/>
    <col min="10241" max="10244" width="14.5" style="401" customWidth="1"/>
    <col min="10245" max="10245" width="11.5" style="401" customWidth="1"/>
    <col min="10246" max="10246" width="11" style="401" customWidth="1"/>
    <col min="10247" max="10247" width="55.83203125" style="401" customWidth="1"/>
    <col min="10248" max="10248" width="0" style="401" hidden="1" customWidth="1"/>
    <col min="10249" max="10252" width="14.5" style="401" customWidth="1"/>
    <col min="10253" max="10492" width="9.1640625" style="401"/>
    <col min="10493" max="10493" width="55.83203125" style="401" customWidth="1"/>
    <col min="10494" max="10496" width="0" style="401" hidden="1" customWidth="1"/>
    <col min="10497" max="10500" width="14.5" style="401" customWidth="1"/>
    <col min="10501" max="10501" width="11.5" style="401" customWidth="1"/>
    <col min="10502" max="10502" width="11" style="401" customWidth="1"/>
    <col min="10503" max="10503" width="55.83203125" style="401" customWidth="1"/>
    <col min="10504" max="10504" width="0" style="401" hidden="1" customWidth="1"/>
    <col min="10505" max="10508" width="14.5" style="401" customWidth="1"/>
    <col min="10509" max="10748" width="9.1640625" style="401"/>
    <col min="10749" max="10749" width="55.83203125" style="401" customWidth="1"/>
    <col min="10750" max="10752" width="0" style="401" hidden="1" customWidth="1"/>
    <col min="10753" max="10756" width="14.5" style="401" customWidth="1"/>
    <col min="10757" max="10757" width="11.5" style="401" customWidth="1"/>
    <col min="10758" max="10758" width="11" style="401" customWidth="1"/>
    <col min="10759" max="10759" width="55.83203125" style="401" customWidth="1"/>
    <col min="10760" max="10760" width="0" style="401" hidden="1" customWidth="1"/>
    <col min="10761" max="10764" width="14.5" style="401" customWidth="1"/>
    <col min="10765" max="11004" width="9.1640625" style="401"/>
    <col min="11005" max="11005" width="55.83203125" style="401" customWidth="1"/>
    <col min="11006" max="11008" width="0" style="401" hidden="1" customWidth="1"/>
    <col min="11009" max="11012" width="14.5" style="401" customWidth="1"/>
    <col min="11013" max="11013" width="11.5" style="401" customWidth="1"/>
    <col min="11014" max="11014" width="11" style="401" customWidth="1"/>
    <col min="11015" max="11015" width="55.83203125" style="401" customWidth="1"/>
    <col min="11016" max="11016" width="0" style="401" hidden="1" customWidth="1"/>
    <col min="11017" max="11020" width="14.5" style="401" customWidth="1"/>
    <col min="11021" max="11260" width="9.1640625" style="401"/>
    <col min="11261" max="11261" width="55.83203125" style="401" customWidth="1"/>
    <col min="11262" max="11264" width="0" style="401" hidden="1" customWidth="1"/>
    <col min="11265" max="11268" width="14.5" style="401" customWidth="1"/>
    <col min="11269" max="11269" width="11.5" style="401" customWidth="1"/>
    <col min="11270" max="11270" width="11" style="401" customWidth="1"/>
    <col min="11271" max="11271" width="55.83203125" style="401" customWidth="1"/>
    <col min="11272" max="11272" width="0" style="401" hidden="1" customWidth="1"/>
    <col min="11273" max="11276" width="14.5" style="401" customWidth="1"/>
    <col min="11277" max="11516" width="9.1640625" style="401"/>
    <col min="11517" max="11517" width="55.83203125" style="401" customWidth="1"/>
    <col min="11518" max="11520" width="0" style="401" hidden="1" customWidth="1"/>
    <col min="11521" max="11524" width="14.5" style="401" customWidth="1"/>
    <col min="11525" max="11525" width="11.5" style="401" customWidth="1"/>
    <col min="11526" max="11526" width="11" style="401" customWidth="1"/>
    <col min="11527" max="11527" width="55.83203125" style="401" customWidth="1"/>
    <col min="11528" max="11528" width="0" style="401" hidden="1" customWidth="1"/>
    <col min="11529" max="11532" width="14.5" style="401" customWidth="1"/>
    <col min="11533" max="11772" width="9.1640625" style="401"/>
    <col min="11773" max="11773" width="55.83203125" style="401" customWidth="1"/>
    <col min="11774" max="11776" width="0" style="401" hidden="1" customWidth="1"/>
    <col min="11777" max="11780" width="14.5" style="401" customWidth="1"/>
    <col min="11781" max="11781" width="11.5" style="401" customWidth="1"/>
    <col min="11782" max="11782" width="11" style="401" customWidth="1"/>
    <col min="11783" max="11783" width="55.83203125" style="401" customWidth="1"/>
    <col min="11784" max="11784" width="0" style="401" hidden="1" customWidth="1"/>
    <col min="11785" max="11788" width="14.5" style="401" customWidth="1"/>
    <col min="11789" max="12028" width="9.1640625" style="401"/>
    <col min="12029" max="12029" width="55.83203125" style="401" customWidth="1"/>
    <col min="12030" max="12032" width="0" style="401" hidden="1" customWidth="1"/>
    <col min="12033" max="12036" width="14.5" style="401" customWidth="1"/>
    <col min="12037" max="12037" width="11.5" style="401" customWidth="1"/>
    <col min="12038" max="12038" width="11" style="401" customWidth="1"/>
    <col min="12039" max="12039" width="55.83203125" style="401" customWidth="1"/>
    <col min="12040" max="12040" width="0" style="401" hidden="1" customWidth="1"/>
    <col min="12041" max="12044" width="14.5" style="401" customWidth="1"/>
    <col min="12045" max="12284" width="9.1640625" style="401"/>
    <col min="12285" max="12285" width="55.83203125" style="401" customWidth="1"/>
    <col min="12286" max="12288" width="0" style="401" hidden="1" customWidth="1"/>
    <col min="12289" max="12292" width="14.5" style="401" customWidth="1"/>
    <col min="12293" max="12293" width="11.5" style="401" customWidth="1"/>
    <col min="12294" max="12294" width="11" style="401" customWidth="1"/>
    <col min="12295" max="12295" width="55.83203125" style="401" customWidth="1"/>
    <col min="12296" max="12296" width="0" style="401" hidden="1" customWidth="1"/>
    <col min="12297" max="12300" width="14.5" style="401" customWidth="1"/>
    <col min="12301" max="12540" width="9.1640625" style="401"/>
    <col min="12541" max="12541" width="55.83203125" style="401" customWidth="1"/>
    <col min="12542" max="12544" width="0" style="401" hidden="1" customWidth="1"/>
    <col min="12545" max="12548" width="14.5" style="401" customWidth="1"/>
    <col min="12549" max="12549" width="11.5" style="401" customWidth="1"/>
    <col min="12550" max="12550" width="11" style="401" customWidth="1"/>
    <col min="12551" max="12551" width="55.83203125" style="401" customWidth="1"/>
    <col min="12552" max="12552" width="0" style="401" hidden="1" customWidth="1"/>
    <col min="12553" max="12556" width="14.5" style="401" customWidth="1"/>
    <col min="12557" max="12796" width="9.1640625" style="401"/>
    <col min="12797" max="12797" width="55.83203125" style="401" customWidth="1"/>
    <col min="12798" max="12800" width="0" style="401" hidden="1" customWidth="1"/>
    <col min="12801" max="12804" width="14.5" style="401" customWidth="1"/>
    <col min="12805" max="12805" width="11.5" style="401" customWidth="1"/>
    <col min="12806" max="12806" width="11" style="401" customWidth="1"/>
    <col min="12807" max="12807" width="55.83203125" style="401" customWidth="1"/>
    <col min="12808" max="12808" width="0" style="401" hidden="1" customWidth="1"/>
    <col min="12809" max="12812" width="14.5" style="401" customWidth="1"/>
    <col min="12813" max="13052" width="9.1640625" style="401"/>
    <col min="13053" max="13053" width="55.83203125" style="401" customWidth="1"/>
    <col min="13054" max="13056" width="0" style="401" hidden="1" customWidth="1"/>
    <col min="13057" max="13060" width="14.5" style="401" customWidth="1"/>
    <col min="13061" max="13061" width="11.5" style="401" customWidth="1"/>
    <col min="13062" max="13062" width="11" style="401" customWidth="1"/>
    <col min="13063" max="13063" width="55.83203125" style="401" customWidth="1"/>
    <col min="13064" max="13064" width="0" style="401" hidden="1" customWidth="1"/>
    <col min="13065" max="13068" width="14.5" style="401" customWidth="1"/>
    <col min="13069" max="13308" width="9.1640625" style="401"/>
    <col min="13309" max="13309" width="55.83203125" style="401" customWidth="1"/>
    <col min="13310" max="13312" width="0" style="401" hidden="1" customWidth="1"/>
    <col min="13313" max="13316" width="14.5" style="401" customWidth="1"/>
    <col min="13317" max="13317" width="11.5" style="401" customWidth="1"/>
    <col min="13318" max="13318" width="11" style="401" customWidth="1"/>
    <col min="13319" max="13319" width="55.83203125" style="401" customWidth="1"/>
    <col min="13320" max="13320" width="0" style="401" hidden="1" customWidth="1"/>
    <col min="13321" max="13324" width="14.5" style="401" customWidth="1"/>
    <col min="13325" max="13564" width="9.1640625" style="401"/>
    <col min="13565" max="13565" width="55.83203125" style="401" customWidth="1"/>
    <col min="13566" max="13568" width="0" style="401" hidden="1" customWidth="1"/>
    <col min="13569" max="13572" width="14.5" style="401" customWidth="1"/>
    <col min="13573" max="13573" width="11.5" style="401" customWidth="1"/>
    <col min="13574" max="13574" width="11" style="401" customWidth="1"/>
    <col min="13575" max="13575" width="55.83203125" style="401" customWidth="1"/>
    <col min="13576" max="13576" width="0" style="401" hidden="1" customWidth="1"/>
    <col min="13577" max="13580" width="14.5" style="401" customWidth="1"/>
    <col min="13581" max="13820" width="9.1640625" style="401"/>
    <col min="13821" max="13821" width="55.83203125" style="401" customWidth="1"/>
    <col min="13822" max="13824" width="0" style="401" hidden="1" customWidth="1"/>
    <col min="13825" max="13828" width="14.5" style="401" customWidth="1"/>
    <col min="13829" max="13829" width="11.5" style="401" customWidth="1"/>
    <col min="13830" max="13830" width="11" style="401" customWidth="1"/>
    <col min="13831" max="13831" width="55.83203125" style="401" customWidth="1"/>
    <col min="13832" max="13832" width="0" style="401" hidden="1" customWidth="1"/>
    <col min="13833" max="13836" width="14.5" style="401" customWidth="1"/>
    <col min="13837" max="14076" width="9.1640625" style="401"/>
    <col min="14077" max="14077" width="55.83203125" style="401" customWidth="1"/>
    <col min="14078" max="14080" width="0" style="401" hidden="1" customWidth="1"/>
    <col min="14081" max="14084" width="14.5" style="401" customWidth="1"/>
    <col min="14085" max="14085" width="11.5" style="401" customWidth="1"/>
    <col min="14086" max="14086" width="11" style="401" customWidth="1"/>
    <col min="14087" max="14087" width="55.83203125" style="401" customWidth="1"/>
    <col min="14088" max="14088" width="0" style="401" hidden="1" customWidth="1"/>
    <col min="14089" max="14092" width="14.5" style="401" customWidth="1"/>
    <col min="14093" max="14332" width="9.1640625" style="401"/>
    <col min="14333" max="14333" width="55.83203125" style="401" customWidth="1"/>
    <col min="14334" max="14336" width="0" style="401" hidden="1" customWidth="1"/>
    <col min="14337" max="14340" width="14.5" style="401" customWidth="1"/>
    <col min="14341" max="14341" width="11.5" style="401" customWidth="1"/>
    <col min="14342" max="14342" width="11" style="401" customWidth="1"/>
    <col min="14343" max="14343" width="55.83203125" style="401" customWidth="1"/>
    <col min="14344" max="14344" width="0" style="401" hidden="1" customWidth="1"/>
    <col min="14345" max="14348" width="14.5" style="401" customWidth="1"/>
    <col min="14349" max="14588" width="9.1640625" style="401"/>
    <col min="14589" max="14589" width="55.83203125" style="401" customWidth="1"/>
    <col min="14590" max="14592" width="0" style="401" hidden="1" customWidth="1"/>
    <col min="14593" max="14596" width="14.5" style="401" customWidth="1"/>
    <col min="14597" max="14597" width="11.5" style="401" customWidth="1"/>
    <col min="14598" max="14598" width="11" style="401" customWidth="1"/>
    <col min="14599" max="14599" width="55.83203125" style="401" customWidth="1"/>
    <col min="14600" max="14600" width="0" style="401" hidden="1" customWidth="1"/>
    <col min="14601" max="14604" width="14.5" style="401" customWidth="1"/>
    <col min="14605" max="14844" width="9.1640625" style="401"/>
    <col min="14845" max="14845" width="55.83203125" style="401" customWidth="1"/>
    <col min="14846" max="14848" width="0" style="401" hidden="1" customWidth="1"/>
    <col min="14849" max="14852" width="14.5" style="401" customWidth="1"/>
    <col min="14853" max="14853" width="11.5" style="401" customWidth="1"/>
    <col min="14854" max="14854" width="11" style="401" customWidth="1"/>
    <col min="14855" max="14855" width="55.83203125" style="401" customWidth="1"/>
    <col min="14856" max="14856" width="0" style="401" hidden="1" customWidth="1"/>
    <col min="14857" max="14860" width="14.5" style="401" customWidth="1"/>
    <col min="14861" max="15100" width="9.1640625" style="401"/>
    <col min="15101" max="15101" width="55.83203125" style="401" customWidth="1"/>
    <col min="15102" max="15104" width="0" style="401" hidden="1" customWidth="1"/>
    <col min="15105" max="15108" width="14.5" style="401" customWidth="1"/>
    <col min="15109" max="15109" width="11.5" style="401" customWidth="1"/>
    <col min="15110" max="15110" width="11" style="401" customWidth="1"/>
    <col min="15111" max="15111" width="55.83203125" style="401" customWidth="1"/>
    <col min="15112" max="15112" width="0" style="401" hidden="1" customWidth="1"/>
    <col min="15113" max="15116" width="14.5" style="401" customWidth="1"/>
    <col min="15117" max="15356" width="9.1640625" style="401"/>
    <col min="15357" max="15357" width="55.83203125" style="401" customWidth="1"/>
    <col min="15358" max="15360" width="0" style="401" hidden="1" customWidth="1"/>
    <col min="15361" max="15364" width="14.5" style="401" customWidth="1"/>
    <col min="15365" max="15365" width="11.5" style="401" customWidth="1"/>
    <col min="15366" max="15366" width="11" style="401" customWidth="1"/>
    <col min="15367" max="15367" width="55.83203125" style="401" customWidth="1"/>
    <col min="15368" max="15368" width="0" style="401" hidden="1" customWidth="1"/>
    <col min="15369" max="15372" width="14.5" style="401" customWidth="1"/>
    <col min="15373" max="15612" width="9.1640625" style="401"/>
    <col min="15613" max="15613" width="55.83203125" style="401" customWidth="1"/>
    <col min="15614" max="15616" width="0" style="401" hidden="1" customWidth="1"/>
    <col min="15617" max="15620" width="14.5" style="401" customWidth="1"/>
    <col min="15621" max="15621" width="11.5" style="401" customWidth="1"/>
    <col min="15622" max="15622" width="11" style="401" customWidth="1"/>
    <col min="15623" max="15623" width="55.83203125" style="401" customWidth="1"/>
    <col min="15624" max="15624" width="0" style="401" hidden="1" customWidth="1"/>
    <col min="15625" max="15628" width="14.5" style="401" customWidth="1"/>
    <col min="15629" max="15868" width="9.1640625" style="401"/>
    <col min="15869" max="15869" width="55.83203125" style="401" customWidth="1"/>
    <col min="15870" max="15872" width="0" style="401" hidden="1" customWidth="1"/>
    <col min="15873" max="15876" width="14.5" style="401" customWidth="1"/>
    <col min="15877" max="15877" width="11.5" style="401" customWidth="1"/>
    <col min="15878" max="15878" width="11" style="401" customWidth="1"/>
    <col min="15879" max="15879" width="55.83203125" style="401" customWidth="1"/>
    <col min="15880" max="15880" width="0" style="401" hidden="1" customWidth="1"/>
    <col min="15881" max="15884" width="14.5" style="401" customWidth="1"/>
    <col min="15885" max="16124" width="9.1640625" style="401"/>
    <col min="16125" max="16125" width="55.83203125" style="401" customWidth="1"/>
    <col min="16126" max="16128" width="0" style="401" hidden="1" customWidth="1"/>
    <col min="16129" max="16132" width="14.5" style="401" customWidth="1"/>
    <col min="16133" max="16133" width="11.5" style="401" customWidth="1"/>
    <col min="16134" max="16134" width="11" style="401" customWidth="1"/>
    <col min="16135" max="16135" width="55.83203125" style="401" customWidth="1"/>
    <col min="16136" max="16136" width="0" style="401" hidden="1" customWidth="1"/>
    <col min="16137" max="16140" width="14.5" style="401" customWidth="1"/>
    <col min="16141" max="16384" width="9.1640625" style="401"/>
  </cols>
  <sheetData>
    <row r="1" spans="1:18" ht="23.25" customHeight="1" x14ac:dyDescent="0.15">
      <c r="A1" s="400"/>
    </row>
    <row r="2" spans="1:18" ht="24.75" customHeight="1" x14ac:dyDescent="0.15">
      <c r="B2" s="402" t="s">
        <v>1682</v>
      </c>
      <c r="C2" s="403"/>
      <c r="D2" s="403"/>
    </row>
    <row r="3" spans="1:18" ht="23.25" customHeight="1" x14ac:dyDescent="0.15"/>
    <row r="4" spans="1:18" s="404" customFormat="1" ht="23.25" customHeight="1" x14ac:dyDescent="0.15">
      <c r="B4" s="404" t="s">
        <v>1221</v>
      </c>
      <c r="K4" s="404" t="s">
        <v>1547</v>
      </c>
    </row>
    <row r="5" spans="1:18" s="404" customFormat="1" ht="11.5" customHeight="1" x14ac:dyDescent="0.15"/>
    <row r="6" spans="1:18" ht="8.25" customHeight="1" x14ac:dyDescent="0.15"/>
    <row r="7" spans="1:18" s="404" customFormat="1" ht="23.25" customHeight="1" x14ac:dyDescent="0.15">
      <c r="B7" s="447" t="s">
        <v>1709</v>
      </c>
      <c r="C7" s="405">
        <v>2015</v>
      </c>
      <c r="D7" s="405">
        <f>1+C7</f>
        <v>2016</v>
      </c>
      <c r="E7" s="405">
        <v>2017</v>
      </c>
      <c r="F7" s="405">
        <f>E7+1</f>
        <v>2018</v>
      </c>
      <c r="G7" s="405">
        <f>F7+1</f>
        <v>2019</v>
      </c>
      <c r="H7" s="405">
        <v>2020</v>
      </c>
      <c r="I7" s="405">
        <v>2021</v>
      </c>
      <c r="K7" s="406" t="s">
        <v>1548</v>
      </c>
      <c r="L7" s="405">
        <f t="shared" ref="L7:R7" si="0">C7</f>
        <v>2015</v>
      </c>
      <c r="M7" s="405">
        <f t="shared" si="0"/>
        <v>2016</v>
      </c>
      <c r="N7" s="405">
        <f t="shared" si="0"/>
        <v>2017</v>
      </c>
      <c r="O7" s="405">
        <f t="shared" si="0"/>
        <v>2018</v>
      </c>
      <c r="P7" s="405">
        <f t="shared" si="0"/>
        <v>2019</v>
      </c>
      <c r="Q7" s="405">
        <f t="shared" si="0"/>
        <v>2020</v>
      </c>
      <c r="R7" s="405">
        <f t="shared" si="0"/>
        <v>2021</v>
      </c>
    </row>
    <row r="8" spans="1:18" ht="23.25" customHeight="1" x14ac:dyDescent="0.15">
      <c r="B8" s="407" t="s">
        <v>1181</v>
      </c>
      <c r="C8" s="408">
        <f>19982+7</f>
        <v>19989</v>
      </c>
      <c r="D8" s="408">
        <f>26212+22</f>
        <v>26234</v>
      </c>
      <c r="E8" s="408">
        <f>30628+4</f>
        <v>30632</v>
      </c>
      <c r="F8" s="408">
        <v>33570</v>
      </c>
      <c r="G8" s="408">
        <v>39984</v>
      </c>
      <c r="H8" s="408">
        <v>40431</v>
      </c>
      <c r="I8" s="408">
        <v>51549</v>
      </c>
      <c r="K8" s="407" t="s">
        <v>1181</v>
      </c>
      <c r="L8" s="409">
        <f t="shared" ref="L8:R8" si="1">C8/C$8</f>
        <v>1</v>
      </c>
      <c r="M8" s="409">
        <f t="shared" si="1"/>
        <v>1</v>
      </c>
      <c r="N8" s="409">
        <f t="shared" si="1"/>
        <v>1</v>
      </c>
      <c r="O8" s="409">
        <f t="shared" si="1"/>
        <v>1</v>
      </c>
      <c r="P8" s="409">
        <f t="shared" si="1"/>
        <v>1</v>
      </c>
      <c r="Q8" s="409">
        <f t="shared" si="1"/>
        <v>1</v>
      </c>
      <c r="R8" s="409">
        <f t="shared" si="1"/>
        <v>1</v>
      </c>
    </row>
    <row r="9" spans="1:18" ht="23.25" customHeight="1" x14ac:dyDescent="0.15">
      <c r="B9" s="410" t="s">
        <v>1683</v>
      </c>
      <c r="C9" s="411">
        <v>1648</v>
      </c>
      <c r="D9" s="411">
        <v>1634</v>
      </c>
      <c r="E9" s="411">
        <v>0</v>
      </c>
      <c r="F9" s="411">
        <v>209</v>
      </c>
      <c r="G9" s="411">
        <v>355</v>
      </c>
      <c r="H9" s="411">
        <v>453</v>
      </c>
      <c r="I9" s="411">
        <v>526</v>
      </c>
      <c r="K9" s="410" t="s">
        <v>1683</v>
      </c>
      <c r="L9" s="412"/>
      <c r="M9" s="412"/>
      <c r="N9" s="412"/>
      <c r="O9" s="412"/>
      <c r="P9" s="412"/>
      <c r="Q9" s="412"/>
      <c r="R9" s="412"/>
    </row>
    <row r="10" spans="1:18" ht="23.25" customHeight="1" x14ac:dyDescent="0.15">
      <c r="B10" s="410" t="s">
        <v>1684</v>
      </c>
      <c r="C10" s="411">
        <v>-40</v>
      </c>
      <c r="D10" s="411">
        <v>294</v>
      </c>
      <c r="E10" s="411">
        <v>1154</v>
      </c>
      <c r="F10" s="411">
        <v>1016</v>
      </c>
      <c r="G10" s="411">
        <v>626</v>
      </c>
      <c r="H10" s="411">
        <v>1142</v>
      </c>
      <c r="I10" s="411">
        <v>1327</v>
      </c>
      <c r="K10" s="410" t="s">
        <v>1684</v>
      </c>
      <c r="L10" s="412"/>
      <c r="M10" s="412"/>
      <c r="N10" s="412"/>
      <c r="O10" s="412"/>
      <c r="P10" s="412"/>
      <c r="Q10" s="412"/>
      <c r="R10" s="412"/>
    </row>
    <row r="11" spans="1:18" ht="23.25" customHeight="1" x14ac:dyDescent="0.15">
      <c r="B11" s="413" t="s">
        <v>1685</v>
      </c>
      <c r="C11" s="414">
        <f t="shared" ref="C11:H11" si="2">C8+C10+C9</f>
        <v>21597</v>
      </c>
      <c r="D11" s="414">
        <f t="shared" si="2"/>
        <v>28162</v>
      </c>
      <c r="E11" s="414">
        <f t="shared" si="2"/>
        <v>31786</v>
      </c>
      <c r="F11" s="414">
        <f t="shared" si="2"/>
        <v>34795</v>
      </c>
      <c r="G11" s="414">
        <f t="shared" si="2"/>
        <v>40965</v>
      </c>
      <c r="H11" s="414">
        <f t="shared" si="2"/>
        <v>42026</v>
      </c>
      <c r="I11" s="414">
        <f t="shared" ref="I11" si="3">I8+I10+I9</f>
        <v>53402</v>
      </c>
      <c r="K11" s="413" t="s">
        <v>1685</v>
      </c>
      <c r="L11" s="415">
        <f t="shared" ref="L11:L29" si="4">C11/C$8</f>
        <v>1.080444244334384</v>
      </c>
      <c r="M11" s="415">
        <f t="shared" ref="M11:M29" si="5">D11/D$8</f>
        <v>1.0734924144240299</v>
      </c>
      <c r="N11" s="415">
        <f t="shared" ref="N11:N29" si="6">E11/E$8</f>
        <v>1.0376730216766781</v>
      </c>
      <c r="O11" s="415">
        <f t="shared" ref="O11:O29" si="7">F11/F$8</f>
        <v>1.0364909145070003</v>
      </c>
      <c r="P11" s="415">
        <f t="shared" ref="P11:R29" si="8">G11/G$8</f>
        <v>1.0245348139255703</v>
      </c>
      <c r="Q11" s="415">
        <f t="shared" si="8"/>
        <v>1.039449927036185</v>
      </c>
      <c r="R11" s="415">
        <f t="shared" si="8"/>
        <v>1.0359463811131158</v>
      </c>
    </row>
    <row r="12" spans="1:18" ht="23.25" customHeight="1" x14ac:dyDescent="0.15">
      <c r="B12" s="410" t="s">
        <v>1686</v>
      </c>
      <c r="C12" s="411">
        <f>6240+C9</f>
        <v>7888</v>
      </c>
      <c r="D12" s="411">
        <f>9334+D9</f>
        <v>10968</v>
      </c>
      <c r="E12" s="416">
        <v>12566</v>
      </c>
      <c r="F12" s="416">
        <f>13898+209</f>
        <v>14107</v>
      </c>
      <c r="G12" s="416">
        <f>15125+355</f>
        <v>15480</v>
      </c>
      <c r="H12" s="416">
        <f>15173+H9</f>
        <v>15626</v>
      </c>
      <c r="I12" s="416">
        <v>19804</v>
      </c>
      <c r="K12" s="410" t="s">
        <v>1686</v>
      </c>
      <c r="L12" s="412">
        <f t="shared" si="4"/>
        <v>0.39461703937165443</v>
      </c>
      <c r="M12" s="412">
        <f t="shared" si="5"/>
        <v>0.41808340321719906</v>
      </c>
      <c r="N12" s="412">
        <f t="shared" si="6"/>
        <v>0.41022460172368763</v>
      </c>
      <c r="O12" s="412">
        <f t="shared" si="7"/>
        <v>0.42022639261245159</v>
      </c>
      <c r="P12" s="412">
        <f t="shared" si="8"/>
        <v>0.38715486194477788</v>
      </c>
      <c r="Q12" s="412">
        <f t="shared" si="8"/>
        <v>0.38648561747174198</v>
      </c>
      <c r="R12" s="412">
        <f t="shared" si="8"/>
        <v>0.38417816058507437</v>
      </c>
    </row>
    <row r="13" spans="1:18" ht="23.25" customHeight="1" x14ac:dyDescent="0.15">
      <c r="B13" s="413" t="s">
        <v>1687</v>
      </c>
      <c r="C13" s="417">
        <f t="shared" ref="C13:H13" si="9">C11-C12</f>
        <v>13709</v>
      </c>
      <c r="D13" s="417">
        <f t="shared" si="9"/>
        <v>17194</v>
      </c>
      <c r="E13" s="417">
        <f t="shared" si="9"/>
        <v>19220</v>
      </c>
      <c r="F13" s="417">
        <f t="shared" si="9"/>
        <v>20688</v>
      </c>
      <c r="G13" s="417">
        <f t="shared" si="9"/>
        <v>25485</v>
      </c>
      <c r="H13" s="417">
        <f t="shared" si="9"/>
        <v>26400</v>
      </c>
      <c r="I13" s="417">
        <f t="shared" ref="I13" si="10">I11-I12</f>
        <v>33598</v>
      </c>
      <c r="K13" s="413" t="s">
        <v>1687</v>
      </c>
      <c r="L13" s="415">
        <f t="shared" si="4"/>
        <v>0.68582720496272953</v>
      </c>
      <c r="M13" s="415">
        <f t="shared" si="5"/>
        <v>0.65540901120683082</v>
      </c>
      <c r="N13" s="415">
        <f t="shared" si="6"/>
        <v>0.62744841995299039</v>
      </c>
      <c r="O13" s="415">
        <f t="shared" si="7"/>
        <v>0.61626452189454872</v>
      </c>
      <c r="P13" s="415">
        <f t="shared" si="8"/>
        <v>0.63737995198079234</v>
      </c>
      <c r="Q13" s="415">
        <f t="shared" si="8"/>
        <v>0.65296430956444318</v>
      </c>
      <c r="R13" s="415">
        <f t="shared" si="8"/>
        <v>0.65176822052804129</v>
      </c>
    </row>
    <row r="14" spans="1:18" ht="23.25" customHeight="1" x14ac:dyDescent="0.15">
      <c r="B14" s="410" t="s">
        <v>1549</v>
      </c>
      <c r="C14" s="411">
        <v>4073</v>
      </c>
      <c r="D14" s="411">
        <v>4370</v>
      </c>
      <c r="E14" s="411">
        <v>4309</v>
      </c>
      <c r="F14" s="411">
        <v>6844</v>
      </c>
      <c r="G14" s="411">
        <f>8205+670</f>
        <v>8875</v>
      </c>
      <c r="H14" s="411">
        <f>8170</f>
        <v>8170</v>
      </c>
      <c r="I14" s="411">
        <v>9597</v>
      </c>
      <c r="K14" s="410" t="s">
        <v>1549</v>
      </c>
      <c r="L14" s="412">
        <f t="shared" si="4"/>
        <v>0.20376206913802591</v>
      </c>
      <c r="M14" s="412">
        <f t="shared" si="5"/>
        <v>0.16657772356483952</v>
      </c>
      <c r="N14" s="412">
        <f t="shared" si="6"/>
        <v>0.14066988769913816</v>
      </c>
      <c r="O14" s="412">
        <f t="shared" si="7"/>
        <v>0.20387250521298778</v>
      </c>
      <c r="P14" s="412">
        <f t="shared" si="8"/>
        <v>0.22196378551420567</v>
      </c>
      <c r="Q14" s="412">
        <f t="shared" si="8"/>
        <v>0.20207266701293561</v>
      </c>
      <c r="R14" s="412">
        <f t="shared" si="8"/>
        <v>0.18617237967758832</v>
      </c>
    </row>
    <row r="15" spans="1:18" ht="23.25" customHeight="1" x14ac:dyDescent="0.15">
      <c r="A15" s="404"/>
      <c r="B15" s="413" t="s">
        <v>1550</v>
      </c>
      <c r="C15" s="417">
        <f>C13-C14</f>
        <v>9636</v>
      </c>
      <c r="D15" s="417">
        <f>D13-D14</f>
        <v>12824</v>
      </c>
      <c r="E15" s="417">
        <f>E13-E14</f>
        <v>14911</v>
      </c>
      <c r="F15" s="417">
        <f t="shared" ref="F15:H15" si="11">F13-F14</f>
        <v>13844</v>
      </c>
      <c r="G15" s="417">
        <f t="shared" si="11"/>
        <v>16610</v>
      </c>
      <c r="H15" s="417">
        <f t="shared" si="11"/>
        <v>18230</v>
      </c>
      <c r="I15" s="417">
        <f t="shared" ref="I15" si="12">I13-I14</f>
        <v>24001</v>
      </c>
      <c r="K15" s="413" t="s">
        <v>1550</v>
      </c>
      <c r="L15" s="415">
        <f t="shared" si="4"/>
        <v>0.48206513582470356</v>
      </c>
      <c r="M15" s="415">
        <f t="shared" si="5"/>
        <v>0.4888312876419913</v>
      </c>
      <c r="N15" s="415">
        <f t="shared" si="6"/>
        <v>0.4867785322538522</v>
      </c>
      <c r="O15" s="415">
        <f t="shared" si="7"/>
        <v>0.41239201668156089</v>
      </c>
      <c r="P15" s="415">
        <f t="shared" si="8"/>
        <v>0.41541616646658663</v>
      </c>
      <c r="Q15" s="415">
        <f t="shared" si="8"/>
        <v>0.45089164255150749</v>
      </c>
      <c r="R15" s="415">
        <f t="shared" si="8"/>
        <v>0.46559584085045297</v>
      </c>
    </row>
    <row r="16" spans="1:18" ht="23.25" customHeight="1" x14ac:dyDescent="0.15">
      <c r="B16" s="410" t="s">
        <v>1688</v>
      </c>
      <c r="C16" s="418">
        <v>6360</v>
      </c>
      <c r="D16" s="418">
        <v>7540</v>
      </c>
      <c r="E16" s="418">
        <v>7776</v>
      </c>
      <c r="F16" s="418">
        <v>10011</v>
      </c>
      <c r="G16" s="418">
        <v>14213</v>
      </c>
      <c r="H16" s="418">
        <v>16030</v>
      </c>
      <c r="I16" s="418">
        <v>18060</v>
      </c>
      <c r="K16" s="410" t="s">
        <v>1688</v>
      </c>
      <c r="L16" s="419">
        <f t="shared" si="4"/>
        <v>0.31817499624793638</v>
      </c>
      <c r="M16" s="419">
        <f t="shared" si="5"/>
        <v>0.28741328047571851</v>
      </c>
      <c r="N16" s="419">
        <f t="shared" si="6"/>
        <v>0.25385218072603816</v>
      </c>
      <c r="O16" s="419">
        <f t="shared" si="7"/>
        <v>0.29821268990169797</v>
      </c>
      <c r="P16" s="419">
        <f t="shared" si="8"/>
        <v>0.35546718687474987</v>
      </c>
      <c r="Q16" s="419">
        <f t="shared" si="8"/>
        <v>0.3964779500878039</v>
      </c>
      <c r="R16" s="419">
        <f t="shared" si="8"/>
        <v>0.35034627247861261</v>
      </c>
    </row>
    <row r="17" spans="1:18" ht="23.25" customHeight="1" x14ac:dyDescent="0.15">
      <c r="B17" s="410" t="s">
        <v>1551</v>
      </c>
      <c r="C17" s="418">
        <f>169+80</f>
        <v>249</v>
      </c>
      <c r="D17" s="418">
        <f>270+111</f>
        <v>381</v>
      </c>
      <c r="E17" s="418">
        <f>398+160</f>
        <v>558</v>
      </c>
      <c r="F17" s="418">
        <f>429+169</f>
        <v>598</v>
      </c>
      <c r="G17" s="418">
        <f>590+216</f>
        <v>806</v>
      </c>
      <c r="H17" s="418">
        <f>652+226</f>
        <v>878</v>
      </c>
      <c r="I17" s="418">
        <v>541</v>
      </c>
      <c r="K17" s="410" t="s">
        <v>1551</v>
      </c>
      <c r="L17" s="419">
        <f t="shared" si="4"/>
        <v>1.2456851268197509E-2</v>
      </c>
      <c r="M17" s="419">
        <f t="shared" si="5"/>
        <v>1.4523137912632461E-2</v>
      </c>
      <c r="N17" s="419">
        <f t="shared" si="6"/>
        <v>1.8216244450248106E-2</v>
      </c>
      <c r="O17" s="419">
        <f t="shared" si="7"/>
        <v>1.7813523979743819E-2</v>
      </c>
      <c r="P17" s="419">
        <f t="shared" si="8"/>
        <v>2.0158063225290117E-2</v>
      </c>
      <c r="Q17" s="419">
        <f t="shared" si="8"/>
        <v>2.1716009992332617E-2</v>
      </c>
      <c r="R17" s="419">
        <f t="shared" si="8"/>
        <v>1.0494868959630643E-2</v>
      </c>
    </row>
    <row r="18" spans="1:18" ht="23.25" customHeight="1" x14ac:dyDescent="0.15">
      <c r="B18" s="410" t="s">
        <v>1552</v>
      </c>
      <c r="C18" s="418">
        <f>70-191</f>
        <v>-121</v>
      </c>
      <c r="D18" s="418">
        <f>228-152</f>
        <v>76</v>
      </c>
      <c r="E18" s="418">
        <f>286-384</f>
        <v>-98</v>
      </c>
      <c r="F18" s="418">
        <f>4+215-1121</f>
        <v>-902</v>
      </c>
      <c r="G18" s="418">
        <f>305-370+5</f>
        <v>-60</v>
      </c>
      <c r="H18" s="418">
        <f>692-262+5</f>
        <v>435</v>
      </c>
      <c r="I18" s="418">
        <v>14</v>
      </c>
      <c r="K18" s="410" t="s">
        <v>1552</v>
      </c>
      <c r="L18" s="419">
        <f t="shared" si="4"/>
        <v>-6.0533293311321222E-3</v>
      </c>
      <c r="M18" s="419">
        <f t="shared" si="5"/>
        <v>2.8970038880841657E-3</v>
      </c>
      <c r="N18" s="419">
        <f t="shared" si="6"/>
        <v>-3.1992687385740404E-3</v>
      </c>
      <c r="O18" s="419">
        <f t="shared" si="7"/>
        <v>-2.6869228477807566E-2</v>
      </c>
      <c r="P18" s="419">
        <f t="shared" si="8"/>
        <v>-1.5006002400960385E-3</v>
      </c>
      <c r="Q18" s="419">
        <f t="shared" si="8"/>
        <v>1.0759071009868665E-2</v>
      </c>
      <c r="R18" s="419">
        <f t="shared" si="8"/>
        <v>2.7158625773535859E-4</v>
      </c>
    </row>
    <row r="19" spans="1:18" ht="23.25" customHeight="1" x14ac:dyDescent="0.15">
      <c r="B19" s="413" t="s">
        <v>1553</v>
      </c>
      <c r="C19" s="417">
        <f>C15-C16-C17+C18</f>
        <v>2906</v>
      </c>
      <c r="D19" s="417">
        <f>D15-D16-D17+D18</f>
        <v>4979</v>
      </c>
      <c r="E19" s="417">
        <f>E15-E16-E17+E18</f>
        <v>6479</v>
      </c>
      <c r="F19" s="417">
        <f t="shared" ref="F19:H19" si="13">F15-F16-F17+F18</f>
        <v>2333</v>
      </c>
      <c r="G19" s="417">
        <f t="shared" si="13"/>
        <v>1531</v>
      </c>
      <c r="H19" s="417">
        <f t="shared" si="13"/>
        <v>1757</v>
      </c>
      <c r="I19" s="417">
        <f t="shared" ref="I19" si="14">I15-I16-I17+I18</f>
        <v>5414</v>
      </c>
      <c r="K19" s="413" t="s">
        <v>1553</v>
      </c>
      <c r="L19" s="415">
        <f t="shared" si="4"/>
        <v>0.14537995897743758</v>
      </c>
      <c r="M19" s="415">
        <f t="shared" si="5"/>
        <v>0.18979187314172449</v>
      </c>
      <c r="N19" s="415">
        <f t="shared" si="6"/>
        <v>0.2115108383389919</v>
      </c>
      <c r="O19" s="415">
        <f t="shared" si="7"/>
        <v>6.9496574322311586E-2</v>
      </c>
      <c r="P19" s="415">
        <f t="shared" si="8"/>
        <v>3.8290316126450577E-2</v>
      </c>
      <c r="Q19" s="415">
        <f t="shared" si="8"/>
        <v>4.3456753481239646E-2</v>
      </c>
      <c r="R19" s="415">
        <f t="shared" si="8"/>
        <v>0.1050262856699451</v>
      </c>
    </row>
    <row r="20" spans="1:18" ht="23.25" customHeight="1" x14ac:dyDescent="0.15">
      <c r="A20" s="404"/>
      <c r="B20" s="410" t="s">
        <v>1689</v>
      </c>
      <c r="C20" s="411">
        <v>979</v>
      </c>
      <c r="D20" s="411">
        <v>1314</v>
      </c>
      <c r="E20" s="411">
        <v>1632</v>
      </c>
      <c r="F20" s="420">
        <v>1787</v>
      </c>
      <c r="G20" s="420">
        <f>3301-670</f>
        <v>2631</v>
      </c>
      <c r="H20" s="420">
        <f>3955</f>
        <v>3955</v>
      </c>
      <c r="I20" s="420">
        <v>3315</v>
      </c>
      <c r="K20" s="410" t="s">
        <v>1689</v>
      </c>
      <c r="L20" s="412">
        <f t="shared" si="4"/>
        <v>4.8976937315523536E-2</v>
      </c>
      <c r="M20" s="412">
        <f t="shared" si="5"/>
        <v>5.0087672486086761E-2</v>
      </c>
      <c r="N20" s="412">
        <f t="shared" si="6"/>
        <v>5.3277618177069733E-2</v>
      </c>
      <c r="O20" s="412">
        <f t="shared" si="7"/>
        <v>5.3232052427762883E-2</v>
      </c>
      <c r="P20" s="421">
        <f t="shared" si="8"/>
        <v>6.5801320528211291E-2</v>
      </c>
      <c r="Q20" s="421">
        <f t="shared" si="8"/>
        <v>9.782097895179441E-2</v>
      </c>
      <c r="R20" s="421">
        <f t="shared" si="8"/>
        <v>6.4307746028050977E-2</v>
      </c>
    </row>
    <row r="21" spans="1:18" ht="23.25" customHeight="1" x14ac:dyDescent="0.2">
      <c r="A21" s="422"/>
      <c r="B21" s="413" t="s">
        <v>1554</v>
      </c>
      <c r="C21" s="417">
        <f>C19-C20</f>
        <v>1927</v>
      </c>
      <c r="D21" s="417">
        <f t="shared" ref="D21:H21" si="15">D19-D20</f>
        <v>3665</v>
      </c>
      <c r="E21" s="417">
        <f t="shared" si="15"/>
        <v>4847</v>
      </c>
      <c r="F21" s="417">
        <f t="shared" si="15"/>
        <v>546</v>
      </c>
      <c r="G21" s="417">
        <f t="shared" si="15"/>
        <v>-1100</v>
      </c>
      <c r="H21" s="417">
        <f t="shared" si="15"/>
        <v>-2198</v>
      </c>
      <c r="I21" s="417">
        <f t="shared" ref="I21" si="16">I19-I20</f>
        <v>2099</v>
      </c>
      <c r="K21" s="413" t="s">
        <v>1554</v>
      </c>
      <c r="L21" s="415">
        <f t="shared" si="4"/>
        <v>9.6403021661914057E-2</v>
      </c>
      <c r="M21" s="415">
        <f t="shared" si="5"/>
        <v>0.13970420065563771</v>
      </c>
      <c r="N21" s="415">
        <f t="shared" si="6"/>
        <v>0.15823322016192218</v>
      </c>
      <c r="O21" s="415">
        <f t="shared" si="7"/>
        <v>1.6264521894548703E-2</v>
      </c>
      <c r="P21" s="415">
        <f t="shared" si="8"/>
        <v>-2.7511004401760703E-2</v>
      </c>
      <c r="Q21" s="415">
        <f t="shared" si="8"/>
        <v>-5.4364225470554771E-2</v>
      </c>
      <c r="R21" s="415">
        <f t="shared" si="8"/>
        <v>4.0718539641894119E-2</v>
      </c>
    </row>
    <row r="22" spans="1:18" ht="23.25" customHeight="1" x14ac:dyDescent="0.15">
      <c r="A22" s="404"/>
      <c r="B22" s="410" t="s">
        <v>1555</v>
      </c>
      <c r="C22" s="411">
        <v>249</v>
      </c>
      <c r="D22" s="411">
        <v>316</v>
      </c>
      <c r="E22" s="411">
        <v>324</v>
      </c>
      <c r="F22" s="411">
        <v>295</v>
      </c>
      <c r="G22" s="411">
        <v>210</v>
      </c>
      <c r="H22" s="411">
        <v>155</v>
      </c>
      <c r="I22" s="411">
        <v>193</v>
      </c>
      <c r="K22" s="410" t="s">
        <v>1555</v>
      </c>
      <c r="L22" s="412">
        <f t="shared" si="4"/>
        <v>1.2456851268197509E-2</v>
      </c>
      <c r="M22" s="412">
        <f t="shared" si="5"/>
        <v>1.2045437218876267E-2</v>
      </c>
      <c r="N22" s="412">
        <f t="shared" si="6"/>
        <v>1.0577174196918256E-2</v>
      </c>
      <c r="O22" s="412">
        <f t="shared" si="7"/>
        <v>8.7876079833184399E-3</v>
      </c>
      <c r="P22" s="412">
        <f t="shared" si="8"/>
        <v>5.2521008403361349E-3</v>
      </c>
      <c r="Q22" s="412">
        <f t="shared" si="8"/>
        <v>3.8336919690336621E-3</v>
      </c>
      <c r="R22" s="412">
        <f t="shared" si="8"/>
        <v>3.7440105530660147E-3</v>
      </c>
    </row>
    <row r="23" spans="1:18" ht="23.25" customHeight="1" x14ac:dyDescent="0.15">
      <c r="A23" s="404"/>
      <c r="B23" s="410" t="s">
        <v>1556</v>
      </c>
      <c r="C23" s="411">
        <v>-16</v>
      </c>
      <c r="D23" s="411">
        <v>116</v>
      </c>
      <c r="E23" s="411">
        <v>2</v>
      </c>
      <c r="F23" s="411">
        <v>45</v>
      </c>
      <c r="G23" s="411">
        <v>132</v>
      </c>
      <c r="H23" s="411">
        <v>-196</v>
      </c>
      <c r="I23" s="411">
        <v>416</v>
      </c>
      <c r="K23" s="410" t="s">
        <v>1556</v>
      </c>
      <c r="L23" s="412">
        <f t="shared" si="4"/>
        <v>-8.0044024213317324E-4</v>
      </c>
      <c r="M23" s="412">
        <f t="shared" si="5"/>
        <v>4.4217427765495159E-3</v>
      </c>
      <c r="N23" s="412">
        <f t="shared" si="6"/>
        <v>6.5291198746408988E-5</v>
      </c>
      <c r="O23" s="412">
        <f t="shared" si="7"/>
        <v>1.3404825737265416E-3</v>
      </c>
      <c r="P23" s="412">
        <f t="shared" si="8"/>
        <v>3.3013205282112846E-3</v>
      </c>
      <c r="Q23" s="412">
        <f t="shared" si="8"/>
        <v>-4.847765328584502E-3</v>
      </c>
      <c r="R23" s="412">
        <f t="shared" si="8"/>
        <v>8.0699916584220845E-3</v>
      </c>
    </row>
    <row r="24" spans="1:18" ht="23.25" customHeight="1" x14ac:dyDescent="0.15">
      <c r="A24" s="404"/>
      <c r="B24" s="410" t="s">
        <v>1557</v>
      </c>
      <c r="C24" s="411">
        <f>-222+452</f>
        <v>230</v>
      </c>
      <c r="D24" s="411">
        <v>-209</v>
      </c>
      <c r="E24" s="411">
        <v>-150</v>
      </c>
      <c r="F24" s="411">
        <v>-418</v>
      </c>
      <c r="G24" s="411">
        <v>-1</v>
      </c>
      <c r="H24" s="411">
        <v>-593</v>
      </c>
      <c r="I24" s="411">
        <v>-4677</v>
      </c>
      <c r="K24" s="410" t="s">
        <v>1557</v>
      </c>
      <c r="L24" s="412">
        <f t="shared" si="4"/>
        <v>1.1506328480664366E-2</v>
      </c>
      <c r="M24" s="412">
        <f t="shared" si="5"/>
        <v>-7.966760692231456E-3</v>
      </c>
      <c r="N24" s="412">
        <f t="shared" si="6"/>
        <v>-4.8968399059806742E-3</v>
      </c>
      <c r="O24" s="412">
        <f t="shared" si="7"/>
        <v>-1.2451593684837652E-2</v>
      </c>
      <c r="P24" s="412">
        <f t="shared" si="8"/>
        <v>-2.5010004001600642E-5</v>
      </c>
      <c r="Q24" s="412">
        <f t="shared" si="8"/>
        <v>-1.466696346862556E-2</v>
      </c>
      <c r="R24" s="412">
        <f t="shared" si="8"/>
        <v>-9.072920910201944E-2</v>
      </c>
    </row>
    <row r="25" spans="1:18" ht="23.25" customHeight="1" x14ac:dyDescent="0.15">
      <c r="B25" s="413" t="s">
        <v>1558</v>
      </c>
      <c r="C25" s="417">
        <f>C21-C22+C23+C24</f>
        <v>1892</v>
      </c>
      <c r="D25" s="417">
        <f>D21-D22+D23+D24</f>
        <v>3256</v>
      </c>
      <c r="E25" s="417">
        <f>E21-E22+E23+E24</f>
        <v>4375</v>
      </c>
      <c r="F25" s="417">
        <f t="shared" ref="F25:H25" si="17">F21-F22+F23+F24</f>
        <v>-122</v>
      </c>
      <c r="G25" s="417">
        <f t="shared" si="17"/>
        <v>-1179</v>
      </c>
      <c r="H25" s="417">
        <f t="shared" si="17"/>
        <v>-3142</v>
      </c>
      <c r="I25" s="417">
        <f t="shared" ref="I25" si="18">I21-I22+I23+I24</f>
        <v>-2355</v>
      </c>
      <c r="K25" s="413" t="s">
        <v>1558</v>
      </c>
      <c r="L25" s="415">
        <f t="shared" si="4"/>
        <v>9.4652058632247738E-2</v>
      </c>
      <c r="M25" s="415">
        <f t="shared" si="5"/>
        <v>0.12411374552107951</v>
      </c>
      <c r="N25" s="415">
        <f t="shared" si="6"/>
        <v>0.14282449725776966</v>
      </c>
      <c r="O25" s="415">
        <f t="shared" si="7"/>
        <v>-3.6341971998808459E-3</v>
      </c>
      <c r="P25" s="415">
        <f t="shared" si="8"/>
        <v>-2.9486794717887156E-2</v>
      </c>
      <c r="Q25" s="415">
        <f t="shared" si="8"/>
        <v>-7.7712646236798494E-2</v>
      </c>
      <c r="R25" s="415">
        <f t="shared" si="8"/>
        <v>-4.568468835476925E-2</v>
      </c>
    </row>
    <row r="26" spans="1:18" ht="23.25" customHeight="1" x14ac:dyDescent="0.15">
      <c r="B26" s="410" t="s">
        <v>1559</v>
      </c>
      <c r="C26" s="411">
        <f>471-80</f>
        <v>391</v>
      </c>
      <c r="D26" s="411">
        <f>1169-111</f>
        <v>1058</v>
      </c>
      <c r="E26" s="411">
        <f>1630-160</f>
        <v>1470</v>
      </c>
      <c r="F26" s="411">
        <f>1111-169</f>
        <v>942</v>
      </c>
      <c r="G26" s="411">
        <f>1899-216</f>
        <v>1683</v>
      </c>
      <c r="H26" s="411">
        <f>1104-226</f>
        <v>878</v>
      </c>
      <c r="I26" s="411">
        <v>923</v>
      </c>
      <c r="K26" s="410" t="s">
        <v>1559</v>
      </c>
      <c r="L26" s="412">
        <f t="shared" si="4"/>
        <v>1.9560758417129422E-2</v>
      </c>
      <c r="M26" s="412">
        <f t="shared" si="5"/>
        <v>4.0329343599908515E-2</v>
      </c>
      <c r="N26" s="412">
        <f t="shared" si="6"/>
        <v>4.7989031078610606E-2</v>
      </c>
      <c r="O26" s="412">
        <f t="shared" si="7"/>
        <v>2.806076854334227E-2</v>
      </c>
      <c r="P26" s="412">
        <f t="shared" si="8"/>
        <v>4.2091836734693876E-2</v>
      </c>
      <c r="Q26" s="412">
        <f t="shared" si="8"/>
        <v>2.1716009992332617E-2</v>
      </c>
      <c r="R26" s="412">
        <f t="shared" si="8"/>
        <v>1.7905293992124E-2</v>
      </c>
    </row>
    <row r="27" spans="1:18" ht="23.25" customHeight="1" x14ac:dyDescent="0.15">
      <c r="B27" s="413" t="s">
        <v>1690</v>
      </c>
      <c r="C27" s="417">
        <f>C25-C26</f>
        <v>1501</v>
      </c>
      <c r="D27" s="417">
        <f t="shared" ref="D27:H27" si="19">D25-D26</f>
        <v>2198</v>
      </c>
      <c r="E27" s="417">
        <f t="shared" si="19"/>
        <v>2905</v>
      </c>
      <c r="F27" s="417">
        <f t="shared" si="19"/>
        <v>-1064</v>
      </c>
      <c r="G27" s="417">
        <f t="shared" si="19"/>
        <v>-2862</v>
      </c>
      <c r="H27" s="417">
        <f t="shared" si="19"/>
        <v>-4020</v>
      </c>
      <c r="I27" s="417">
        <f t="shared" ref="I27" si="20">I25-I26</f>
        <v>-3278</v>
      </c>
      <c r="K27" s="413" t="s">
        <v>1690</v>
      </c>
      <c r="L27" s="415">
        <f t="shared" si="4"/>
        <v>7.5091300215118312E-2</v>
      </c>
      <c r="M27" s="415">
        <f t="shared" si="5"/>
        <v>8.3784401921170995E-2</v>
      </c>
      <c r="N27" s="415">
        <f t="shared" si="6"/>
        <v>9.4835466179159056E-2</v>
      </c>
      <c r="O27" s="415">
        <f t="shared" si="7"/>
        <v>-3.1694965743223114E-2</v>
      </c>
      <c r="P27" s="415">
        <f t="shared" si="8"/>
        <v>-7.1578631452581032E-2</v>
      </c>
      <c r="Q27" s="415">
        <f t="shared" si="8"/>
        <v>-9.9428656229131107E-2</v>
      </c>
      <c r="R27" s="415">
        <f t="shared" si="8"/>
        <v>-6.3589982346893253E-2</v>
      </c>
    </row>
    <row r="28" spans="1:18" ht="23.25" customHeight="1" x14ac:dyDescent="0.15">
      <c r="B28" s="423" t="s">
        <v>352</v>
      </c>
      <c r="C28" s="420">
        <v>184</v>
      </c>
      <c r="D28" s="420">
        <v>165</v>
      </c>
      <c r="E28" s="420">
        <v>0</v>
      </c>
      <c r="F28" s="420">
        <v>0</v>
      </c>
      <c r="G28" s="420">
        <v>0</v>
      </c>
      <c r="H28" s="420"/>
      <c r="I28" s="420"/>
      <c r="K28" s="423" t="s">
        <v>352</v>
      </c>
      <c r="L28" s="421">
        <f t="shared" si="4"/>
        <v>9.2050627845314918E-3</v>
      </c>
      <c r="M28" s="421">
        <f t="shared" si="5"/>
        <v>6.2895479149195702E-3</v>
      </c>
      <c r="N28" s="421">
        <f t="shared" si="6"/>
        <v>0</v>
      </c>
      <c r="O28" s="421">
        <f t="shared" si="7"/>
        <v>0</v>
      </c>
      <c r="P28" s="421">
        <f t="shared" si="8"/>
        <v>0</v>
      </c>
      <c r="Q28" s="421">
        <f t="shared" si="8"/>
        <v>0</v>
      </c>
      <c r="R28" s="421">
        <f t="shared" si="8"/>
        <v>0</v>
      </c>
    </row>
    <row r="29" spans="1:18" ht="23.25" customHeight="1" x14ac:dyDescent="0.15">
      <c r="B29" s="424" t="s">
        <v>327</v>
      </c>
      <c r="C29" s="417">
        <f>C27-C28</f>
        <v>1317</v>
      </c>
      <c r="D29" s="417">
        <f>D27-D28</f>
        <v>2033</v>
      </c>
      <c r="E29" s="417">
        <f>E27-E28</f>
        <v>2905</v>
      </c>
      <c r="F29" s="417">
        <f t="shared" ref="F29:H29" si="21">F27-F28</f>
        <v>-1064</v>
      </c>
      <c r="G29" s="417">
        <f t="shared" si="21"/>
        <v>-2862</v>
      </c>
      <c r="H29" s="417">
        <f t="shared" si="21"/>
        <v>-4020</v>
      </c>
      <c r="I29" s="417">
        <f t="shared" ref="I29" si="22">I27-I28</f>
        <v>-3278</v>
      </c>
      <c r="K29" s="424" t="s">
        <v>327</v>
      </c>
      <c r="L29" s="415">
        <f t="shared" si="4"/>
        <v>6.5886237430586816E-2</v>
      </c>
      <c r="M29" s="415">
        <f t="shared" si="5"/>
        <v>7.7494854006251432E-2</v>
      </c>
      <c r="N29" s="415">
        <f t="shared" si="6"/>
        <v>9.4835466179159056E-2</v>
      </c>
      <c r="O29" s="415">
        <f t="shared" si="7"/>
        <v>-3.1694965743223114E-2</v>
      </c>
      <c r="P29" s="415">
        <f t="shared" si="8"/>
        <v>-7.1578631452581032E-2</v>
      </c>
      <c r="Q29" s="415">
        <f t="shared" si="8"/>
        <v>-9.9428656229131107E-2</v>
      </c>
      <c r="R29" s="415">
        <f t="shared" si="8"/>
        <v>-6.3589982346893253E-2</v>
      </c>
    </row>
    <row r="30" spans="1:18" ht="9" customHeight="1" x14ac:dyDescent="0.15">
      <c r="B30" s="425"/>
      <c r="C30" s="426"/>
      <c r="D30" s="426"/>
      <c r="E30" s="426"/>
      <c r="F30" s="426"/>
      <c r="G30" s="426"/>
      <c r="H30" s="426"/>
      <c r="I30" s="426"/>
      <c r="K30" s="425"/>
    </row>
    <row r="31" spans="1:18" ht="20.25" customHeight="1" x14ac:dyDescent="0.15">
      <c r="B31" s="473" t="s">
        <v>1710</v>
      </c>
      <c r="C31" s="427"/>
      <c r="D31" s="427"/>
      <c r="E31" s="427"/>
      <c r="F31" s="427"/>
      <c r="G31" s="427"/>
      <c r="H31" s="427"/>
      <c r="I31" s="427"/>
      <c r="K31" s="410"/>
    </row>
    <row r="32" spans="1:18" ht="23.25" customHeight="1" x14ac:dyDescent="0.15">
      <c r="B32" s="428"/>
      <c r="C32" s="429"/>
      <c r="D32" s="429"/>
      <c r="E32" s="429"/>
      <c r="F32" s="429"/>
      <c r="G32" s="429"/>
      <c r="H32" s="429"/>
      <c r="I32" s="429"/>
    </row>
    <row r="33" spans="2:10" s="404" customFormat="1" ht="23.25" customHeight="1" x14ac:dyDescent="0.15">
      <c r="B33" s="404" t="s">
        <v>44</v>
      </c>
      <c r="C33" s="430"/>
      <c r="D33" s="430"/>
      <c r="E33" s="430"/>
      <c r="F33" s="430"/>
      <c r="G33" s="430"/>
      <c r="H33" s="430"/>
      <c r="I33" s="430"/>
    </row>
    <row r="34" spans="2:10" ht="8.25" customHeight="1" x14ac:dyDescent="0.15">
      <c r="B34" s="428"/>
    </row>
    <row r="35" spans="2:10" s="404" customFormat="1" ht="23.25" customHeight="1" x14ac:dyDescent="0.15">
      <c r="B35" s="406" t="s">
        <v>1712</v>
      </c>
      <c r="C35" s="405">
        <f t="shared" ref="C35:G35" si="23">C7</f>
        <v>2015</v>
      </c>
      <c r="D35" s="405">
        <f t="shared" si="23"/>
        <v>2016</v>
      </c>
      <c r="E35" s="405">
        <f t="shared" si="23"/>
        <v>2017</v>
      </c>
      <c r="F35" s="405">
        <f t="shared" si="23"/>
        <v>2018</v>
      </c>
      <c r="G35" s="405">
        <f t="shared" si="23"/>
        <v>2019</v>
      </c>
      <c r="H35" s="405">
        <v>2020</v>
      </c>
      <c r="I35" s="405">
        <v>2021</v>
      </c>
    </row>
    <row r="36" spans="2:10" ht="23.25" customHeight="1" x14ac:dyDescent="0.15">
      <c r="B36" s="428" t="s">
        <v>1690</v>
      </c>
      <c r="C36" s="411">
        <f>C27</f>
        <v>1501</v>
      </c>
      <c r="D36" s="411">
        <f t="shared" ref="D36:H36" si="24">D27</f>
        <v>2198</v>
      </c>
      <c r="E36" s="411">
        <f t="shared" si="24"/>
        <v>2905</v>
      </c>
      <c r="F36" s="411">
        <f t="shared" si="24"/>
        <v>-1064</v>
      </c>
      <c r="G36" s="411">
        <f t="shared" si="24"/>
        <v>-2862</v>
      </c>
      <c r="H36" s="411">
        <f t="shared" si="24"/>
        <v>-4020</v>
      </c>
      <c r="I36" s="411">
        <f t="shared" ref="I36" si="25">I27</f>
        <v>-3278</v>
      </c>
    </row>
    <row r="37" spans="2:10" ht="23.25" customHeight="1" x14ac:dyDescent="0.15">
      <c r="B37" s="410" t="s">
        <v>1560</v>
      </c>
      <c r="C37" s="411">
        <f>C20</f>
        <v>979</v>
      </c>
      <c r="D37" s="411">
        <f t="shared" ref="D37:H37" si="26">D20</f>
        <v>1314</v>
      </c>
      <c r="E37" s="411">
        <f t="shared" si="26"/>
        <v>1632</v>
      </c>
      <c r="F37" s="411">
        <f t="shared" si="26"/>
        <v>1787</v>
      </c>
      <c r="G37" s="411">
        <f t="shared" si="26"/>
        <v>2631</v>
      </c>
      <c r="H37" s="411">
        <f t="shared" si="26"/>
        <v>3955</v>
      </c>
      <c r="I37" s="411">
        <f t="shared" ref="I37" si="27">I20</f>
        <v>3315</v>
      </c>
    </row>
    <row r="38" spans="2:10" ht="23.25" customHeight="1" x14ac:dyDescent="0.15">
      <c r="B38" s="410" t="s">
        <v>1561</v>
      </c>
      <c r="C38" s="411">
        <v>101</v>
      </c>
      <c r="D38" s="411">
        <v>-541</v>
      </c>
      <c r="E38" s="411">
        <v>41</v>
      </c>
      <c r="F38" s="411">
        <v>-1277</v>
      </c>
      <c r="G38" s="411">
        <f>-2507+302</f>
        <v>-2205</v>
      </c>
      <c r="H38" s="411">
        <v>-486</v>
      </c>
      <c r="I38" s="411">
        <v>650</v>
      </c>
    </row>
    <row r="39" spans="2:10" ht="23.25" customHeight="1" x14ac:dyDescent="0.15">
      <c r="B39" s="413" t="s">
        <v>1562</v>
      </c>
      <c r="C39" s="417">
        <f>C36+C37+C38</f>
        <v>2581</v>
      </c>
      <c r="D39" s="417">
        <f>D36+D37+D38</f>
        <v>2971</v>
      </c>
      <c r="E39" s="417">
        <f>E36+E37+E38</f>
        <v>4578</v>
      </c>
      <c r="F39" s="417">
        <f t="shared" ref="F39:H39" si="28">F36+F37+F38</f>
        <v>-554</v>
      </c>
      <c r="G39" s="417">
        <f t="shared" si="28"/>
        <v>-2436</v>
      </c>
      <c r="H39" s="417">
        <f t="shared" si="28"/>
        <v>-551</v>
      </c>
      <c r="I39" s="417">
        <f t="shared" ref="I39" si="29">I36+I37+I38</f>
        <v>687</v>
      </c>
    </row>
    <row r="40" spans="2:10" ht="23.25" customHeight="1" x14ac:dyDescent="0.15">
      <c r="B40" s="410" t="s">
        <v>1153</v>
      </c>
      <c r="C40" s="411">
        <v>-786</v>
      </c>
      <c r="D40" s="411">
        <f>D67-C67</f>
        <v>-2051</v>
      </c>
      <c r="E40" s="411">
        <f t="shared" ref="E40:H40" si="30">E67-D67</f>
        <v>-532</v>
      </c>
      <c r="F40" s="411">
        <f t="shared" si="30"/>
        <v>-987</v>
      </c>
      <c r="G40" s="411">
        <f t="shared" si="30"/>
        <v>-3190</v>
      </c>
      <c r="H40" s="411">
        <f t="shared" si="30"/>
        <v>1799</v>
      </c>
      <c r="I40" s="411">
        <v>-1114</v>
      </c>
    </row>
    <row r="41" spans="2:10" ht="23.25" customHeight="1" x14ac:dyDescent="0.15">
      <c r="B41" s="413" t="s">
        <v>1563</v>
      </c>
      <c r="C41" s="417">
        <f>C39-C40</f>
        <v>3367</v>
      </c>
      <c r="D41" s="417">
        <f>D39-D40</f>
        <v>5022</v>
      </c>
      <c r="E41" s="417">
        <f>E39-E40</f>
        <v>5110</v>
      </c>
      <c r="F41" s="417">
        <f t="shared" ref="F41:H41" si="31">F39-F40</f>
        <v>433</v>
      </c>
      <c r="G41" s="417">
        <f t="shared" si="31"/>
        <v>754</v>
      </c>
      <c r="H41" s="417">
        <f t="shared" si="31"/>
        <v>-2350</v>
      </c>
      <c r="I41" s="417">
        <f t="shared" ref="I41" si="32">I39-I40</f>
        <v>1801</v>
      </c>
    </row>
    <row r="42" spans="2:10" ht="23.25" customHeight="1" x14ac:dyDescent="0.15">
      <c r="B42" s="410" t="s">
        <v>1564</v>
      </c>
      <c r="C42" s="411">
        <v>1736</v>
      </c>
      <c r="D42" s="411">
        <v>2620</v>
      </c>
      <c r="E42" s="411">
        <v>2728</v>
      </c>
      <c r="F42" s="411">
        <v>3400</v>
      </c>
      <c r="G42" s="411">
        <f>3728-2522</f>
        <v>1206</v>
      </c>
      <c r="H42" s="411">
        <f>4261</f>
        <v>4261</v>
      </c>
      <c r="I42" s="411">
        <v>4789</v>
      </c>
    </row>
    <row r="43" spans="2:10" ht="23.25" customHeight="1" x14ac:dyDescent="0.15">
      <c r="B43" s="410" t="s">
        <v>1691</v>
      </c>
      <c r="C43" s="411">
        <v>0</v>
      </c>
      <c r="D43" s="411">
        <f>D70-C70</f>
        <v>-759</v>
      </c>
      <c r="E43" s="411">
        <f t="shared" ref="E43:H43" si="33">E70-D70</f>
        <v>803</v>
      </c>
      <c r="F43" s="411">
        <f t="shared" si="33"/>
        <v>-95</v>
      </c>
      <c r="G43" s="411">
        <f t="shared" si="33"/>
        <v>67</v>
      </c>
      <c r="H43" s="411">
        <f t="shared" si="33"/>
        <v>-255</v>
      </c>
      <c r="I43" s="411">
        <v>-825</v>
      </c>
      <c r="J43" s="431"/>
    </row>
    <row r="44" spans="2:10" ht="23.25" customHeight="1" x14ac:dyDescent="0.15">
      <c r="B44" s="410" t="s">
        <v>1692</v>
      </c>
      <c r="C44" s="411">
        <v>0</v>
      </c>
      <c r="D44" s="411">
        <v>112</v>
      </c>
      <c r="E44" s="411">
        <v>673</v>
      </c>
      <c r="F44" s="411">
        <v>118</v>
      </c>
      <c r="G44" s="411">
        <v>23</v>
      </c>
      <c r="H44" s="411">
        <v>156</v>
      </c>
      <c r="I44" s="411">
        <v>99</v>
      </c>
      <c r="J44" s="431"/>
    </row>
    <row r="45" spans="2:10" ht="23.25" customHeight="1" x14ac:dyDescent="0.15">
      <c r="B45" s="410" t="s">
        <v>1565</v>
      </c>
      <c r="C45" s="411">
        <f>48+640</f>
        <v>688</v>
      </c>
      <c r="D45" s="411">
        <f>29+96</f>
        <v>125</v>
      </c>
      <c r="E45" s="411">
        <f>73+64</f>
        <v>137</v>
      </c>
      <c r="F45" s="411">
        <v>3</v>
      </c>
      <c r="G45" s="411">
        <v>39</v>
      </c>
      <c r="H45" s="411">
        <v>32</v>
      </c>
      <c r="I45" s="411">
        <v>12</v>
      </c>
      <c r="J45" s="431"/>
    </row>
    <row r="46" spans="2:10" ht="23.25" customHeight="1" x14ac:dyDescent="0.15">
      <c r="B46" s="413" t="s">
        <v>1566</v>
      </c>
      <c r="C46" s="432">
        <f>-C42+C45-C44-C43</f>
        <v>-1048</v>
      </c>
      <c r="D46" s="432">
        <f>-D42+D45-D44-D43</f>
        <v>-1848</v>
      </c>
      <c r="E46" s="432">
        <f>-E42+E45-E44-E43</f>
        <v>-4067</v>
      </c>
      <c r="F46" s="432">
        <f t="shared" ref="F46:H46" si="34">-F42+F45-F44-F43</f>
        <v>-3420</v>
      </c>
      <c r="G46" s="432">
        <f t="shared" si="34"/>
        <v>-1257</v>
      </c>
      <c r="H46" s="432">
        <f t="shared" si="34"/>
        <v>-4130</v>
      </c>
      <c r="I46" s="432">
        <f t="shared" ref="I46" si="35">-I42+I45-I44-I43</f>
        <v>-4051</v>
      </c>
    </row>
    <row r="47" spans="2:10" ht="23.25" customHeight="1" x14ac:dyDescent="0.15">
      <c r="B47" s="433" t="s">
        <v>1567</v>
      </c>
      <c r="C47" s="417">
        <f>+C41+C46</f>
        <v>2319</v>
      </c>
      <c r="D47" s="417">
        <f>+D41+D46</f>
        <v>3174</v>
      </c>
      <c r="E47" s="417">
        <f>+E41+E46</f>
        <v>1043</v>
      </c>
      <c r="F47" s="417">
        <f t="shared" ref="F47:H47" si="36">+F41+F46</f>
        <v>-2987</v>
      </c>
      <c r="G47" s="417">
        <f t="shared" si="36"/>
        <v>-503</v>
      </c>
      <c r="H47" s="417">
        <f t="shared" si="36"/>
        <v>-6480</v>
      </c>
      <c r="I47" s="417">
        <f t="shared" ref="I47" si="37">+I41+I46</f>
        <v>-2250</v>
      </c>
    </row>
    <row r="48" spans="2:10" ht="23.25" customHeight="1" x14ac:dyDescent="0.15">
      <c r="B48" s="410" t="s">
        <v>1568</v>
      </c>
      <c r="C48" s="408">
        <v>0</v>
      </c>
      <c r="D48" s="411">
        <v>0</v>
      </c>
      <c r="E48" s="411">
        <v>0</v>
      </c>
      <c r="F48" s="411">
        <f>19352-345</f>
        <v>19007</v>
      </c>
      <c r="G48" s="411">
        <v>-612</v>
      </c>
      <c r="H48" s="411">
        <v>-1595</v>
      </c>
      <c r="I48" s="411">
        <v>-64</v>
      </c>
    </row>
    <row r="49" spans="2:13" ht="23.25" customHeight="1" x14ac:dyDescent="0.15">
      <c r="B49" s="410" t="s">
        <v>1569</v>
      </c>
      <c r="C49" s="411">
        <f>130+1502</f>
        <v>1632</v>
      </c>
      <c r="D49" s="411">
        <f>189+1500</f>
        <v>1689</v>
      </c>
      <c r="E49" s="411">
        <f>166+1500</f>
        <v>1666</v>
      </c>
      <c r="F49" s="411">
        <v>2000</v>
      </c>
      <c r="G49" s="411">
        <v>0</v>
      </c>
      <c r="H49" s="411"/>
      <c r="I49" s="411"/>
    </row>
    <row r="50" spans="2:13" ht="23.25" customHeight="1" x14ac:dyDescent="0.15">
      <c r="B50" s="413" t="s">
        <v>1570</v>
      </c>
      <c r="C50" s="417">
        <f>C47+C48-C49</f>
        <v>687</v>
      </c>
      <c r="D50" s="417">
        <f>D47+D48-D49</f>
        <v>1485</v>
      </c>
      <c r="E50" s="417">
        <f>E47+E48-E49</f>
        <v>-623</v>
      </c>
      <c r="F50" s="417">
        <f t="shared" ref="F50:H50" si="38">F47+F48-F49</f>
        <v>14020</v>
      </c>
      <c r="G50" s="417">
        <f t="shared" si="38"/>
        <v>-1115</v>
      </c>
      <c r="H50" s="417">
        <f t="shared" si="38"/>
        <v>-8075</v>
      </c>
      <c r="I50" s="417">
        <f t="shared" ref="I50" si="39">I47+I48-I49</f>
        <v>-2314</v>
      </c>
      <c r="J50" s="431"/>
    </row>
    <row r="51" spans="2:13" ht="23.25" customHeight="1" x14ac:dyDescent="0.15">
      <c r="B51" s="434"/>
      <c r="C51" s="435"/>
      <c r="D51" s="435"/>
      <c r="E51" s="435"/>
      <c r="F51" s="435"/>
      <c r="G51" s="435"/>
      <c r="H51" s="435"/>
      <c r="I51" s="435"/>
      <c r="J51" s="431"/>
    </row>
    <row r="52" spans="2:13" ht="23.25" customHeight="1" x14ac:dyDescent="0.15">
      <c r="B52" s="434"/>
      <c r="C52" s="435"/>
      <c r="D52" s="435"/>
      <c r="E52" s="435"/>
      <c r="F52" s="435"/>
      <c r="G52" s="435"/>
      <c r="H52" s="435"/>
      <c r="I52" s="435"/>
      <c r="J52" s="431"/>
    </row>
    <row r="53" spans="2:13" ht="23.25" customHeight="1" x14ac:dyDescent="0.15">
      <c r="B53" s="404" t="s">
        <v>45</v>
      </c>
      <c r="J53" s="431"/>
      <c r="K53" s="431"/>
    </row>
    <row r="54" spans="2:13" ht="23.25" customHeight="1" x14ac:dyDescent="0.15">
      <c r="B54" s="406" t="s">
        <v>1711</v>
      </c>
      <c r="C54" s="405">
        <f>C7</f>
        <v>2015</v>
      </c>
      <c r="D54" s="405">
        <f>D7</f>
        <v>2016</v>
      </c>
      <c r="E54" s="405">
        <f>E7</f>
        <v>2017</v>
      </c>
      <c r="F54" s="405">
        <f>F7</f>
        <v>2018</v>
      </c>
      <c r="G54" s="405">
        <f>G7</f>
        <v>2019</v>
      </c>
      <c r="H54" s="405">
        <v>2020</v>
      </c>
      <c r="I54" s="405">
        <v>2020</v>
      </c>
      <c r="K54" s="431"/>
    </row>
    <row r="55" spans="2:13" s="404" customFormat="1" ht="23.25" customHeight="1" x14ac:dyDescent="0.15">
      <c r="B55" s="410" t="s">
        <v>1693</v>
      </c>
      <c r="C55" s="411">
        <f>1800+2851</f>
        <v>4651</v>
      </c>
      <c r="D55" s="411">
        <f>2351+2967</f>
        <v>5318</v>
      </c>
      <c r="E55" s="411">
        <f>1854+4235</f>
        <v>6089</v>
      </c>
      <c r="F55" s="411">
        <f>2242+4564</f>
        <v>6806</v>
      </c>
      <c r="G55" s="411">
        <f>5344+2247</f>
        <v>7591</v>
      </c>
      <c r="H55" s="411">
        <f>5382+1479</f>
        <v>6861</v>
      </c>
      <c r="I55" s="411">
        <v>6857</v>
      </c>
      <c r="J55" s="436"/>
      <c r="K55" s="431"/>
    </row>
    <row r="56" spans="2:13" ht="18" customHeight="1" x14ac:dyDescent="0.15">
      <c r="B56" s="410" t="s">
        <v>1694</v>
      </c>
      <c r="C56" s="411">
        <v>217</v>
      </c>
      <c r="D56" s="411">
        <v>400</v>
      </c>
      <c r="E56" s="411">
        <v>509</v>
      </c>
      <c r="F56" s="411">
        <v>581</v>
      </c>
      <c r="G56" s="411">
        <v>614</v>
      </c>
      <c r="H56" s="411">
        <v>788</v>
      </c>
      <c r="I56" s="411">
        <v>0</v>
      </c>
      <c r="K56" s="437"/>
    </row>
    <row r="57" spans="2:13" ht="23.25" customHeight="1" x14ac:dyDescent="0.15">
      <c r="B57" s="410" t="s">
        <v>1695</v>
      </c>
      <c r="C57" s="411">
        <v>0</v>
      </c>
      <c r="D57" s="411">
        <v>0</v>
      </c>
      <c r="E57" s="411">
        <v>0</v>
      </c>
      <c r="F57" s="411">
        <v>0</v>
      </c>
      <c r="G57" s="411">
        <v>0</v>
      </c>
      <c r="H57" s="411">
        <v>0</v>
      </c>
      <c r="I57" s="411">
        <v>0</v>
      </c>
      <c r="J57" s="431"/>
      <c r="K57" s="438"/>
      <c r="L57" s="439"/>
      <c r="M57" s="439"/>
    </row>
    <row r="58" spans="2:13" ht="23.25" customHeight="1" x14ac:dyDescent="0.15">
      <c r="B58" s="410" t="s">
        <v>1571</v>
      </c>
      <c r="C58" s="411">
        <v>4887</v>
      </c>
      <c r="D58" s="411">
        <v>5331</v>
      </c>
      <c r="E58" s="411">
        <v>5262</v>
      </c>
      <c r="F58" s="411">
        <v>6104</v>
      </c>
      <c r="G58" s="411">
        <f>8157-1900</f>
        <v>6257</v>
      </c>
      <c r="H58" s="411">
        <f>9569-1308-832</f>
        <v>7429</v>
      </c>
      <c r="I58" s="411">
        <v>8938</v>
      </c>
      <c r="J58" s="431"/>
      <c r="K58" s="438"/>
      <c r="L58" s="411"/>
      <c r="M58" s="411"/>
    </row>
    <row r="59" spans="2:13" ht="23.25" customHeight="1" x14ac:dyDescent="0.15">
      <c r="B59" s="410" t="s">
        <v>1572</v>
      </c>
      <c r="C59" s="411">
        <v>312</v>
      </c>
      <c r="D59" s="411">
        <v>186</v>
      </c>
      <c r="E59" s="411">
        <v>142</v>
      </c>
      <c r="F59" s="411">
        <v>255</v>
      </c>
      <c r="G59" s="411">
        <v>264</v>
      </c>
      <c r="H59" s="411">
        <v>454</v>
      </c>
      <c r="I59" s="411">
        <v>550</v>
      </c>
      <c r="J59" s="431"/>
      <c r="K59" s="438"/>
      <c r="L59" s="439"/>
      <c r="M59" s="439"/>
    </row>
    <row r="60" spans="2:13" ht="23.25" customHeight="1" x14ac:dyDescent="0.15">
      <c r="B60" s="425" t="s">
        <v>1573</v>
      </c>
      <c r="C60" s="408">
        <f>+C55+C56+C57+C58+C59</f>
        <v>10067</v>
      </c>
      <c r="D60" s="408">
        <f t="shared" ref="D60:H60" si="40">+D55+D56+D57+D58+D59</f>
        <v>11235</v>
      </c>
      <c r="E60" s="408">
        <f t="shared" si="40"/>
        <v>12002</v>
      </c>
      <c r="F60" s="408">
        <f t="shared" si="40"/>
        <v>13746</v>
      </c>
      <c r="G60" s="408">
        <f t="shared" si="40"/>
        <v>14726</v>
      </c>
      <c r="H60" s="408">
        <f t="shared" si="40"/>
        <v>15532</v>
      </c>
      <c r="I60" s="408">
        <f t="shared" ref="I60" si="41">+I55+I56+I57+I58+I59</f>
        <v>16345</v>
      </c>
      <c r="J60" s="431"/>
      <c r="K60" s="438"/>
      <c r="L60" s="439"/>
      <c r="M60" s="439"/>
    </row>
    <row r="61" spans="2:13" ht="23.25" customHeight="1" x14ac:dyDescent="0.15">
      <c r="B61" s="428" t="s">
        <v>1195</v>
      </c>
      <c r="C61" s="411">
        <v>3886</v>
      </c>
      <c r="D61" s="411">
        <v>4747</v>
      </c>
      <c r="E61" s="411">
        <v>6964</v>
      </c>
      <c r="F61" s="411">
        <v>8348</v>
      </c>
      <c r="G61" s="411">
        <v>10511</v>
      </c>
      <c r="H61" s="411">
        <v>13218</v>
      </c>
      <c r="I61" s="411">
        <v>15293</v>
      </c>
      <c r="J61" s="431"/>
      <c r="K61" s="438"/>
      <c r="L61" s="411"/>
      <c r="M61" s="411"/>
    </row>
    <row r="62" spans="2:13" ht="23.25" customHeight="1" x14ac:dyDescent="0.15">
      <c r="B62" s="410" t="s">
        <v>25</v>
      </c>
      <c r="C62" s="411">
        <f>6050+944-21</f>
        <v>6973</v>
      </c>
      <c r="D62" s="411">
        <f>7238+1639-5</f>
        <v>8872</v>
      </c>
      <c r="E62" s="411">
        <f>8342+2297-163</f>
        <v>10476</v>
      </c>
      <c r="F62" s="411">
        <f>8978+2419</f>
        <v>11397</v>
      </c>
      <c r="G62" s="411">
        <f>3121-380+9811</f>
        <v>12552</v>
      </c>
      <c r="H62" s="411">
        <f>11310+3284-380</f>
        <v>14214</v>
      </c>
      <c r="I62" s="411">
        <v>15271</v>
      </c>
      <c r="J62" s="431"/>
      <c r="K62" s="438"/>
      <c r="L62" s="439"/>
      <c r="M62" s="439"/>
    </row>
    <row r="63" spans="2:13" ht="23.25" customHeight="1" x14ac:dyDescent="0.15">
      <c r="B63" s="410" t="s">
        <v>1574</v>
      </c>
      <c r="C63" s="411">
        <f>1295+596+350</f>
        <v>2241</v>
      </c>
      <c r="D63" s="411">
        <f>1633+547</f>
        <v>2180</v>
      </c>
      <c r="E63" s="411">
        <f>1639+885</f>
        <v>2524</v>
      </c>
      <c r="F63" s="411">
        <f>1725+787+1091</f>
        <v>3603</v>
      </c>
      <c r="G63" s="411">
        <f>1367+2196</f>
        <v>3563</v>
      </c>
      <c r="H63" s="411">
        <f>1759+2855+66</f>
        <v>4680</v>
      </c>
      <c r="I63" s="411">
        <v>5688</v>
      </c>
      <c r="J63" s="431"/>
      <c r="L63" s="439"/>
      <c r="M63" s="439"/>
    </row>
    <row r="64" spans="2:13" ht="23.25" customHeight="1" x14ac:dyDescent="0.15">
      <c r="B64" s="410" t="s">
        <v>354</v>
      </c>
      <c r="C64" s="411">
        <f>2113-C69</f>
        <v>1938</v>
      </c>
      <c r="D64" s="411">
        <f>3764-D69</f>
        <v>2830</v>
      </c>
      <c r="E64" s="411">
        <f>3494-E69</f>
        <v>3363</v>
      </c>
      <c r="F64" s="411">
        <f>2952-F69</f>
        <v>2726</v>
      </c>
      <c r="G64" s="411">
        <f>2644</f>
        <v>2644</v>
      </c>
      <c r="H64" s="411">
        <v>3873</v>
      </c>
      <c r="I64" s="411">
        <v>5232</v>
      </c>
      <c r="L64" s="408"/>
      <c r="M64" s="408"/>
    </row>
    <row r="65" spans="1:41" ht="23.25" customHeight="1" x14ac:dyDescent="0.15">
      <c r="B65" s="410" t="s">
        <v>1575</v>
      </c>
      <c r="C65" s="411">
        <f>3369-798+178+184</f>
        <v>2933</v>
      </c>
      <c r="D65" s="411">
        <f>4248-1287+553+243</f>
        <v>3757</v>
      </c>
      <c r="E65" s="411">
        <f>5064-1504+399+320</f>
        <v>4279</v>
      </c>
      <c r="F65" s="411">
        <f>5517+871</f>
        <v>6388</v>
      </c>
      <c r="G65" s="411">
        <f>1043+7205+1485</f>
        <v>9733</v>
      </c>
      <c r="H65" s="411">
        <f>8530+937</f>
        <v>9467</v>
      </c>
      <c r="I65" s="411">
        <v>9498</v>
      </c>
      <c r="K65" s="440"/>
    </row>
    <row r="66" spans="1:41" ht="23.25" customHeight="1" x14ac:dyDescent="0.15">
      <c r="B66" s="410" t="s">
        <v>1696</v>
      </c>
      <c r="C66" s="411">
        <f>5841+798</f>
        <v>6639</v>
      </c>
      <c r="D66" s="411">
        <f>8386+1287</f>
        <v>9673</v>
      </c>
      <c r="E66" s="411">
        <f>11811+1504</f>
        <v>13315</v>
      </c>
      <c r="F66" s="411">
        <v>16214</v>
      </c>
      <c r="G66" s="411">
        <v>19419</v>
      </c>
      <c r="H66" s="411">
        <v>22143</v>
      </c>
      <c r="I66" s="411">
        <v>26007</v>
      </c>
      <c r="K66" s="440"/>
    </row>
    <row r="67" spans="1:41" ht="23.25" customHeight="1" x14ac:dyDescent="0.15">
      <c r="B67" s="425" t="s">
        <v>1576</v>
      </c>
      <c r="C67" s="408">
        <f t="shared" ref="C67:H67" si="42">+C61+C62-C64+C63-C65-C66</f>
        <v>1590</v>
      </c>
      <c r="D67" s="408">
        <f t="shared" si="42"/>
        <v>-461</v>
      </c>
      <c r="E67" s="408">
        <f t="shared" si="42"/>
        <v>-993</v>
      </c>
      <c r="F67" s="408">
        <f t="shared" si="42"/>
        <v>-1980</v>
      </c>
      <c r="G67" s="408">
        <f t="shared" si="42"/>
        <v>-5170</v>
      </c>
      <c r="H67" s="408">
        <f t="shared" si="42"/>
        <v>-3371</v>
      </c>
      <c r="I67" s="408">
        <f t="shared" ref="I67" si="43">+I61+I62-I64+I63-I65-I66</f>
        <v>-4485</v>
      </c>
      <c r="K67" s="441"/>
    </row>
    <row r="68" spans="1:41" ht="23.25" customHeight="1" x14ac:dyDescent="0.15">
      <c r="B68" s="410" t="s">
        <v>1577</v>
      </c>
      <c r="C68" s="411">
        <v>0</v>
      </c>
      <c r="D68" s="411">
        <v>0</v>
      </c>
      <c r="E68" s="411">
        <v>0</v>
      </c>
      <c r="F68" s="411">
        <v>0</v>
      </c>
      <c r="G68" s="411">
        <v>0</v>
      </c>
      <c r="H68" s="411">
        <v>0</v>
      </c>
      <c r="I68" s="411">
        <v>0</v>
      </c>
      <c r="K68" s="441"/>
    </row>
    <row r="69" spans="1:41" ht="23.25" customHeight="1" x14ac:dyDescent="0.15">
      <c r="B69" s="410" t="s">
        <v>1697</v>
      </c>
      <c r="C69" s="411">
        <v>175</v>
      </c>
      <c r="D69" s="411">
        <v>934</v>
      </c>
      <c r="E69" s="411">
        <v>131</v>
      </c>
      <c r="F69" s="411">
        <v>226</v>
      </c>
      <c r="G69" s="411">
        <v>159</v>
      </c>
      <c r="H69" s="411">
        <v>414</v>
      </c>
      <c r="I69" s="411">
        <v>1239</v>
      </c>
      <c r="K69" s="441"/>
    </row>
    <row r="70" spans="1:41" ht="23.25" customHeight="1" x14ac:dyDescent="0.15">
      <c r="B70" s="466" t="s">
        <v>1698</v>
      </c>
      <c r="C70" s="467">
        <f>C68-C69</f>
        <v>-175</v>
      </c>
      <c r="D70" s="467">
        <f>D68-D69</f>
        <v>-934</v>
      </c>
      <c r="E70" s="467">
        <f>E68-E69</f>
        <v>-131</v>
      </c>
      <c r="F70" s="467">
        <f t="shared" ref="F70:H70" si="44">F68-F69</f>
        <v>-226</v>
      </c>
      <c r="G70" s="467">
        <f t="shared" si="44"/>
        <v>-159</v>
      </c>
      <c r="H70" s="467">
        <f t="shared" si="44"/>
        <v>-414</v>
      </c>
      <c r="I70" s="467">
        <f t="shared" ref="I70" si="45">I68-I69</f>
        <v>-1239</v>
      </c>
      <c r="K70" s="441"/>
    </row>
    <row r="71" spans="1:41" ht="23.25" customHeight="1" x14ac:dyDescent="0.15">
      <c r="B71" s="433" t="s">
        <v>1699</v>
      </c>
      <c r="C71" s="417">
        <f t="shared" ref="C71:H71" si="46">C60+C67+C70</f>
        <v>11482</v>
      </c>
      <c r="D71" s="417">
        <f t="shared" si="46"/>
        <v>9840</v>
      </c>
      <c r="E71" s="417">
        <f t="shared" si="46"/>
        <v>10878</v>
      </c>
      <c r="F71" s="417">
        <f t="shared" si="46"/>
        <v>11540</v>
      </c>
      <c r="G71" s="417">
        <f t="shared" si="46"/>
        <v>9397</v>
      </c>
      <c r="H71" s="417">
        <f t="shared" si="46"/>
        <v>11747</v>
      </c>
      <c r="I71" s="417">
        <f t="shared" ref="I71" si="47">I60+I67+I70</f>
        <v>10621</v>
      </c>
      <c r="J71" s="444"/>
    </row>
    <row r="72" spans="1:41" s="442" customFormat="1" ht="23.25" customHeight="1" x14ac:dyDescent="0.15">
      <c r="A72" s="401"/>
      <c r="B72" s="428" t="s">
        <v>208</v>
      </c>
      <c r="C72" s="411">
        <v>3548</v>
      </c>
      <c r="D72" s="411">
        <v>3281</v>
      </c>
      <c r="E72" s="411">
        <v>3529</v>
      </c>
      <c r="F72" s="411">
        <v>19489</v>
      </c>
      <c r="G72" s="411">
        <v>15852</v>
      </c>
      <c r="H72" s="411">
        <v>10426</v>
      </c>
      <c r="I72" s="411">
        <v>6782</v>
      </c>
      <c r="J72" s="401"/>
      <c r="K72" s="401"/>
      <c r="L72" s="401"/>
      <c r="M72" s="401"/>
      <c r="N72" s="401"/>
      <c r="O72" s="401"/>
      <c r="P72" s="401"/>
      <c r="Q72" s="401"/>
      <c r="R72" s="401"/>
      <c r="S72" s="401"/>
      <c r="T72" s="401"/>
      <c r="U72" s="401"/>
      <c r="V72" s="401"/>
      <c r="W72" s="401"/>
      <c r="X72" s="401"/>
      <c r="Y72" s="401"/>
      <c r="Z72" s="401"/>
      <c r="AA72" s="401"/>
      <c r="AB72" s="401"/>
      <c r="AC72" s="401"/>
      <c r="AD72" s="401"/>
      <c r="AE72" s="401"/>
      <c r="AF72" s="401"/>
      <c r="AG72" s="401"/>
      <c r="AH72" s="401"/>
      <c r="AI72" s="401"/>
      <c r="AJ72" s="401"/>
      <c r="AK72" s="401"/>
      <c r="AL72" s="401"/>
      <c r="AM72" s="401"/>
      <c r="AN72" s="401"/>
      <c r="AO72" s="401"/>
    </row>
    <row r="73" spans="1:41" ht="23.25" customHeight="1" x14ac:dyDescent="0.15">
      <c r="B73" s="410" t="s">
        <v>1578</v>
      </c>
      <c r="C73" s="411">
        <v>228</v>
      </c>
      <c r="D73" s="411">
        <v>188</v>
      </c>
      <c r="E73" s="411">
        <v>0</v>
      </c>
      <c r="F73" s="411">
        <v>0</v>
      </c>
      <c r="G73" s="411">
        <v>0</v>
      </c>
      <c r="H73" s="411">
        <v>0</v>
      </c>
      <c r="I73" s="411">
        <v>0</v>
      </c>
    </row>
    <row r="74" spans="1:41" ht="23.25" customHeight="1" x14ac:dyDescent="0.15">
      <c r="B74" s="410" t="s">
        <v>1700</v>
      </c>
      <c r="C74" s="411">
        <v>-214</v>
      </c>
      <c r="D74" s="411">
        <v>-293</v>
      </c>
      <c r="E74" s="411">
        <v>-68</v>
      </c>
      <c r="F74" s="411">
        <v>57</v>
      </c>
      <c r="G74" s="411">
        <v>134</v>
      </c>
      <c r="H74" s="411">
        <v>137</v>
      </c>
      <c r="I74" s="411">
        <v>343</v>
      </c>
    </row>
    <row r="75" spans="1:41" ht="23.25" customHeight="1" x14ac:dyDescent="0.15">
      <c r="B75" s="410" t="s">
        <v>1701</v>
      </c>
      <c r="C75" s="411">
        <f>827+182+36</f>
        <v>1045</v>
      </c>
      <c r="D75" s="411">
        <f>1081+125+69</f>
        <v>1275</v>
      </c>
      <c r="E75" s="411">
        <f>1292+47+65</f>
        <v>1404</v>
      </c>
      <c r="F75" s="411">
        <v>0</v>
      </c>
      <c r="G75" s="411">
        <v>0</v>
      </c>
      <c r="H75" s="411">
        <v>0</v>
      </c>
      <c r="I75" s="411">
        <v>0</v>
      </c>
      <c r="J75" s="443"/>
    </row>
    <row r="76" spans="1:41" ht="23.25" customHeight="1" x14ac:dyDescent="0.15">
      <c r="B76" s="425" t="s">
        <v>1702</v>
      </c>
      <c r="C76" s="408">
        <f>+C72+C73+C74+C75</f>
        <v>4607</v>
      </c>
      <c r="D76" s="408">
        <f t="shared" ref="D76:H76" si="48">+D72+D73+D74+D75</f>
        <v>4451</v>
      </c>
      <c r="E76" s="408">
        <f t="shared" si="48"/>
        <v>4865</v>
      </c>
      <c r="F76" s="408">
        <f t="shared" si="48"/>
        <v>19546</v>
      </c>
      <c r="G76" s="408">
        <f t="shared" si="48"/>
        <v>15986</v>
      </c>
      <c r="H76" s="408">
        <f t="shared" si="48"/>
        <v>10563</v>
      </c>
      <c r="I76" s="408">
        <f t="shared" ref="I76" si="49">+I72+I73+I74+I75</f>
        <v>7125</v>
      </c>
    </row>
    <row r="77" spans="1:41" ht="23.25" customHeight="1" x14ac:dyDescent="0.15">
      <c r="B77" s="428" t="s">
        <v>1579</v>
      </c>
      <c r="C77" s="411">
        <f>7084+233</f>
        <v>7317</v>
      </c>
      <c r="D77" s="411">
        <f>8613+314-2</f>
        <v>8925</v>
      </c>
      <c r="E77" s="411">
        <f>7950+366+1</f>
        <v>8317</v>
      </c>
      <c r="F77" s="411">
        <f>5950+396</f>
        <v>6346</v>
      </c>
      <c r="G77" s="411">
        <f>12076+606-1100-2079-30-306-302</f>
        <v>8865</v>
      </c>
      <c r="H77" s="411">
        <f>10642-1308+794+2</f>
        <v>10130</v>
      </c>
      <c r="I77" s="411">
        <v>19461</v>
      </c>
    </row>
    <row r="78" spans="1:41" ht="23.25" customHeight="1" x14ac:dyDescent="0.15">
      <c r="B78" s="410" t="s">
        <v>1703</v>
      </c>
      <c r="C78" s="411">
        <f>1855</f>
        <v>1855</v>
      </c>
      <c r="D78" s="411">
        <f>2365</f>
        <v>2365</v>
      </c>
      <c r="E78" s="411">
        <f>3367</f>
        <v>3367</v>
      </c>
      <c r="F78" s="411">
        <v>2006</v>
      </c>
      <c r="G78" s="411">
        <f>2079+30+306-800</f>
        <v>1615</v>
      </c>
      <c r="H78" s="411">
        <f>3942-832</f>
        <v>3110</v>
      </c>
      <c r="I78" s="411">
        <v>2814</v>
      </c>
    </row>
    <row r="79" spans="1:41" ht="23.25" customHeight="1" x14ac:dyDescent="0.15">
      <c r="B79" s="410" t="s">
        <v>1580</v>
      </c>
      <c r="C79" s="468">
        <v>2297</v>
      </c>
      <c r="D79" s="468">
        <v>5901</v>
      </c>
      <c r="E79" s="468">
        <v>5671</v>
      </c>
      <c r="F79" s="468">
        <v>16358</v>
      </c>
      <c r="G79" s="468">
        <v>17371</v>
      </c>
      <c r="H79" s="468">
        <v>12056</v>
      </c>
      <c r="I79" s="468">
        <v>18779</v>
      </c>
    </row>
    <row r="80" spans="1:41" ht="23.25" customHeight="1" x14ac:dyDescent="0.15">
      <c r="B80" s="425" t="s">
        <v>1704</v>
      </c>
      <c r="C80" s="408">
        <f>+C77+C78-C79</f>
        <v>6875</v>
      </c>
      <c r="D80" s="408">
        <f t="shared" ref="D80:H80" si="50">+D77+D78-D79</f>
        <v>5389</v>
      </c>
      <c r="E80" s="408">
        <f t="shared" si="50"/>
        <v>6013</v>
      </c>
      <c r="F80" s="408">
        <f t="shared" si="50"/>
        <v>-8006</v>
      </c>
      <c r="G80" s="408">
        <f t="shared" si="50"/>
        <v>-6891</v>
      </c>
      <c r="H80" s="408">
        <f t="shared" si="50"/>
        <v>1184</v>
      </c>
      <c r="I80" s="408">
        <f t="shared" ref="I80" si="51">+I77+I78-I79</f>
        <v>3496</v>
      </c>
      <c r="J80" s="444"/>
      <c r="K80" s="404"/>
    </row>
    <row r="81" spans="2:11" s="440" customFormat="1" ht="24.75" customHeight="1" x14ac:dyDescent="0.15">
      <c r="B81" s="433" t="s">
        <v>1705</v>
      </c>
      <c r="C81" s="417">
        <f>C76+C80</f>
        <v>11482</v>
      </c>
      <c r="D81" s="417">
        <f>D76+D80</f>
        <v>9840</v>
      </c>
      <c r="E81" s="417">
        <f>E76+E80</f>
        <v>10878</v>
      </c>
      <c r="F81" s="417">
        <f t="shared" ref="F81:H81" si="52">F76+F80</f>
        <v>11540</v>
      </c>
      <c r="G81" s="417">
        <f t="shared" si="52"/>
        <v>9095</v>
      </c>
      <c r="H81" s="417">
        <f t="shared" si="52"/>
        <v>11747</v>
      </c>
      <c r="I81" s="417">
        <f t="shared" ref="I81" si="53">I76+I80</f>
        <v>10621</v>
      </c>
      <c r="J81" s="445"/>
      <c r="K81" s="401"/>
    </row>
    <row r="82" spans="2:11" s="440" customFormat="1" x14ac:dyDescent="0.15">
      <c r="B82" s="407"/>
      <c r="C82" s="408"/>
      <c r="D82" s="408"/>
      <c r="E82" s="408"/>
      <c r="F82" s="408"/>
      <c r="G82" s="408"/>
      <c r="H82" s="408"/>
      <c r="I82" s="408"/>
      <c r="J82" s="445"/>
      <c r="K82" s="401"/>
    </row>
    <row r="83" spans="2:11" s="440" customFormat="1" x14ac:dyDescent="0.15">
      <c r="B83" s="407"/>
      <c r="C83" s="408"/>
      <c r="D83" s="408"/>
      <c r="E83" s="408"/>
      <c r="F83" s="408"/>
      <c r="G83" s="408"/>
      <c r="H83" s="408"/>
      <c r="I83" s="408"/>
      <c r="J83" s="445"/>
      <c r="K83" s="401"/>
    </row>
    <row r="84" spans="2:11" ht="23.25" customHeight="1" x14ac:dyDescent="0.15">
      <c r="B84" s="428"/>
      <c r="C84" s="444"/>
      <c r="D84" s="444"/>
      <c r="E84" s="444"/>
      <c r="F84" s="444"/>
      <c r="G84" s="444"/>
      <c r="H84" s="444"/>
      <c r="I84" s="444"/>
      <c r="J84" s="446"/>
    </row>
    <row r="85" spans="2:11" ht="23.25" customHeight="1" x14ac:dyDescent="0.15">
      <c r="B85" s="447" t="s">
        <v>1581</v>
      </c>
      <c r="C85" s="405">
        <f t="shared" ref="C85:H85" si="54">C97</f>
        <v>2015</v>
      </c>
      <c r="D85" s="405">
        <f t="shared" si="54"/>
        <v>2016</v>
      </c>
      <c r="E85" s="405">
        <f t="shared" si="54"/>
        <v>2017</v>
      </c>
      <c r="F85" s="405">
        <f t="shared" si="54"/>
        <v>2018</v>
      </c>
      <c r="G85" s="405">
        <f t="shared" si="54"/>
        <v>2019</v>
      </c>
      <c r="H85" s="405">
        <f t="shared" si="54"/>
        <v>2020</v>
      </c>
      <c r="I85" s="405">
        <f t="shared" ref="I85" si="55">I97</f>
        <v>2021</v>
      </c>
      <c r="J85" s="446"/>
    </row>
    <row r="86" spans="2:11" ht="23.25" customHeight="1" x14ac:dyDescent="0.15">
      <c r="B86" s="428" t="s">
        <v>1706</v>
      </c>
      <c r="C86" s="411">
        <v>98</v>
      </c>
      <c r="D86" s="411">
        <v>113</v>
      </c>
      <c r="E86" s="411">
        <v>139</v>
      </c>
      <c r="F86" s="411">
        <v>182</v>
      </c>
      <c r="G86" s="411">
        <f>234+29+15+9</f>
        <v>287</v>
      </c>
      <c r="H86" s="411">
        <v>296</v>
      </c>
      <c r="I86" s="411">
        <v>296</v>
      </c>
      <c r="J86" s="446"/>
    </row>
    <row r="87" spans="2:11" ht="23.25" customHeight="1" x14ac:dyDescent="0.15">
      <c r="B87" s="428" t="s">
        <v>1582</v>
      </c>
      <c r="C87" s="411">
        <f t="shared" ref="C87:H87" si="56">C8/C86</f>
        <v>203.96938775510205</v>
      </c>
      <c r="D87" s="411">
        <f t="shared" si="56"/>
        <v>232.15929203539824</v>
      </c>
      <c r="E87" s="411">
        <f t="shared" si="56"/>
        <v>220.37410071942446</v>
      </c>
      <c r="F87" s="411">
        <f t="shared" si="56"/>
        <v>184.45054945054946</v>
      </c>
      <c r="G87" s="411">
        <f t="shared" si="56"/>
        <v>139.3170731707317</v>
      </c>
      <c r="H87" s="411">
        <f t="shared" si="56"/>
        <v>136.59121621621622</v>
      </c>
      <c r="I87" s="411">
        <f t="shared" ref="I87" si="57">I8/I86</f>
        <v>174.15202702702703</v>
      </c>
      <c r="J87" s="446"/>
    </row>
    <row r="88" spans="2:11" ht="23.25" customHeight="1" x14ac:dyDescent="0.15">
      <c r="B88" s="428" t="s">
        <v>1583</v>
      </c>
      <c r="C88" s="411">
        <f t="shared" ref="C88:H88" si="58">C15/C86</f>
        <v>98.326530612244895</v>
      </c>
      <c r="D88" s="411">
        <f t="shared" si="58"/>
        <v>113.48672566371681</v>
      </c>
      <c r="E88" s="411">
        <f t="shared" si="58"/>
        <v>107.27338129496403</v>
      </c>
      <c r="F88" s="411">
        <f t="shared" si="58"/>
        <v>76.065934065934073</v>
      </c>
      <c r="G88" s="411">
        <f t="shared" si="58"/>
        <v>57.874564459930312</v>
      </c>
      <c r="H88" s="411">
        <f t="shared" si="58"/>
        <v>61.587837837837839</v>
      </c>
      <c r="I88" s="411">
        <f t="shared" ref="I88" si="59">I15/I86</f>
        <v>81.084459459459453</v>
      </c>
      <c r="J88" s="446"/>
    </row>
    <row r="89" spans="2:11" ht="23.25" customHeight="1" x14ac:dyDescent="0.15">
      <c r="B89" s="428" t="s">
        <v>1584</v>
      </c>
      <c r="C89" s="448">
        <f t="shared" ref="C89:H89" si="60">C21/C86</f>
        <v>19.663265306122447</v>
      </c>
      <c r="D89" s="448">
        <f t="shared" si="60"/>
        <v>32.43362831858407</v>
      </c>
      <c r="E89" s="448">
        <f t="shared" si="60"/>
        <v>34.870503597122301</v>
      </c>
      <c r="F89" s="448">
        <f t="shared" si="60"/>
        <v>3</v>
      </c>
      <c r="G89" s="448">
        <f t="shared" si="60"/>
        <v>-3.8327526132404182</v>
      </c>
      <c r="H89" s="448">
        <f t="shared" si="60"/>
        <v>-7.4256756756756754</v>
      </c>
      <c r="I89" s="448">
        <f t="shared" ref="I89" si="61">I21/I86</f>
        <v>7.0912162162162158</v>
      </c>
      <c r="J89" s="446"/>
    </row>
    <row r="90" spans="2:11" ht="23.25" customHeight="1" x14ac:dyDescent="0.15">
      <c r="B90" s="449" t="s">
        <v>1585</v>
      </c>
      <c r="C90" s="450">
        <f t="shared" ref="C90:H90" si="62">C16/C86</f>
        <v>64.897959183673464</v>
      </c>
      <c r="D90" s="450">
        <f t="shared" si="62"/>
        <v>66.725663716814154</v>
      </c>
      <c r="E90" s="450">
        <f t="shared" si="62"/>
        <v>55.942446043165468</v>
      </c>
      <c r="F90" s="450">
        <f t="shared" si="62"/>
        <v>55.005494505494504</v>
      </c>
      <c r="G90" s="450">
        <f t="shared" si="62"/>
        <v>49.522648083623693</v>
      </c>
      <c r="H90" s="450">
        <f t="shared" si="62"/>
        <v>54.155405405405403</v>
      </c>
      <c r="I90" s="450">
        <f t="shared" ref="I90" si="63">I16/I86</f>
        <v>61.013513513513516</v>
      </c>
      <c r="J90" s="446"/>
    </row>
    <row r="91" spans="2:11" ht="23.25" customHeight="1" x14ac:dyDescent="0.15">
      <c r="B91" s="428"/>
      <c r="C91" s="428"/>
      <c r="D91" s="428"/>
      <c r="E91" s="428"/>
      <c r="F91" s="428"/>
      <c r="G91" s="428"/>
      <c r="H91" s="428"/>
      <c r="I91" s="428"/>
      <c r="J91" s="446"/>
    </row>
    <row r="92" spans="2:11" ht="23.25" customHeight="1" x14ac:dyDescent="0.15">
      <c r="B92" s="428"/>
      <c r="C92" s="411"/>
      <c r="D92" s="411"/>
      <c r="E92" s="411"/>
      <c r="F92" s="411"/>
      <c r="G92" s="411"/>
      <c r="H92" s="411"/>
      <c r="I92" s="411"/>
      <c r="J92" s="446"/>
      <c r="K92" s="404"/>
    </row>
    <row r="93" spans="2:11" ht="23.25" customHeight="1" x14ac:dyDescent="0.15">
      <c r="B93" s="406" t="s">
        <v>1586</v>
      </c>
      <c r="C93" s="405">
        <f t="shared" ref="C93:H93" si="64">C85</f>
        <v>2015</v>
      </c>
      <c r="D93" s="405">
        <f t="shared" si="64"/>
        <v>2016</v>
      </c>
      <c r="E93" s="405">
        <f t="shared" si="64"/>
        <v>2017</v>
      </c>
      <c r="F93" s="405">
        <f t="shared" si="64"/>
        <v>2018</v>
      </c>
      <c r="G93" s="405">
        <f t="shared" si="64"/>
        <v>2019</v>
      </c>
      <c r="H93" s="405">
        <f t="shared" si="64"/>
        <v>2020</v>
      </c>
      <c r="I93" s="405">
        <f t="shared" ref="I93" si="65">I85</f>
        <v>2021</v>
      </c>
      <c r="J93" s="446"/>
      <c r="K93" s="404"/>
    </row>
    <row r="94" spans="2:11" ht="23.25" customHeight="1" x14ac:dyDescent="0.15">
      <c r="B94" s="449" t="s">
        <v>1587</v>
      </c>
      <c r="C94" s="452">
        <f t="shared" ref="C94:H94" si="66">(C42-C45)/C20</f>
        <v>1.0704800817160367</v>
      </c>
      <c r="D94" s="452">
        <f t="shared" si="66"/>
        <v>1.8987823439878235</v>
      </c>
      <c r="E94" s="452">
        <f t="shared" si="66"/>
        <v>1.5876225490196079</v>
      </c>
      <c r="F94" s="452">
        <f t="shared" si="66"/>
        <v>1.9009513150531616</v>
      </c>
      <c r="G94" s="452">
        <f t="shared" si="66"/>
        <v>0.44355758266818701</v>
      </c>
      <c r="H94" s="452">
        <f t="shared" si="66"/>
        <v>1.0692793931731985</v>
      </c>
      <c r="I94" s="452">
        <f t="shared" ref="I94" si="67">(I42-I45)/I20</f>
        <v>1.441025641025641</v>
      </c>
      <c r="J94" s="446"/>
    </row>
    <row r="95" spans="2:11" ht="23.25" customHeight="1" x14ac:dyDescent="0.15">
      <c r="B95" s="428"/>
      <c r="C95" s="428"/>
      <c r="D95" s="428"/>
      <c r="E95" s="428"/>
      <c r="F95" s="428"/>
      <c r="G95" s="428"/>
      <c r="H95" s="428"/>
      <c r="I95" s="428"/>
      <c r="J95" s="446"/>
    </row>
    <row r="96" spans="2:11" ht="23.25" customHeight="1" x14ac:dyDescent="0.15">
      <c r="B96" s="428" t="s">
        <v>353</v>
      </c>
      <c r="C96" s="453" t="s">
        <v>353</v>
      </c>
      <c r="D96" s="453" t="s">
        <v>353</v>
      </c>
      <c r="E96" s="453"/>
      <c r="F96" s="453"/>
      <c r="G96" s="453"/>
      <c r="H96" s="453"/>
      <c r="I96" s="453"/>
      <c r="J96" s="446"/>
    </row>
    <row r="97" spans="2:11" ht="23.25" customHeight="1" x14ac:dyDescent="0.15">
      <c r="B97" s="447" t="s">
        <v>1588</v>
      </c>
      <c r="C97" s="405">
        <f t="shared" ref="C97:H97" si="68">C7</f>
        <v>2015</v>
      </c>
      <c r="D97" s="405">
        <f t="shared" si="68"/>
        <v>2016</v>
      </c>
      <c r="E97" s="405">
        <f t="shared" si="68"/>
        <v>2017</v>
      </c>
      <c r="F97" s="405">
        <f t="shared" si="68"/>
        <v>2018</v>
      </c>
      <c r="G97" s="405">
        <f t="shared" si="68"/>
        <v>2019</v>
      </c>
      <c r="H97" s="405">
        <f t="shared" si="68"/>
        <v>2020</v>
      </c>
      <c r="I97" s="405">
        <f t="shared" ref="I97" si="69">I7</f>
        <v>2021</v>
      </c>
      <c r="J97" s="446"/>
    </row>
    <row r="98" spans="2:11" ht="23.25" customHeight="1" x14ac:dyDescent="0.15">
      <c r="B98" s="428" t="s">
        <v>1589</v>
      </c>
      <c r="C98" s="454">
        <f t="shared" ref="C98:H98" si="70">C67/(1+C102)/C8*365</f>
        <v>24.275475257210864</v>
      </c>
      <c r="D98" s="454">
        <f t="shared" si="70"/>
        <v>-5.3628802062630054</v>
      </c>
      <c r="E98" s="454">
        <f t="shared" si="70"/>
        <v>-9.8601952206842522</v>
      </c>
      <c r="F98" s="454">
        <f t="shared" si="70"/>
        <v>-17.94012511170688</v>
      </c>
      <c r="G98" s="454">
        <f t="shared" si="70"/>
        <v>-39.329273376017078</v>
      </c>
      <c r="H98" s="454">
        <f t="shared" si="70"/>
        <v>-25.360387656336314</v>
      </c>
      <c r="I98" s="454">
        <f t="shared" ref="I98" si="71">I67/(1+I102)/I8*365</f>
        <v>-26.463898426739608</v>
      </c>
      <c r="J98" s="446"/>
    </row>
    <row r="99" spans="2:11" s="404" customFormat="1" ht="23.25" customHeight="1" x14ac:dyDescent="0.15">
      <c r="B99" s="428" t="s">
        <v>1590</v>
      </c>
      <c r="C99" s="454">
        <f t="shared" ref="C99:H99" si="72">(C62/(1+C102))/C8*365</f>
        <v>106.46093645819585</v>
      </c>
      <c r="D99" s="454">
        <f t="shared" si="72"/>
        <v>103.20926939254963</v>
      </c>
      <c r="E99" s="454">
        <f t="shared" si="72"/>
        <v>104.02357012274746</v>
      </c>
      <c r="F99" s="454">
        <f t="shared" si="72"/>
        <v>103.2644474232946</v>
      </c>
      <c r="G99" s="454">
        <f t="shared" si="72"/>
        <v>95.48569427771109</v>
      </c>
      <c r="H99" s="454">
        <f t="shared" si="72"/>
        <v>106.9334174272217</v>
      </c>
      <c r="I99" s="454">
        <f t="shared" ref="I99" si="73">(I62/(1+I102))/I8*365</f>
        <v>90.107066415772692</v>
      </c>
      <c r="K99" s="401"/>
    </row>
    <row r="100" spans="2:11" ht="22" customHeight="1" x14ac:dyDescent="0.15">
      <c r="B100" s="428" t="s">
        <v>1591</v>
      </c>
      <c r="C100" s="454">
        <f t="shared" ref="C100:H100" si="74">C61/C8*365</f>
        <v>70.958527189954481</v>
      </c>
      <c r="D100" s="454">
        <f t="shared" si="74"/>
        <v>66.046161469848286</v>
      </c>
      <c r="E100" s="454">
        <f t="shared" si="74"/>
        <v>82.980543222773562</v>
      </c>
      <c r="F100" s="454">
        <f t="shared" si="74"/>
        <v>90.766160262138811</v>
      </c>
      <c r="G100" s="454">
        <f t="shared" si="74"/>
        <v>95.95125550220088</v>
      </c>
      <c r="H100" s="454">
        <f t="shared" si="74"/>
        <v>119.32848556800475</v>
      </c>
      <c r="I100" s="454">
        <f t="shared" ref="I100" si="75">I61/I8*365</f>
        <v>108.28425381675687</v>
      </c>
    </row>
    <row r="101" spans="2:11" ht="23.25" customHeight="1" x14ac:dyDescent="0.15">
      <c r="B101" s="428" t="s">
        <v>1592</v>
      </c>
      <c r="C101" s="454">
        <f t="shared" ref="C101:H101" si="76">C64/(C12+C14)*365</f>
        <v>59.139704038123902</v>
      </c>
      <c r="D101" s="454">
        <f t="shared" si="76"/>
        <v>67.345807797626804</v>
      </c>
      <c r="E101" s="454">
        <f t="shared" si="76"/>
        <v>72.740444444444435</v>
      </c>
      <c r="F101" s="454">
        <f t="shared" si="76"/>
        <v>47.491289198606275</v>
      </c>
      <c r="G101" s="454">
        <f t="shared" si="76"/>
        <v>39.624717717101213</v>
      </c>
      <c r="H101" s="454">
        <f t="shared" si="76"/>
        <v>59.406833081190122</v>
      </c>
      <c r="I101" s="454">
        <f t="shared" ref="I101" si="77">I64/(I12+I14)*365</f>
        <v>64.952892758749698</v>
      </c>
    </row>
    <row r="102" spans="2:11" ht="23.25" customHeight="1" x14ac:dyDescent="0.15">
      <c r="B102" s="449" t="s">
        <v>1593</v>
      </c>
      <c r="C102" s="455">
        <v>0.19600000000000001</v>
      </c>
      <c r="D102" s="455">
        <v>0.19600000000000001</v>
      </c>
      <c r="E102" s="455">
        <v>0.2</v>
      </c>
      <c r="F102" s="455">
        <v>0.2</v>
      </c>
      <c r="G102" s="455">
        <v>0.2</v>
      </c>
      <c r="H102" s="455">
        <v>0.2</v>
      </c>
      <c r="I102" s="455">
        <v>0.2</v>
      </c>
    </row>
    <row r="103" spans="2:11" ht="23.25" customHeight="1" x14ac:dyDescent="0.15">
      <c r="B103" s="428"/>
      <c r="C103" s="428"/>
      <c r="D103" s="428"/>
      <c r="E103" s="428"/>
      <c r="F103" s="428"/>
      <c r="G103" s="428"/>
      <c r="H103" s="428"/>
      <c r="I103" s="428"/>
    </row>
    <row r="104" spans="2:11" ht="23.25" customHeight="1" x14ac:dyDescent="0.15">
      <c r="B104" s="428"/>
    </row>
    <row r="105" spans="2:11" ht="23.25" customHeight="1" x14ac:dyDescent="0.15">
      <c r="B105" s="406" t="s">
        <v>1594</v>
      </c>
      <c r="C105" s="405">
        <f t="shared" ref="C105:G105" si="78">C97</f>
        <v>2015</v>
      </c>
      <c r="D105" s="405">
        <f t="shared" si="78"/>
        <v>2016</v>
      </c>
      <c r="E105" s="405">
        <f t="shared" si="78"/>
        <v>2017</v>
      </c>
      <c r="F105" s="405">
        <f t="shared" si="78"/>
        <v>2018</v>
      </c>
      <c r="G105" s="405">
        <f t="shared" si="78"/>
        <v>2019</v>
      </c>
      <c r="H105" s="405">
        <f t="shared" ref="H105:I105" si="79">H97</f>
        <v>2020</v>
      </c>
      <c r="I105" s="405">
        <f t="shared" si="79"/>
        <v>2021</v>
      </c>
    </row>
    <row r="106" spans="2:11" ht="23.25" customHeight="1" x14ac:dyDescent="0.15">
      <c r="B106" s="428" t="s">
        <v>1595</v>
      </c>
      <c r="C106" s="456">
        <f t="shared" ref="C106:H106" si="80">C80/C19</f>
        <v>2.365794907088782</v>
      </c>
      <c r="D106" s="456">
        <f t="shared" si="80"/>
        <v>1.0823458525808396</v>
      </c>
      <c r="E106" s="456">
        <f t="shared" si="80"/>
        <v>0.92807532026547301</v>
      </c>
      <c r="F106" s="456">
        <f t="shared" si="80"/>
        <v>-3.4316330904414918</v>
      </c>
      <c r="G106" s="456">
        <f t="shared" si="80"/>
        <v>-4.500979751796212</v>
      </c>
      <c r="H106" s="456">
        <f t="shared" si="80"/>
        <v>0.67387592487194081</v>
      </c>
      <c r="I106" s="456">
        <f t="shared" ref="I106" si="81">I80/I19</f>
        <v>0.64573328407831543</v>
      </c>
    </row>
    <row r="107" spans="2:11" ht="23.25" customHeight="1" x14ac:dyDescent="0.15">
      <c r="B107" s="428" t="s">
        <v>1596</v>
      </c>
      <c r="C107" s="456">
        <f t="shared" ref="C107:H107" si="82">C21/C22</f>
        <v>7.738955823293173</v>
      </c>
      <c r="D107" s="456">
        <f t="shared" si="82"/>
        <v>11.598101265822784</v>
      </c>
      <c r="E107" s="456">
        <f t="shared" si="82"/>
        <v>14.959876543209877</v>
      </c>
      <c r="F107" s="456">
        <f t="shared" si="82"/>
        <v>1.8508474576271186</v>
      </c>
      <c r="G107" s="456">
        <f t="shared" si="82"/>
        <v>-5.2380952380952381</v>
      </c>
      <c r="H107" s="456">
        <f t="shared" si="82"/>
        <v>-14.180645161290322</v>
      </c>
      <c r="I107" s="456">
        <f t="shared" ref="I107" si="83">I21/I22</f>
        <v>10.875647668393782</v>
      </c>
    </row>
    <row r="108" spans="2:11" ht="23.25" customHeight="1" x14ac:dyDescent="0.15">
      <c r="B108" s="449" t="s">
        <v>1597</v>
      </c>
      <c r="C108" s="457">
        <f t="shared" ref="C108:G108" si="84">C117</f>
        <v>1.4922943347080531</v>
      </c>
      <c r="D108" s="457">
        <f t="shared" si="84"/>
        <v>1.2107391597393844</v>
      </c>
      <c r="E108" s="457">
        <f t="shared" si="84"/>
        <v>1.2359712230215827</v>
      </c>
      <c r="F108" s="457">
        <f t="shared" si="84"/>
        <v>-0.40959787168730177</v>
      </c>
      <c r="G108" s="457">
        <f t="shared" si="84"/>
        <v>-0.43106468159639683</v>
      </c>
      <c r="H108" s="457">
        <f t="shared" ref="H108:I108" si="85">H117</f>
        <v>0.11208936855060116</v>
      </c>
      <c r="I108" s="457">
        <f t="shared" si="85"/>
        <v>0.49066666666666664</v>
      </c>
    </row>
    <row r="109" spans="2:11" ht="23.25" customHeight="1" x14ac:dyDescent="0.15">
      <c r="K109" s="404"/>
    </row>
    <row r="110" spans="2:11" ht="23.25" customHeight="1" x14ac:dyDescent="0.15">
      <c r="B110" s="428"/>
    </row>
    <row r="111" spans="2:11" ht="23.25" customHeight="1" x14ac:dyDescent="0.15">
      <c r="B111" s="447" t="s">
        <v>1598</v>
      </c>
      <c r="C111" s="405">
        <f t="shared" ref="C111:H111" si="86">C7</f>
        <v>2015</v>
      </c>
      <c r="D111" s="405">
        <f t="shared" si="86"/>
        <v>2016</v>
      </c>
      <c r="E111" s="405">
        <f t="shared" si="86"/>
        <v>2017</v>
      </c>
      <c r="F111" s="405">
        <f t="shared" si="86"/>
        <v>2018</v>
      </c>
      <c r="G111" s="405">
        <f t="shared" si="86"/>
        <v>2019</v>
      </c>
      <c r="H111" s="405">
        <f t="shared" si="86"/>
        <v>2020</v>
      </c>
      <c r="I111" s="405">
        <f t="shared" ref="I111" si="87">I7</f>
        <v>2021</v>
      </c>
    </row>
    <row r="112" spans="2:11" ht="37.5" customHeight="1" x14ac:dyDescent="0.15">
      <c r="B112" s="459" t="s">
        <v>1599</v>
      </c>
      <c r="C112" s="453">
        <f>L21*(1-C120)</f>
        <v>6.4271894541998109E-2</v>
      </c>
      <c r="D112" s="453">
        <f>M21*(1-D120)</f>
        <v>9.3140790577113677E-2</v>
      </c>
      <c r="E112" s="453">
        <f>N21* (1-E120)</f>
        <v>0.10549408788195352</v>
      </c>
      <c r="F112" s="453">
        <f>O21* (1-F120)</f>
        <v>1.2198391420911527E-2</v>
      </c>
      <c r="G112" s="453">
        <f>P21* (1-G120)</f>
        <v>-2.0633253301320528E-2</v>
      </c>
      <c r="H112" s="453">
        <f>Q21* (1-H120)</f>
        <v>-4.0773169102916076E-2</v>
      </c>
      <c r="I112" s="453">
        <f>R21* (1-I120)</f>
        <v>3.0538904731420589E-2</v>
      </c>
    </row>
    <row r="113" spans="1:11" s="404" customFormat="1" ht="23.25" customHeight="1" x14ac:dyDescent="0.15">
      <c r="B113" s="458" t="s">
        <v>1600</v>
      </c>
      <c r="C113" s="453"/>
      <c r="D113" s="453"/>
      <c r="E113" s="453"/>
      <c r="F113" s="453"/>
      <c r="G113" s="453"/>
      <c r="H113" s="453"/>
      <c r="I113" s="453"/>
      <c r="K113" s="401"/>
    </row>
    <row r="114" spans="1:11" ht="17.25" customHeight="1" x14ac:dyDescent="0.15">
      <c r="B114" s="459" t="s">
        <v>1601</v>
      </c>
      <c r="C114" s="456">
        <f>C8/(C71-C59)</f>
        <v>1.78952551477171</v>
      </c>
      <c r="D114" s="456">
        <f t="shared" ref="D114:G114" si="88">D8/(D71-D59)</f>
        <v>2.7174228299150611</v>
      </c>
      <c r="E114" s="456">
        <f t="shared" si="88"/>
        <v>2.8532041728763042</v>
      </c>
      <c r="F114" s="456">
        <f t="shared" si="88"/>
        <v>2.9747452370403189</v>
      </c>
      <c r="G114" s="456">
        <f t="shared" si="88"/>
        <v>4.3779699989050691</v>
      </c>
      <c r="H114" s="456">
        <f t="shared" ref="H114:I114" si="89">H8/(H71-H59)</f>
        <v>3.5801824138847071</v>
      </c>
      <c r="I114" s="456">
        <f t="shared" si="89"/>
        <v>5.1185582365207027</v>
      </c>
    </row>
    <row r="115" spans="1:11" ht="23.25" customHeight="1" x14ac:dyDescent="0.15">
      <c r="B115" s="460" t="s">
        <v>1602</v>
      </c>
      <c r="C115" s="461">
        <f t="shared" ref="C115:G115" si="90">C112*C114</f>
        <v>0.11501619516562223</v>
      </c>
      <c r="D115" s="461">
        <f t="shared" si="90"/>
        <v>0.25310291071058633</v>
      </c>
      <c r="E115" s="461">
        <f t="shared" si="90"/>
        <v>0.30099617175856935</v>
      </c>
      <c r="F115" s="461">
        <f t="shared" si="90"/>
        <v>3.6287106778910054E-2</v>
      </c>
      <c r="G115" s="461">
        <f t="shared" si="90"/>
        <v>-9.033176393299025E-2</v>
      </c>
      <c r="H115" s="461">
        <f t="shared" ref="H115:I115" si="91">H112*H114</f>
        <v>-0.14597538298060744</v>
      </c>
      <c r="I115" s="461">
        <f t="shared" si="91"/>
        <v>0.15631516234733392</v>
      </c>
    </row>
    <row r="116" spans="1:11" ht="23.25" customHeight="1" x14ac:dyDescent="0.15">
      <c r="B116" s="462" t="s">
        <v>1603</v>
      </c>
      <c r="C116" s="453">
        <f t="shared" ref="C116:H116" si="92">C22/C80*(1-C120)</f>
        <v>2.4146661818181821E-2</v>
      </c>
      <c r="D116" s="453">
        <f t="shared" si="92"/>
        <v>3.9093932083874565E-2</v>
      </c>
      <c r="E116" s="453">
        <f t="shared" si="92"/>
        <v>3.5923964743056709E-2</v>
      </c>
      <c r="F116" s="453">
        <f t="shared" si="92"/>
        <v>-2.7635523357481886E-2</v>
      </c>
      <c r="G116" s="453">
        <f t="shared" si="92"/>
        <v>-2.2855898998693946E-2</v>
      </c>
      <c r="H116" s="453">
        <f t="shared" si="92"/>
        <v>9.8184121621621628E-2</v>
      </c>
      <c r="I116" s="453">
        <f t="shared" ref="I116" si="93">I22/I80*(1-I120)</f>
        <v>4.1404462242562931E-2</v>
      </c>
    </row>
    <row r="117" spans="1:11" ht="38.25" customHeight="1" x14ac:dyDescent="0.15">
      <c r="B117" s="428" t="s">
        <v>1604</v>
      </c>
      <c r="C117" s="456">
        <f t="shared" ref="C117:H117" si="94">C80/C76</f>
        <v>1.4922943347080531</v>
      </c>
      <c r="D117" s="456">
        <f t="shared" si="94"/>
        <v>1.2107391597393844</v>
      </c>
      <c r="E117" s="456">
        <f t="shared" si="94"/>
        <v>1.2359712230215827</v>
      </c>
      <c r="F117" s="456">
        <f t="shared" si="94"/>
        <v>-0.40959787168730177</v>
      </c>
      <c r="G117" s="456">
        <f t="shared" si="94"/>
        <v>-0.43106468159639683</v>
      </c>
      <c r="H117" s="456">
        <f t="shared" si="94"/>
        <v>0.11208936855060116</v>
      </c>
      <c r="I117" s="456">
        <f t="shared" ref="I117" si="95">I80/I76</f>
        <v>0.49066666666666664</v>
      </c>
    </row>
    <row r="118" spans="1:11" ht="23.25" customHeight="1" x14ac:dyDescent="0.15">
      <c r="B118" s="433" t="s">
        <v>1605</v>
      </c>
      <c r="C118" s="461">
        <f>+(C29-C24)/C76</f>
        <v>0.23594530062947688</v>
      </c>
      <c r="D118" s="461">
        <f t="shared" ref="D118:G118" si="96">+(D29-D24)/D76</f>
        <v>0.50370703212761181</v>
      </c>
      <c r="E118" s="461">
        <f t="shared" si="96"/>
        <v>0.62795477903391572</v>
      </c>
      <c r="F118" s="461">
        <f t="shared" si="96"/>
        <v>-3.3050240458405815E-2</v>
      </c>
      <c r="G118" s="461">
        <f t="shared" si="96"/>
        <v>-0.17896909796071564</v>
      </c>
      <c r="H118" s="461">
        <f t="shared" ref="H118:I118" si="97">+(H29-H24)/H76</f>
        <v>-0.32443434630313356</v>
      </c>
      <c r="I118" s="461">
        <f t="shared" si="97"/>
        <v>0.19635087719298244</v>
      </c>
    </row>
    <row r="119" spans="1:11" ht="38.25" customHeight="1" x14ac:dyDescent="0.15">
      <c r="B119" s="428" t="s">
        <v>1606</v>
      </c>
      <c r="C119" s="451">
        <f t="shared" ref="C119:G119" si="98">(C118-C115)/C118</f>
        <v>0.51253025655195805</v>
      </c>
      <c r="D119" s="451">
        <f t="shared" si="98"/>
        <v>0.49751960054735966</v>
      </c>
      <c r="E119" s="451">
        <f t="shared" si="98"/>
        <v>0.52067221747776105</v>
      </c>
      <c r="F119" s="451">
        <f t="shared" si="98"/>
        <v>2.0979377540256592</v>
      </c>
      <c r="G119" s="451">
        <f t="shared" si="98"/>
        <v>0.4952661383317784</v>
      </c>
      <c r="H119" s="451">
        <f t="shared" ref="H119:I119" si="99">(H118-H115)/H118</f>
        <v>0.55006187031684961</v>
      </c>
      <c r="I119" s="451">
        <f t="shared" si="99"/>
        <v>0.20389883364921069</v>
      </c>
    </row>
    <row r="120" spans="1:11" ht="23.25" customHeight="1" x14ac:dyDescent="0.15">
      <c r="A120" s="463"/>
      <c r="B120" s="449" t="s">
        <v>86</v>
      </c>
      <c r="C120" s="455">
        <v>0.33329999999999999</v>
      </c>
      <c r="D120" s="455">
        <v>0.33329999999999999</v>
      </c>
      <c r="E120" s="455">
        <v>0.33329999999999999</v>
      </c>
      <c r="F120" s="455">
        <v>0.25</v>
      </c>
      <c r="G120" s="455">
        <v>0.25</v>
      </c>
      <c r="H120" s="455">
        <v>0.25</v>
      </c>
      <c r="I120" s="455">
        <v>0.25</v>
      </c>
    </row>
    <row r="121" spans="1:11" ht="23.25" customHeight="1" x14ac:dyDescent="0.15">
      <c r="A121" s="463"/>
      <c r="B121" s="428"/>
      <c r="C121" s="428"/>
      <c r="D121" s="428"/>
      <c r="E121" s="428"/>
      <c r="F121" s="428"/>
      <c r="G121" s="428"/>
      <c r="H121" s="428"/>
      <c r="I121" s="428"/>
    </row>
    <row r="122" spans="1:11" ht="21" customHeight="1" x14ac:dyDescent="0.15">
      <c r="B122" s="428"/>
    </row>
    <row r="123" spans="1:11" ht="23.25" customHeight="1" x14ac:dyDescent="0.15">
      <c r="B123" s="404"/>
      <c r="C123" s="404"/>
    </row>
    <row r="124" spans="1:11" ht="23.25" hidden="1" customHeight="1" x14ac:dyDescent="0.15">
      <c r="B124" s="428"/>
    </row>
    <row r="125" spans="1:11" ht="23.25" hidden="1" customHeight="1" x14ac:dyDescent="0.15">
      <c r="B125" s="464"/>
      <c r="C125" s="465" t="e">
        <f>#REF!</f>
        <v>#REF!</v>
      </c>
      <c r="D125" s="404"/>
      <c r="E125" s="404"/>
      <c r="F125" s="404"/>
      <c r="G125" s="404"/>
      <c r="H125" s="404"/>
      <c r="I125" s="404"/>
    </row>
    <row r="126" spans="1:11" ht="23.25" hidden="1" customHeight="1" x14ac:dyDescent="0.15">
      <c r="B126" s="401" t="s">
        <v>1607</v>
      </c>
      <c r="C126" s="451" t="e">
        <f>#REF!/#REF!</f>
        <v>#REF!</v>
      </c>
    </row>
    <row r="127" spans="1:11" ht="23.25" customHeight="1" x14ac:dyDescent="0.15">
      <c r="C127" s="441"/>
      <c r="D127" s="441"/>
      <c r="E127" s="441"/>
      <c r="F127" s="441"/>
      <c r="G127" s="441"/>
      <c r="H127" s="441"/>
      <c r="I127" s="441"/>
    </row>
    <row r="128" spans="1:11" ht="23.25" customHeight="1" x14ac:dyDescent="0.15">
      <c r="C128" s="441"/>
      <c r="D128" s="441"/>
      <c r="E128" s="441"/>
      <c r="F128" s="441"/>
      <c r="G128" s="441"/>
      <c r="H128" s="441"/>
      <c r="I128" s="441"/>
    </row>
    <row r="129" spans="3:9" ht="23.25" customHeight="1" x14ac:dyDescent="0.15">
      <c r="C129" s="441"/>
      <c r="D129" s="441"/>
      <c r="E129" s="441"/>
      <c r="F129" s="441"/>
      <c r="G129" s="441"/>
      <c r="H129" s="441"/>
      <c r="I129" s="441"/>
    </row>
    <row r="130" spans="3:9" ht="23.25" customHeight="1" x14ac:dyDescent="0.15">
      <c r="C130" s="441"/>
      <c r="D130" s="441"/>
      <c r="E130" s="441"/>
      <c r="F130" s="441"/>
      <c r="G130" s="441"/>
      <c r="H130" s="441"/>
      <c r="I130" s="441"/>
    </row>
    <row r="131" spans="3:9" ht="23.25" customHeight="1" x14ac:dyDescent="0.15">
      <c r="C131" s="441"/>
      <c r="D131" s="441"/>
      <c r="E131" s="441"/>
      <c r="F131" s="441"/>
      <c r="G131" s="441"/>
      <c r="H131" s="441"/>
      <c r="I131" s="441"/>
    </row>
    <row r="132" spans="3:9" ht="23.25" customHeight="1" x14ac:dyDescent="0.15">
      <c r="C132" s="441"/>
      <c r="D132" s="441"/>
      <c r="E132" s="441"/>
      <c r="F132" s="441"/>
      <c r="G132" s="441"/>
      <c r="H132" s="441"/>
      <c r="I132" s="441"/>
    </row>
    <row r="133" spans="3:9" ht="23.25" customHeight="1" x14ac:dyDescent="0.15">
      <c r="C133" s="441"/>
      <c r="D133" s="441"/>
      <c r="E133" s="441"/>
      <c r="F133" s="441"/>
      <c r="G133" s="441"/>
      <c r="H133" s="441"/>
      <c r="I133" s="441"/>
    </row>
    <row r="134" spans="3:9" ht="23.25" customHeight="1" x14ac:dyDescent="0.15">
      <c r="C134" s="441"/>
      <c r="D134" s="441"/>
      <c r="E134" s="441"/>
      <c r="F134" s="441"/>
      <c r="G134" s="441"/>
      <c r="H134" s="441"/>
      <c r="I134" s="441"/>
    </row>
    <row r="135" spans="3:9" ht="23.25" customHeight="1" x14ac:dyDescent="0.15">
      <c r="C135" s="441"/>
      <c r="D135" s="441"/>
      <c r="E135" s="441"/>
      <c r="F135" s="441"/>
      <c r="G135" s="441"/>
      <c r="H135" s="441"/>
      <c r="I135" s="441"/>
    </row>
    <row r="136" spans="3:9" ht="23.25" customHeight="1" x14ac:dyDescent="0.15">
      <c r="C136" s="441"/>
      <c r="D136" s="441"/>
      <c r="E136" s="441"/>
      <c r="F136" s="441"/>
      <c r="G136" s="441"/>
      <c r="H136" s="441"/>
      <c r="I136" s="441"/>
    </row>
    <row r="137" spans="3:9" ht="23.25" customHeight="1" x14ac:dyDescent="0.15">
      <c r="C137" s="441"/>
      <c r="D137" s="441"/>
      <c r="E137" s="441"/>
      <c r="F137" s="441"/>
      <c r="G137" s="441"/>
      <c r="H137" s="441"/>
      <c r="I137" s="441"/>
    </row>
    <row r="138" spans="3:9" ht="23.25" customHeight="1" x14ac:dyDescent="0.15">
      <c r="C138" s="441"/>
      <c r="D138" s="441"/>
      <c r="E138" s="441"/>
      <c r="F138" s="441"/>
      <c r="G138" s="441"/>
      <c r="H138" s="441"/>
      <c r="I138" s="441"/>
    </row>
    <row r="139" spans="3:9" ht="23.25" customHeight="1" x14ac:dyDescent="0.15">
      <c r="C139" s="441"/>
      <c r="D139" s="441"/>
      <c r="E139" s="441"/>
      <c r="F139" s="441"/>
      <c r="G139" s="441"/>
      <c r="H139" s="441"/>
      <c r="I139" s="441"/>
    </row>
    <row r="140" spans="3:9" ht="23.25" customHeight="1" x14ac:dyDescent="0.15">
      <c r="C140" s="441"/>
      <c r="D140" s="441"/>
      <c r="E140" s="441"/>
      <c r="F140" s="441"/>
      <c r="G140" s="441"/>
      <c r="H140" s="441"/>
      <c r="I140" s="441"/>
    </row>
    <row r="141" spans="3:9" ht="23.25" customHeight="1" x14ac:dyDescent="0.15">
      <c r="C141" s="441"/>
      <c r="D141" s="441"/>
      <c r="E141" s="441"/>
      <c r="F141" s="441"/>
      <c r="G141" s="441"/>
      <c r="H141" s="441"/>
      <c r="I141" s="441"/>
    </row>
    <row r="142" spans="3:9" ht="23.25" customHeight="1" x14ac:dyDescent="0.15">
      <c r="C142" s="441"/>
      <c r="D142" s="441"/>
      <c r="E142" s="441"/>
      <c r="F142" s="441"/>
      <c r="G142" s="441"/>
      <c r="H142" s="441"/>
      <c r="I142" s="441"/>
    </row>
    <row r="143" spans="3:9" ht="23.25" customHeight="1" x14ac:dyDescent="0.15">
      <c r="C143" s="441"/>
      <c r="D143" s="441"/>
      <c r="E143" s="441"/>
      <c r="F143" s="441"/>
      <c r="G143" s="441"/>
      <c r="H143" s="441"/>
      <c r="I143" s="441"/>
    </row>
    <row r="144" spans="3:9" ht="23.25" customHeight="1" x14ac:dyDescent="0.15">
      <c r="C144" s="441"/>
      <c r="D144" s="441"/>
      <c r="E144" s="441"/>
      <c r="F144" s="441"/>
      <c r="G144" s="441"/>
      <c r="H144" s="441"/>
      <c r="I144" s="441"/>
    </row>
    <row r="145" spans="3:9" ht="23.25" customHeight="1" x14ac:dyDescent="0.15">
      <c r="C145" s="441"/>
      <c r="D145" s="441"/>
      <c r="E145" s="441"/>
      <c r="F145" s="441"/>
      <c r="G145" s="441"/>
      <c r="H145" s="441"/>
      <c r="I145" s="441"/>
    </row>
    <row r="146" spans="3:9" ht="23.25" customHeight="1" x14ac:dyDescent="0.15">
      <c r="C146" s="441"/>
      <c r="D146" s="441"/>
      <c r="E146" s="441"/>
      <c r="F146" s="441"/>
      <c r="G146" s="441"/>
      <c r="H146" s="441"/>
      <c r="I146" s="441"/>
    </row>
    <row r="147" spans="3:9" ht="23.25" customHeight="1" x14ac:dyDescent="0.15">
      <c r="C147" s="441"/>
      <c r="D147" s="441"/>
      <c r="E147" s="441"/>
      <c r="F147" s="441"/>
      <c r="G147" s="441"/>
      <c r="H147" s="441"/>
      <c r="I147" s="441"/>
    </row>
    <row r="148" spans="3:9" ht="23.25" customHeight="1" x14ac:dyDescent="0.15">
      <c r="C148" s="441"/>
      <c r="D148" s="441"/>
      <c r="E148" s="441"/>
      <c r="F148" s="441"/>
      <c r="G148" s="441"/>
      <c r="H148" s="441"/>
      <c r="I148" s="441"/>
    </row>
    <row r="149" spans="3:9" ht="23.25" customHeight="1" x14ac:dyDescent="0.15">
      <c r="C149" s="441"/>
      <c r="D149" s="441"/>
      <c r="E149" s="441"/>
      <c r="F149" s="441"/>
      <c r="G149" s="441"/>
      <c r="H149" s="441"/>
      <c r="I149" s="441"/>
    </row>
    <row r="150" spans="3:9" ht="23.25" customHeight="1" x14ac:dyDescent="0.15">
      <c r="C150" s="441"/>
      <c r="D150" s="441"/>
      <c r="E150" s="441"/>
      <c r="F150" s="441"/>
      <c r="G150" s="441"/>
      <c r="H150" s="441"/>
      <c r="I150" s="441"/>
    </row>
    <row r="151" spans="3:9" ht="23.25" customHeight="1" x14ac:dyDescent="0.15">
      <c r="C151" s="441"/>
      <c r="D151" s="441"/>
      <c r="E151" s="441"/>
      <c r="F151" s="441"/>
      <c r="G151" s="441"/>
      <c r="H151" s="441"/>
      <c r="I151" s="441"/>
    </row>
    <row r="152" spans="3:9" ht="23.25" customHeight="1" x14ac:dyDescent="0.15">
      <c r="C152" s="441"/>
      <c r="D152" s="441"/>
      <c r="E152" s="441"/>
      <c r="F152" s="441"/>
      <c r="G152" s="441"/>
      <c r="H152" s="441"/>
      <c r="I152" s="441"/>
    </row>
    <row r="153" spans="3:9" ht="23.25" customHeight="1" x14ac:dyDescent="0.15">
      <c r="C153" s="441"/>
      <c r="D153" s="441"/>
      <c r="E153" s="441"/>
      <c r="F153" s="441"/>
      <c r="G153" s="441"/>
      <c r="H153" s="441"/>
      <c r="I153" s="441"/>
    </row>
    <row r="154" spans="3:9" ht="23.25" customHeight="1" x14ac:dyDescent="0.15">
      <c r="C154" s="441"/>
      <c r="D154" s="441"/>
      <c r="E154" s="441"/>
      <c r="F154" s="441"/>
      <c r="G154" s="441"/>
      <c r="H154" s="441"/>
      <c r="I154" s="441"/>
    </row>
    <row r="155" spans="3:9" ht="23.25" customHeight="1" x14ac:dyDescent="0.15">
      <c r="C155" s="441"/>
      <c r="D155" s="441"/>
      <c r="E155" s="441"/>
      <c r="F155" s="441"/>
      <c r="G155" s="441"/>
      <c r="H155" s="441"/>
      <c r="I155" s="441"/>
    </row>
    <row r="156" spans="3:9" ht="23.25" customHeight="1" x14ac:dyDescent="0.15">
      <c r="C156" s="441"/>
      <c r="D156" s="441"/>
      <c r="E156" s="441"/>
      <c r="F156" s="441"/>
      <c r="G156" s="441"/>
      <c r="H156" s="441"/>
      <c r="I156" s="441"/>
    </row>
    <row r="157" spans="3:9" ht="23.25" customHeight="1" x14ac:dyDescent="0.15">
      <c r="C157" s="441"/>
      <c r="D157" s="441"/>
      <c r="E157" s="441"/>
      <c r="F157" s="441"/>
      <c r="G157" s="441"/>
      <c r="H157" s="441"/>
      <c r="I157" s="441"/>
    </row>
    <row r="158" spans="3:9" ht="23.25" customHeight="1" x14ac:dyDescent="0.15">
      <c r="C158" s="441"/>
      <c r="D158" s="441"/>
      <c r="E158" s="441"/>
      <c r="F158" s="441"/>
      <c r="G158" s="441"/>
      <c r="H158" s="441"/>
      <c r="I158" s="441"/>
    </row>
    <row r="159" spans="3:9" ht="23.25" customHeight="1" x14ac:dyDescent="0.15">
      <c r="C159" s="441"/>
      <c r="D159" s="441"/>
      <c r="E159" s="441"/>
      <c r="F159" s="441"/>
      <c r="G159" s="441"/>
      <c r="H159" s="441"/>
      <c r="I159" s="441"/>
    </row>
    <row r="160" spans="3:9" ht="23.25" customHeight="1" x14ac:dyDescent="0.15">
      <c r="C160" s="441"/>
      <c r="D160" s="441"/>
      <c r="E160" s="441"/>
      <c r="F160" s="441"/>
      <c r="G160" s="441"/>
      <c r="H160" s="441"/>
      <c r="I160" s="441"/>
    </row>
    <row r="161" spans="3:9" ht="23.25" customHeight="1" x14ac:dyDescent="0.15">
      <c r="C161" s="441"/>
      <c r="D161" s="441"/>
      <c r="E161" s="441"/>
      <c r="F161" s="441"/>
      <c r="G161" s="441"/>
      <c r="H161" s="441"/>
      <c r="I161" s="441"/>
    </row>
    <row r="162" spans="3:9" ht="23.25" customHeight="1" x14ac:dyDescent="0.15">
      <c r="C162" s="441"/>
      <c r="D162" s="441"/>
      <c r="E162" s="441"/>
      <c r="F162" s="441"/>
      <c r="G162" s="441"/>
      <c r="H162" s="441"/>
      <c r="I162" s="441"/>
    </row>
    <row r="163" spans="3:9" ht="23.25" customHeight="1" x14ac:dyDescent="0.15">
      <c r="C163" s="441"/>
      <c r="D163" s="441"/>
      <c r="E163" s="441"/>
      <c r="F163" s="441"/>
      <c r="G163" s="441"/>
      <c r="H163" s="441"/>
      <c r="I163" s="441"/>
    </row>
    <row r="164" spans="3:9" ht="23.25" customHeight="1" x14ac:dyDescent="0.15">
      <c r="C164" s="441"/>
      <c r="D164" s="441"/>
      <c r="E164" s="441"/>
      <c r="F164" s="441"/>
      <c r="G164" s="441"/>
      <c r="H164" s="441"/>
      <c r="I164" s="441"/>
    </row>
    <row r="165" spans="3:9" ht="23.25" customHeight="1" x14ac:dyDescent="0.15">
      <c r="C165" s="441"/>
      <c r="D165" s="441"/>
      <c r="E165" s="441"/>
      <c r="F165" s="441"/>
      <c r="G165" s="441"/>
      <c r="H165" s="441"/>
      <c r="I165" s="441"/>
    </row>
    <row r="166" spans="3:9" ht="23.25" customHeight="1" x14ac:dyDescent="0.15">
      <c r="C166" s="441"/>
      <c r="D166" s="441"/>
      <c r="E166" s="441"/>
      <c r="F166" s="441"/>
      <c r="G166" s="441"/>
      <c r="H166" s="441"/>
      <c r="I166" s="441"/>
    </row>
    <row r="167" spans="3:9" ht="23.25" customHeight="1" x14ac:dyDescent="0.15">
      <c r="C167" s="441"/>
      <c r="D167" s="441"/>
      <c r="E167" s="441"/>
      <c r="F167" s="441"/>
      <c r="G167" s="441"/>
      <c r="H167" s="441"/>
      <c r="I167" s="441"/>
    </row>
    <row r="168" spans="3:9" ht="23.25" customHeight="1" x14ac:dyDescent="0.15">
      <c r="C168" s="441"/>
      <c r="D168" s="441"/>
      <c r="E168" s="441"/>
      <c r="F168" s="441"/>
      <c r="G168" s="441"/>
      <c r="H168" s="441"/>
      <c r="I168" s="441"/>
    </row>
    <row r="169" spans="3:9" ht="23.25" customHeight="1" x14ac:dyDescent="0.15">
      <c r="C169" s="441"/>
      <c r="D169" s="441"/>
      <c r="E169" s="441"/>
      <c r="F169" s="441"/>
      <c r="G169" s="441"/>
      <c r="H169" s="441"/>
      <c r="I169" s="441"/>
    </row>
    <row r="170" spans="3:9" ht="23.25" customHeight="1" x14ac:dyDescent="0.15">
      <c r="C170" s="441"/>
      <c r="D170" s="441"/>
      <c r="E170" s="441"/>
      <c r="F170" s="441"/>
      <c r="G170" s="441"/>
      <c r="H170" s="441"/>
      <c r="I170" s="441"/>
    </row>
    <row r="171" spans="3:9" ht="23.25" customHeight="1" x14ac:dyDescent="0.15">
      <c r="C171" s="441"/>
      <c r="D171" s="441"/>
      <c r="E171" s="441"/>
      <c r="F171" s="441"/>
      <c r="G171" s="441"/>
      <c r="H171" s="441"/>
      <c r="I171" s="441"/>
    </row>
    <row r="172" spans="3:9" ht="23.25" customHeight="1" x14ac:dyDescent="0.15">
      <c r="C172" s="441"/>
      <c r="D172" s="441"/>
      <c r="E172" s="441"/>
      <c r="F172" s="441"/>
      <c r="G172" s="441"/>
      <c r="H172" s="441"/>
      <c r="I172" s="441"/>
    </row>
    <row r="173" spans="3:9" ht="23.25" customHeight="1" x14ac:dyDescent="0.15">
      <c r="C173" s="441"/>
      <c r="D173" s="441"/>
      <c r="E173" s="441"/>
      <c r="F173" s="441"/>
      <c r="G173" s="441"/>
      <c r="H173" s="441"/>
      <c r="I173" s="441"/>
    </row>
    <row r="174" spans="3:9" ht="23.25" customHeight="1" x14ac:dyDescent="0.15">
      <c r="C174" s="441"/>
      <c r="D174" s="441"/>
      <c r="E174" s="441"/>
      <c r="F174" s="441"/>
      <c r="G174" s="441"/>
      <c r="H174" s="441"/>
      <c r="I174" s="441"/>
    </row>
    <row r="175" spans="3:9" ht="23.25" customHeight="1" x14ac:dyDescent="0.15">
      <c r="C175" s="441"/>
      <c r="D175" s="441"/>
      <c r="E175" s="441"/>
      <c r="F175" s="441"/>
      <c r="G175" s="441"/>
      <c r="H175" s="441"/>
      <c r="I175" s="441"/>
    </row>
    <row r="176" spans="3:9" ht="23.25" customHeight="1" x14ac:dyDescent="0.15">
      <c r="C176" s="441"/>
      <c r="D176" s="441"/>
      <c r="E176" s="441"/>
      <c r="F176" s="441"/>
      <c r="G176" s="441"/>
      <c r="H176" s="441"/>
      <c r="I176" s="441"/>
    </row>
    <row r="177" spans="3:9" ht="23.25" customHeight="1" x14ac:dyDescent="0.15">
      <c r="C177" s="441"/>
      <c r="D177" s="441"/>
      <c r="E177" s="441"/>
      <c r="F177" s="441"/>
      <c r="G177" s="441"/>
      <c r="H177" s="441"/>
      <c r="I177" s="441"/>
    </row>
    <row r="178" spans="3:9" ht="23.25" customHeight="1" x14ac:dyDescent="0.15">
      <c r="C178" s="441"/>
      <c r="D178" s="441"/>
      <c r="E178" s="441"/>
      <c r="F178" s="441"/>
      <c r="G178" s="441"/>
      <c r="H178" s="441"/>
      <c r="I178" s="441"/>
    </row>
    <row r="179" spans="3:9" ht="23.25" customHeight="1" x14ac:dyDescent="0.15">
      <c r="C179" s="441"/>
      <c r="D179" s="441"/>
      <c r="E179" s="441"/>
      <c r="F179" s="441"/>
      <c r="G179" s="441"/>
      <c r="H179" s="441"/>
      <c r="I179" s="441"/>
    </row>
    <row r="180" spans="3:9" ht="23.25" customHeight="1" x14ac:dyDescent="0.15">
      <c r="C180" s="441"/>
      <c r="D180" s="441"/>
      <c r="E180" s="441"/>
      <c r="F180" s="441"/>
      <c r="G180" s="441"/>
      <c r="H180" s="441"/>
      <c r="I180" s="441"/>
    </row>
    <row r="181" spans="3:9" ht="23.25" customHeight="1" x14ac:dyDescent="0.15">
      <c r="C181" s="441"/>
      <c r="D181" s="441"/>
      <c r="E181" s="441"/>
      <c r="F181" s="441"/>
      <c r="G181" s="441"/>
      <c r="H181" s="441"/>
      <c r="I181" s="441"/>
    </row>
    <row r="182" spans="3:9" ht="23.25" customHeight="1" x14ac:dyDescent="0.15">
      <c r="C182" s="441"/>
      <c r="D182" s="441"/>
      <c r="E182" s="441"/>
      <c r="F182" s="441"/>
      <c r="G182" s="441"/>
      <c r="H182" s="441"/>
      <c r="I182" s="441"/>
    </row>
    <row r="183" spans="3:9" ht="23.25" customHeight="1" x14ac:dyDescent="0.15">
      <c r="C183" s="441"/>
      <c r="D183" s="441"/>
      <c r="E183" s="441"/>
      <c r="F183" s="441"/>
      <c r="G183" s="441"/>
      <c r="H183" s="441"/>
      <c r="I183" s="441"/>
    </row>
    <row r="184" spans="3:9" ht="23.25" customHeight="1" x14ac:dyDescent="0.15">
      <c r="C184" s="441"/>
      <c r="D184" s="441"/>
      <c r="E184" s="441"/>
      <c r="F184" s="441"/>
      <c r="G184" s="441"/>
      <c r="H184" s="441"/>
      <c r="I184" s="441"/>
    </row>
    <row r="185" spans="3:9" ht="23.25" customHeight="1" x14ac:dyDescent="0.15">
      <c r="C185" s="441"/>
      <c r="D185" s="441"/>
      <c r="E185" s="441"/>
      <c r="F185" s="441"/>
      <c r="G185" s="441"/>
      <c r="H185" s="441"/>
      <c r="I185" s="441"/>
    </row>
    <row r="186" spans="3:9" ht="23.25" customHeight="1" x14ac:dyDescent="0.15">
      <c r="C186" s="441"/>
      <c r="D186" s="441"/>
      <c r="E186" s="441"/>
      <c r="F186" s="441"/>
      <c r="G186" s="441"/>
      <c r="H186" s="441"/>
      <c r="I186" s="441"/>
    </row>
    <row r="187" spans="3:9" ht="23.25" customHeight="1" x14ac:dyDescent="0.15">
      <c r="C187" s="441"/>
      <c r="D187" s="441"/>
      <c r="E187" s="441"/>
      <c r="F187" s="441"/>
      <c r="G187" s="441"/>
      <c r="H187" s="441"/>
      <c r="I187" s="441"/>
    </row>
    <row r="188" spans="3:9" ht="23.25" customHeight="1" x14ac:dyDescent="0.15">
      <c r="C188" s="441"/>
      <c r="D188" s="441"/>
      <c r="E188" s="441"/>
      <c r="F188" s="441"/>
      <c r="G188" s="441"/>
      <c r="H188" s="441"/>
      <c r="I188" s="441"/>
    </row>
    <row r="189" spans="3:9" ht="23.25" customHeight="1" x14ac:dyDescent="0.15">
      <c r="C189" s="441"/>
      <c r="D189" s="441"/>
      <c r="E189" s="441"/>
      <c r="F189" s="441"/>
      <c r="G189" s="441"/>
      <c r="H189" s="441"/>
      <c r="I189" s="441"/>
    </row>
    <row r="190" spans="3:9" ht="23.25" customHeight="1" x14ac:dyDescent="0.15">
      <c r="C190" s="441"/>
      <c r="D190" s="441"/>
      <c r="E190" s="441"/>
      <c r="F190" s="441"/>
      <c r="G190" s="441"/>
      <c r="H190" s="441"/>
      <c r="I190" s="441"/>
    </row>
    <row r="191" spans="3:9" ht="23.25" customHeight="1" x14ac:dyDescent="0.15">
      <c r="C191" s="441"/>
      <c r="D191" s="441"/>
      <c r="E191" s="441"/>
      <c r="F191" s="441"/>
      <c r="G191" s="441"/>
      <c r="H191" s="441"/>
      <c r="I191" s="441"/>
    </row>
    <row r="192" spans="3:9" ht="23.25" customHeight="1" x14ac:dyDescent="0.15">
      <c r="C192" s="441"/>
      <c r="D192" s="441"/>
      <c r="E192" s="441"/>
      <c r="F192" s="441"/>
      <c r="G192" s="441"/>
      <c r="H192" s="441"/>
      <c r="I192" s="441"/>
    </row>
    <row r="193" spans="3:9" ht="23.25" customHeight="1" x14ac:dyDescent="0.15">
      <c r="C193" s="441"/>
      <c r="D193" s="441"/>
      <c r="E193" s="441"/>
      <c r="F193" s="441"/>
      <c r="G193" s="441"/>
      <c r="H193" s="441"/>
      <c r="I193" s="441"/>
    </row>
    <row r="194" spans="3:9" ht="23.25" customHeight="1" x14ac:dyDescent="0.15">
      <c r="C194" s="441"/>
      <c r="D194" s="441"/>
      <c r="E194" s="441"/>
      <c r="F194" s="441"/>
      <c r="G194" s="441"/>
      <c r="H194" s="441"/>
      <c r="I194" s="441"/>
    </row>
    <row r="195" spans="3:9" ht="23.25" customHeight="1" x14ac:dyDescent="0.15">
      <c r="C195" s="441"/>
      <c r="D195" s="441"/>
      <c r="E195" s="441"/>
      <c r="F195" s="441"/>
      <c r="G195" s="441"/>
      <c r="H195" s="441"/>
      <c r="I195" s="441"/>
    </row>
    <row r="196" spans="3:9" ht="23.25" customHeight="1" x14ac:dyDescent="0.15">
      <c r="C196" s="441"/>
      <c r="D196" s="441"/>
      <c r="E196" s="441"/>
      <c r="F196" s="441"/>
      <c r="G196" s="441"/>
      <c r="H196" s="441"/>
      <c r="I196" s="441"/>
    </row>
    <row r="197" spans="3:9" ht="23.25" customHeight="1" x14ac:dyDescent="0.15">
      <c r="C197" s="441"/>
      <c r="D197" s="441"/>
      <c r="E197" s="441"/>
      <c r="F197" s="441"/>
      <c r="G197" s="441"/>
      <c r="H197" s="441"/>
      <c r="I197" s="441"/>
    </row>
    <row r="198" spans="3:9" ht="23.25" customHeight="1" x14ac:dyDescent="0.15">
      <c r="C198" s="441"/>
      <c r="D198" s="441"/>
      <c r="E198" s="441"/>
      <c r="F198" s="441"/>
      <c r="G198" s="441"/>
      <c r="H198" s="441"/>
      <c r="I198" s="441"/>
    </row>
    <row r="199" spans="3:9" ht="23.25" customHeight="1" x14ac:dyDescent="0.15">
      <c r="C199" s="441"/>
      <c r="D199" s="441"/>
      <c r="E199" s="441"/>
      <c r="F199" s="441"/>
      <c r="G199" s="441"/>
      <c r="H199" s="441"/>
      <c r="I199" s="441"/>
    </row>
    <row r="200" spans="3:9" ht="23.25" customHeight="1" x14ac:dyDescent="0.15">
      <c r="C200" s="441"/>
      <c r="D200" s="441"/>
      <c r="E200" s="441"/>
      <c r="F200" s="441"/>
      <c r="G200" s="441"/>
      <c r="H200" s="441"/>
      <c r="I200" s="441"/>
    </row>
    <row r="201" spans="3:9" ht="23.25" customHeight="1" x14ac:dyDescent="0.15">
      <c r="C201" s="441"/>
      <c r="D201" s="441"/>
      <c r="E201" s="441"/>
      <c r="F201" s="441"/>
      <c r="G201" s="441"/>
      <c r="H201" s="441"/>
      <c r="I201" s="441"/>
    </row>
    <row r="202" spans="3:9" ht="23.25" customHeight="1" x14ac:dyDescent="0.15">
      <c r="C202" s="441"/>
      <c r="D202" s="441"/>
      <c r="E202" s="441"/>
      <c r="F202" s="441"/>
      <c r="G202" s="441"/>
      <c r="H202" s="441"/>
      <c r="I202" s="441"/>
    </row>
    <row r="203" spans="3:9" ht="23.25" customHeight="1" x14ac:dyDescent="0.15">
      <c r="C203" s="441"/>
      <c r="D203" s="441"/>
      <c r="E203" s="441"/>
      <c r="F203" s="441"/>
      <c r="G203" s="441"/>
      <c r="H203" s="441"/>
      <c r="I203" s="441"/>
    </row>
    <row r="204" spans="3:9" ht="23.25" customHeight="1" x14ac:dyDescent="0.15">
      <c r="C204" s="441"/>
      <c r="D204" s="441"/>
      <c r="E204" s="441"/>
      <c r="F204" s="441"/>
      <c r="G204" s="441"/>
      <c r="H204" s="441"/>
      <c r="I204" s="441"/>
    </row>
    <row r="205" spans="3:9" ht="23.25" customHeight="1" x14ac:dyDescent="0.15">
      <c r="C205" s="441"/>
      <c r="D205" s="441"/>
      <c r="E205" s="441"/>
      <c r="F205" s="441"/>
      <c r="G205" s="441"/>
      <c r="H205" s="441"/>
      <c r="I205" s="441"/>
    </row>
    <row r="206" spans="3:9" ht="23.25" customHeight="1" x14ac:dyDescent="0.15">
      <c r="C206" s="441"/>
      <c r="D206" s="441"/>
      <c r="E206" s="441"/>
      <c r="F206" s="441"/>
      <c r="G206" s="441"/>
      <c r="H206" s="441"/>
      <c r="I206" s="441"/>
    </row>
    <row r="207" spans="3:9" ht="23.25" customHeight="1" x14ac:dyDescent="0.15">
      <c r="C207" s="441"/>
      <c r="D207" s="441"/>
      <c r="E207" s="441"/>
      <c r="F207" s="441"/>
      <c r="G207" s="441"/>
      <c r="H207" s="441"/>
      <c r="I207" s="441"/>
    </row>
    <row r="208" spans="3:9" ht="23.25" customHeight="1" x14ac:dyDescent="0.15">
      <c r="C208" s="441"/>
      <c r="D208" s="441"/>
      <c r="E208" s="441"/>
      <c r="F208" s="441"/>
      <c r="G208" s="441"/>
      <c r="H208" s="441"/>
      <c r="I208" s="441"/>
    </row>
    <row r="209" spans="3:9" ht="23.25" customHeight="1" x14ac:dyDescent="0.15">
      <c r="C209" s="441"/>
      <c r="D209" s="441"/>
      <c r="E209" s="441"/>
      <c r="F209" s="441"/>
      <c r="G209" s="441"/>
      <c r="H209" s="441"/>
      <c r="I209" s="441"/>
    </row>
    <row r="210" spans="3:9" ht="23.25" customHeight="1" x14ac:dyDescent="0.15">
      <c r="C210" s="441"/>
      <c r="D210" s="441"/>
      <c r="E210" s="441"/>
      <c r="F210" s="441"/>
      <c r="G210" s="441"/>
      <c r="H210" s="441"/>
      <c r="I210" s="441"/>
    </row>
    <row r="211" spans="3:9" ht="23.25" customHeight="1" x14ac:dyDescent="0.15">
      <c r="C211" s="441"/>
      <c r="D211" s="441"/>
      <c r="E211" s="441"/>
      <c r="F211" s="441"/>
      <c r="G211" s="441"/>
      <c r="H211" s="441"/>
      <c r="I211" s="441"/>
    </row>
    <row r="212" spans="3:9" ht="23.25" customHeight="1" x14ac:dyDescent="0.15">
      <c r="C212" s="441"/>
      <c r="D212" s="441"/>
      <c r="E212" s="441"/>
      <c r="F212" s="441"/>
      <c r="G212" s="441"/>
      <c r="H212" s="441"/>
      <c r="I212" s="441"/>
    </row>
    <row r="213" spans="3:9" ht="23.25" customHeight="1" x14ac:dyDescent="0.15">
      <c r="C213" s="441"/>
      <c r="D213" s="441"/>
      <c r="E213" s="441"/>
      <c r="F213" s="441"/>
      <c r="G213" s="441"/>
      <c r="H213" s="441"/>
      <c r="I213" s="441"/>
    </row>
    <row r="214" spans="3:9" ht="23.25" customHeight="1" x14ac:dyDescent="0.15">
      <c r="C214" s="441"/>
      <c r="D214" s="441"/>
      <c r="E214" s="441"/>
      <c r="F214" s="441"/>
      <c r="G214" s="441"/>
      <c r="H214" s="441"/>
      <c r="I214" s="441"/>
    </row>
    <row r="215" spans="3:9" ht="23.25" customHeight="1" x14ac:dyDescent="0.15">
      <c r="C215" s="441"/>
      <c r="D215" s="441"/>
      <c r="E215" s="441"/>
      <c r="F215" s="441"/>
      <c r="G215" s="441"/>
      <c r="H215" s="441"/>
      <c r="I215" s="441"/>
    </row>
    <row r="216" spans="3:9" ht="23.25" customHeight="1" x14ac:dyDescent="0.15">
      <c r="C216" s="441"/>
      <c r="D216" s="441"/>
      <c r="E216" s="441"/>
      <c r="F216" s="441"/>
      <c r="G216" s="441"/>
      <c r="H216" s="441"/>
      <c r="I216" s="441"/>
    </row>
    <row r="217" spans="3:9" ht="23.25" customHeight="1" x14ac:dyDescent="0.15">
      <c r="C217" s="441"/>
      <c r="D217" s="441"/>
      <c r="E217" s="441"/>
      <c r="F217" s="441"/>
      <c r="G217" s="441"/>
      <c r="H217" s="441"/>
      <c r="I217" s="441"/>
    </row>
    <row r="218" spans="3:9" ht="23.25" customHeight="1" x14ac:dyDescent="0.15">
      <c r="C218" s="441"/>
      <c r="D218" s="441"/>
      <c r="E218" s="441"/>
      <c r="F218" s="441"/>
      <c r="G218" s="441"/>
      <c r="H218" s="441"/>
      <c r="I218" s="441"/>
    </row>
    <row r="219" spans="3:9" ht="23.25" customHeight="1" x14ac:dyDescent="0.15">
      <c r="C219" s="441"/>
      <c r="D219" s="441"/>
      <c r="E219" s="441"/>
      <c r="F219" s="441"/>
      <c r="G219" s="441"/>
      <c r="H219" s="441"/>
      <c r="I219" s="441"/>
    </row>
    <row r="220" spans="3:9" ht="23.25" customHeight="1" x14ac:dyDescent="0.15">
      <c r="C220" s="441"/>
      <c r="D220" s="441"/>
      <c r="E220" s="441"/>
      <c r="F220" s="441"/>
      <c r="G220" s="441"/>
      <c r="H220" s="441"/>
      <c r="I220" s="441"/>
    </row>
    <row r="221" spans="3:9" ht="23.25" customHeight="1" x14ac:dyDescent="0.15">
      <c r="C221" s="441"/>
      <c r="D221" s="441"/>
      <c r="E221" s="441"/>
      <c r="F221" s="441"/>
      <c r="G221" s="441"/>
      <c r="H221" s="441"/>
      <c r="I221" s="441"/>
    </row>
    <row r="222" spans="3:9" ht="23.25" customHeight="1" x14ac:dyDescent="0.15">
      <c r="C222" s="441"/>
      <c r="D222" s="441"/>
      <c r="E222" s="441"/>
      <c r="F222" s="441"/>
      <c r="G222" s="441"/>
      <c r="H222" s="441"/>
      <c r="I222" s="441"/>
    </row>
    <row r="223" spans="3:9" ht="23.25" customHeight="1" x14ac:dyDescent="0.15">
      <c r="C223" s="441"/>
      <c r="D223" s="441"/>
      <c r="E223" s="441"/>
      <c r="F223" s="441"/>
      <c r="G223" s="441"/>
      <c r="H223" s="441"/>
      <c r="I223" s="441"/>
    </row>
    <row r="224" spans="3:9" ht="23.25" customHeight="1" x14ac:dyDescent="0.15">
      <c r="C224" s="441"/>
      <c r="D224" s="441"/>
      <c r="E224" s="441"/>
      <c r="F224" s="441"/>
      <c r="G224" s="441"/>
      <c r="H224" s="441"/>
      <c r="I224" s="441"/>
    </row>
    <row r="225" spans="3:9" ht="23.25" customHeight="1" x14ac:dyDescent="0.15">
      <c r="C225" s="441"/>
      <c r="D225" s="441"/>
      <c r="E225" s="441"/>
      <c r="F225" s="441"/>
      <c r="G225" s="441"/>
      <c r="H225" s="441"/>
      <c r="I225" s="441"/>
    </row>
    <row r="226" spans="3:9" ht="23.25" customHeight="1" x14ac:dyDescent="0.15">
      <c r="C226" s="441"/>
      <c r="D226" s="441"/>
      <c r="E226" s="441"/>
      <c r="F226" s="441"/>
      <c r="G226" s="441"/>
      <c r="H226" s="441"/>
      <c r="I226" s="441"/>
    </row>
    <row r="227" spans="3:9" ht="23.25" customHeight="1" x14ac:dyDescent="0.15">
      <c r="C227" s="441"/>
      <c r="D227" s="441"/>
      <c r="E227" s="441"/>
      <c r="F227" s="441"/>
      <c r="G227" s="441"/>
      <c r="H227" s="441"/>
      <c r="I227" s="441"/>
    </row>
    <row r="228" spans="3:9" ht="23.25" customHeight="1" x14ac:dyDescent="0.15">
      <c r="C228" s="441"/>
      <c r="D228" s="441"/>
      <c r="E228" s="441"/>
      <c r="F228" s="441"/>
      <c r="G228" s="441"/>
      <c r="H228" s="441"/>
      <c r="I228" s="441"/>
    </row>
    <row r="229" spans="3:9" ht="23.25" customHeight="1" x14ac:dyDescent="0.15">
      <c r="C229" s="441"/>
      <c r="D229" s="441"/>
      <c r="E229" s="441"/>
      <c r="F229" s="441"/>
      <c r="G229" s="441"/>
      <c r="H229" s="441"/>
      <c r="I229" s="441"/>
    </row>
    <row r="230" spans="3:9" ht="23.25" customHeight="1" x14ac:dyDescent="0.15">
      <c r="C230" s="441"/>
      <c r="D230" s="441"/>
      <c r="E230" s="441"/>
      <c r="F230" s="441"/>
      <c r="G230" s="441"/>
      <c r="H230" s="441"/>
      <c r="I230" s="441"/>
    </row>
    <row r="231" spans="3:9" ht="23.25" customHeight="1" x14ac:dyDescent="0.15">
      <c r="C231" s="441"/>
      <c r="D231" s="441"/>
      <c r="E231" s="441"/>
      <c r="F231" s="441"/>
      <c r="G231" s="441"/>
      <c r="H231" s="441"/>
      <c r="I231" s="441"/>
    </row>
    <row r="232" spans="3:9" ht="23.25" customHeight="1" x14ac:dyDescent="0.15">
      <c r="C232" s="441"/>
      <c r="D232" s="441"/>
      <c r="E232" s="441"/>
      <c r="F232" s="441"/>
      <c r="G232" s="441"/>
      <c r="H232" s="441"/>
      <c r="I232" s="441"/>
    </row>
    <row r="233" spans="3:9" ht="23.25" customHeight="1" x14ac:dyDescent="0.15">
      <c r="C233" s="441"/>
      <c r="D233" s="441"/>
      <c r="E233" s="441"/>
      <c r="F233" s="441"/>
      <c r="G233" s="441"/>
      <c r="H233" s="441"/>
      <c r="I233" s="441"/>
    </row>
    <row r="234" spans="3:9" ht="23.25" customHeight="1" x14ac:dyDescent="0.15">
      <c r="C234" s="441"/>
      <c r="D234" s="441"/>
      <c r="E234" s="441"/>
      <c r="F234" s="441"/>
      <c r="G234" s="441"/>
      <c r="H234" s="441"/>
      <c r="I234" s="441"/>
    </row>
    <row r="235" spans="3:9" ht="23.25" customHeight="1" x14ac:dyDescent="0.15">
      <c r="C235" s="441"/>
      <c r="D235" s="441"/>
      <c r="E235" s="441"/>
      <c r="F235" s="441"/>
      <c r="G235" s="441"/>
      <c r="H235" s="441"/>
      <c r="I235" s="441"/>
    </row>
    <row r="236" spans="3:9" ht="23.25" customHeight="1" x14ac:dyDescent="0.15">
      <c r="C236" s="441"/>
      <c r="D236" s="441"/>
      <c r="E236" s="441"/>
      <c r="F236" s="441"/>
      <c r="G236" s="441"/>
      <c r="H236" s="441"/>
      <c r="I236" s="441"/>
    </row>
    <row r="237" spans="3:9" ht="23.25" customHeight="1" x14ac:dyDescent="0.15">
      <c r="C237" s="441"/>
      <c r="D237" s="441"/>
      <c r="E237" s="441"/>
      <c r="F237" s="441"/>
      <c r="G237" s="441"/>
      <c r="H237" s="441"/>
      <c r="I237" s="441"/>
    </row>
    <row r="238" spans="3:9" ht="23.25" customHeight="1" x14ac:dyDescent="0.15">
      <c r="C238" s="441"/>
      <c r="D238" s="441"/>
      <c r="E238" s="441"/>
      <c r="F238" s="441"/>
      <c r="G238" s="441"/>
      <c r="H238" s="441"/>
      <c r="I238" s="441"/>
    </row>
    <row r="239" spans="3:9" ht="23.25" customHeight="1" x14ac:dyDescent="0.15">
      <c r="C239" s="441"/>
      <c r="D239" s="441"/>
      <c r="E239" s="441"/>
      <c r="F239" s="441"/>
      <c r="G239" s="441"/>
      <c r="H239" s="441"/>
      <c r="I239" s="441"/>
    </row>
    <row r="240" spans="3:9" ht="23.25" customHeight="1" x14ac:dyDescent="0.15">
      <c r="C240" s="441"/>
      <c r="D240" s="441"/>
      <c r="E240" s="441"/>
      <c r="F240" s="441"/>
      <c r="G240" s="441"/>
      <c r="H240" s="441"/>
      <c r="I240" s="441"/>
    </row>
    <row r="241" spans="3:9" ht="23.25" customHeight="1" x14ac:dyDescent="0.15">
      <c r="C241" s="441"/>
      <c r="D241" s="441"/>
      <c r="E241" s="441"/>
      <c r="F241" s="441"/>
      <c r="G241" s="441"/>
      <c r="H241" s="441"/>
      <c r="I241" s="441"/>
    </row>
    <row r="242" spans="3:9" ht="23.25" customHeight="1" x14ac:dyDescent="0.15">
      <c r="C242" s="441"/>
      <c r="D242" s="441"/>
      <c r="E242" s="441"/>
      <c r="F242" s="441"/>
      <c r="G242" s="441"/>
      <c r="H242" s="441"/>
      <c r="I242" s="441"/>
    </row>
    <row r="243" spans="3:9" ht="23.25" customHeight="1" x14ac:dyDescent="0.15">
      <c r="C243" s="441"/>
      <c r="D243" s="441"/>
      <c r="E243" s="441"/>
      <c r="F243" s="441"/>
      <c r="G243" s="441"/>
      <c r="H243" s="441"/>
      <c r="I243" s="441"/>
    </row>
    <row r="244" spans="3:9" ht="23.25" customHeight="1" x14ac:dyDescent="0.15">
      <c r="C244" s="441"/>
      <c r="D244" s="441"/>
      <c r="E244" s="441"/>
      <c r="F244" s="441"/>
      <c r="G244" s="441"/>
      <c r="H244" s="441"/>
      <c r="I244" s="441"/>
    </row>
    <row r="245" spans="3:9" ht="23.25" customHeight="1" x14ac:dyDescent="0.15">
      <c r="C245" s="441"/>
      <c r="D245" s="441"/>
      <c r="E245" s="441"/>
      <c r="F245" s="441"/>
      <c r="G245" s="441"/>
      <c r="H245" s="441"/>
      <c r="I245" s="441"/>
    </row>
    <row r="246" spans="3:9" ht="23.25" customHeight="1" x14ac:dyDescent="0.15">
      <c r="C246" s="441"/>
      <c r="D246" s="441"/>
      <c r="E246" s="441"/>
      <c r="F246" s="441"/>
      <c r="G246" s="441"/>
      <c r="H246" s="441"/>
      <c r="I246" s="441"/>
    </row>
    <row r="247" spans="3:9" ht="23.25" customHeight="1" x14ac:dyDescent="0.15">
      <c r="C247" s="441"/>
      <c r="D247" s="441"/>
      <c r="E247" s="441"/>
      <c r="F247" s="441"/>
      <c r="G247" s="441"/>
      <c r="H247" s="441"/>
      <c r="I247" s="441"/>
    </row>
    <row r="248" spans="3:9" ht="23.25" customHeight="1" x14ac:dyDescent="0.15">
      <c r="C248" s="441"/>
      <c r="D248" s="441"/>
      <c r="E248" s="441"/>
      <c r="F248" s="441"/>
      <c r="G248" s="441"/>
      <c r="H248" s="441"/>
      <c r="I248" s="441"/>
    </row>
    <row r="249" spans="3:9" ht="23.25" customHeight="1" x14ac:dyDescent="0.15">
      <c r="C249" s="441"/>
      <c r="D249" s="441"/>
      <c r="E249" s="441"/>
      <c r="F249" s="441"/>
      <c r="G249" s="441"/>
      <c r="H249" s="441"/>
      <c r="I249" s="441"/>
    </row>
    <row r="250" spans="3:9" ht="23.25" customHeight="1" x14ac:dyDescent="0.15">
      <c r="C250" s="441"/>
      <c r="D250" s="441"/>
      <c r="E250" s="441"/>
      <c r="F250" s="441"/>
      <c r="G250" s="441"/>
      <c r="H250" s="441"/>
      <c r="I250" s="441"/>
    </row>
    <row r="251" spans="3:9" ht="23.25" customHeight="1" x14ac:dyDescent="0.15">
      <c r="C251" s="441"/>
      <c r="D251" s="441"/>
      <c r="E251" s="441"/>
      <c r="F251" s="441"/>
      <c r="G251" s="441"/>
      <c r="H251" s="441"/>
      <c r="I251" s="441"/>
    </row>
    <row r="252" spans="3:9" ht="23.25" customHeight="1" x14ac:dyDescent="0.15">
      <c r="C252" s="441"/>
      <c r="D252" s="441"/>
      <c r="E252" s="441"/>
      <c r="F252" s="441"/>
      <c r="G252" s="441"/>
      <c r="H252" s="441"/>
      <c r="I252" s="441"/>
    </row>
    <row r="253" spans="3:9" ht="23.25" customHeight="1" x14ac:dyDescent="0.15">
      <c r="C253" s="441"/>
      <c r="D253" s="441"/>
      <c r="E253" s="441"/>
      <c r="F253" s="441"/>
      <c r="G253" s="441"/>
      <c r="H253" s="441"/>
      <c r="I253" s="441"/>
    </row>
    <row r="254" spans="3:9" ht="23.25" customHeight="1" x14ac:dyDescent="0.15">
      <c r="C254" s="441"/>
      <c r="D254" s="441"/>
      <c r="E254" s="441"/>
      <c r="F254" s="441"/>
      <c r="G254" s="441"/>
      <c r="H254" s="441"/>
      <c r="I254" s="441"/>
    </row>
    <row r="255" spans="3:9" ht="23.25" customHeight="1" x14ac:dyDescent="0.15">
      <c r="C255" s="441"/>
      <c r="D255" s="441"/>
      <c r="E255" s="441"/>
      <c r="F255" s="441"/>
      <c r="G255" s="441"/>
      <c r="H255" s="441"/>
      <c r="I255" s="441"/>
    </row>
    <row r="256" spans="3:9" ht="23.25" customHeight="1" x14ac:dyDescent="0.15">
      <c r="C256" s="441"/>
      <c r="D256" s="441"/>
      <c r="E256" s="441"/>
      <c r="F256" s="441"/>
      <c r="G256" s="441"/>
      <c r="H256" s="441"/>
      <c r="I256" s="441"/>
    </row>
    <row r="257" spans="3:9" ht="23.25" customHeight="1" x14ac:dyDescent="0.15">
      <c r="C257" s="441"/>
      <c r="D257" s="441"/>
      <c r="E257" s="441"/>
      <c r="F257" s="441"/>
      <c r="G257" s="441"/>
      <c r="H257" s="441"/>
      <c r="I257" s="441"/>
    </row>
    <row r="258" spans="3:9" ht="23.25" customHeight="1" x14ac:dyDescent="0.15">
      <c r="C258" s="441"/>
      <c r="D258" s="441"/>
      <c r="E258" s="441"/>
      <c r="F258" s="441"/>
      <c r="G258" s="441"/>
      <c r="H258" s="441"/>
      <c r="I258" s="441"/>
    </row>
    <row r="259" spans="3:9" ht="23.25" customHeight="1" x14ac:dyDescent="0.15">
      <c r="C259" s="441"/>
      <c r="D259" s="441"/>
      <c r="E259" s="441"/>
      <c r="F259" s="441"/>
      <c r="G259" s="441"/>
      <c r="H259" s="441"/>
      <c r="I259" s="441"/>
    </row>
    <row r="260" spans="3:9" ht="23.25" customHeight="1" x14ac:dyDescent="0.15">
      <c r="C260" s="441"/>
      <c r="D260" s="441"/>
      <c r="E260" s="441"/>
      <c r="F260" s="441"/>
      <c r="G260" s="441"/>
      <c r="H260" s="441"/>
      <c r="I260" s="441"/>
    </row>
    <row r="261" spans="3:9" ht="23.25" customHeight="1" x14ac:dyDescent="0.15">
      <c r="C261" s="441"/>
      <c r="D261" s="441"/>
      <c r="E261" s="441"/>
      <c r="F261" s="441"/>
      <c r="G261" s="441"/>
      <c r="H261" s="441"/>
      <c r="I261" s="441"/>
    </row>
    <row r="262" spans="3:9" ht="23.25" customHeight="1" x14ac:dyDescent="0.15">
      <c r="C262" s="441"/>
      <c r="D262" s="441"/>
      <c r="E262" s="441"/>
      <c r="F262" s="441"/>
      <c r="G262" s="441"/>
      <c r="H262" s="441"/>
      <c r="I262" s="441"/>
    </row>
    <row r="263" spans="3:9" ht="23.25" customHeight="1" x14ac:dyDescent="0.15">
      <c r="C263" s="441"/>
      <c r="D263" s="441"/>
      <c r="E263" s="441"/>
      <c r="F263" s="441"/>
      <c r="G263" s="441"/>
      <c r="H263" s="441"/>
      <c r="I263" s="441"/>
    </row>
    <row r="264" spans="3:9" ht="23.25" customHeight="1" x14ac:dyDescent="0.15">
      <c r="C264" s="441"/>
      <c r="D264" s="441"/>
      <c r="E264" s="441"/>
      <c r="F264" s="441"/>
      <c r="G264" s="441"/>
      <c r="H264" s="441"/>
      <c r="I264" s="441"/>
    </row>
    <row r="265" spans="3:9" ht="23.25" customHeight="1" x14ac:dyDescent="0.15">
      <c r="C265" s="441"/>
      <c r="D265" s="441"/>
      <c r="E265" s="441"/>
      <c r="F265" s="441"/>
      <c r="G265" s="441"/>
      <c r="H265" s="441"/>
      <c r="I265" s="441"/>
    </row>
    <row r="266" spans="3:9" ht="23.25" customHeight="1" x14ac:dyDescent="0.15">
      <c r="C266" s="441"/>
      <c r="D266" s="441"/>
      <c r="E266" s="441"/>
      <c r="F266" s="441"/>
      <c r="G266" s="441"/>
      <c r="H266" s="441"/>
      <c r="I266" s="441"/>
    </row>
    <row r="267" spans="3:9" ht="23.25" customHeight="1" x14ac:dyDescent="0.15">
      <c r="C267" s="441"/>
      <c r="D267" s="441"/>
      <c r="E267" s="441"/>
      <c r="F267" s="441"/>
      <c r="G267" s="441"/>
      <c r="H267" s="441"/>
      <c r="I267" s="441"/>
    </row>
    <row r="268" spans="3:9" ht="23.25" customHeight="1" x14ac:dyDescent="0.15">
      <c r="C268" s="441"/>
      <c r="D268" s="441"/>
      <c r="E268" s="441"/>
      <c r="F268" s="441"/>
      <c r="G268" s="441"/>
      <c r="H268" s="441"/>
      <c r="I268" s="441"/>
    </row>
    <row r="269" spans="3:9" ht="23.25" customHeight="1" x14ac:dyDescent="0.15">
      <c r="C269" s="441"/>
      <c r="D269" s="441"/>
      <c r="E269" s="441"/>
      <c r="F269" s="441"/>
      <c r="G269" s="441"/>
      <c r="H269" s="441"/>
      <c r="I269" s="441"/>
    </row>
    <row r="270" spans="3:9" ht="23.25" customHeight="1" x14ac:dyDescent="0.15">
      <c r="C270" s="441"/>
      <c r="D270" s="441"/>
      <c r="E270" s="441"/>
      <c r="F270" s="441"/>
      <c r="G270" s="441"/>
      <c r="H270" s="441"/>
      <c r="I270" s="441"/>
    </row>
    <row r="271" spans="3:9" ht="23.25" customHeight="1" x14ac:dyDescent="0.15">
      <c r="C271" s="441"/>
      <c r="D271" s="441"/>
      <c r="E271" s="441"/>
      <c r="F271" s="441"/>
      <c r="G271" s="441"/>
      <c r="H271" s="441"/>
      <c r="I271" s="441"/>
    </row>
    <row r="272" spans="3:9" ht="23.25" customHeight="1" x14ac:dyDescent="0.15">
      <c r="C272" s="441"/>
      <c r="D272" s="441"/>
      <c r="E272" s="441"/>
      <c r="F272" s="441"/>
      <c r="G272" s="441"/>
      <c r="H272" s="441"/>
      <c r="I272" s="441"/>
    </row>
    <row r="273" spans="3:9" ht="23.25" customHeight="1" x14ac:dyDescent="0.15">
      <c r="C273" s="441"/>
      <c r="D273" s="441"/>
      <c r="E273" s="441"/>
      <c r="F273" s="441"/>
      <c r="G273" s="441"/>
      <c r="H273" s="441"/>
      <c r="I273" s="441"/>
    </row>
    <row r="274" spans="3:9" ht="23.25" customHeight="1" x14ac:dyDescent="0.15">
      <c r="C274" s="441"/>
      <c r="D274" s="441"/>
      <c r="E274" s="441"/>
      <c r="F274" s="441"/>
      <c r="G274" s="441"/>
      <c r="H274" s="441"/>
      <c r="I274" s="441"/>
    </row>
    <row r="275" spans="3:9" ht="23.25" customHeight="1" x14ac:dyDescent="0.15">
      <c r="C275" s="441"/>
      <c r="D275" s="441"/>
      <c r="E275" s="441"/>
      <c r="F275" s="441"/>
      <c r="G275" s="441"/>
      <c r="H275" s="441"/>
      <c r="I275" s="441"/>
    </row>
    <row r="276" spans="3:9" ht="23.25" customHeight="1" x14ac:dyDescent="0.15">
      <c r="C276" s="441"/>
      <c r="D276" s="441"/>
      <c r="E276" s="441"/>
      <c r="F276" s="441"/>
      <c r="G276" s="441"/>
      <c r="H276" s="441"/>
      <c r="I276" s="441"/>
    </row>
    <row r="277" spans="3:9" ht="23.25" customHeight="1" x14ac:dyDescent="0.15">
      <c r="C277" s="441"/>
      <c r="D277" s="441"/>
      <c r="E277" s="441"/>
      <c r="F277" s="441"/>
      <c r="G277" s="441"/>
      <c r="H277" s="441"/>
      <c r="I277" s="441"/>
    </row>
    <row r="278" spans="3:9" ht="23.25" customHeight="1" x14ac:dyDescent="0.15">
      <c r="C278" s="441"/>
      <c r="D278" s="441"/>
      <c r="E278" s="441"/>
      <c r="F278" s="441"/>
      <c r="G278" s="441"/>
      <c r="H278" s="441"/>
      <c r="I278" s="441"/>
    </row>
    <row r="279" spans="3:9" ht="23.25" customHeight="1" x14ac:dyDescent="0.15">
      <c r="C279" s="441"/>
      <c r="D279" s="441"/>
      <c r="E279" s="441"/>
      <c r="F279" s="441"/>
      <c r="G279" s="441"/>
      <c r="H279" s="441"/>
      <c r="I279" s="441"/>
    </row>
    <row r="280" spans="3:9" ht="23.25" customHeight="1" x14ac:dyDescent="0.15">
      <c r="C280" s="441"/>
      <c r="D280" s="441"/>
      <c r="E280" s="441"/>
      <c r="F280" s="441"/>
      <c r="G280" s="441"/>
      <c r="H280" s="441"/>
      <c r="I280" s="441"/>
    </row>
    <row r="281" spans="3:9" ht="23.25" customHeight="1" x14ac:dyDescent="0.15">
      <c r="C281" s="441"/>
      <c r="D281" s="441"/>
      <c r="E281" s="441"/>
      <c r="F281" s="441"/>
      <c r="G281" s="441"/>
      <c r="H281" s="441"/>
      <c r="I281" s="441"/>
    </row>
    <row r="282" spans="3:9" ht="23.25" customHeight="1" x14ac:dyDescent="0.15">
      <c r="C282" s="441"/>
      <c r="D282" s="441"/>
      <c r="E282" s="441"/>
      <c r="F282" s="441"/>
      <c r="G282" s="441"/>
      <c r="H282" s="441"/>
      <c r="I282" s="441"/>
    </row>
    <row r="283" spans="3:9" ht="23.25" customHeight="1" x14ac:dyDescent="0.15">
      <c r="C283" s="441"/>
      <c r="D283" s="441"/>
      <c r="E283" s="441"/>
      <c r="F283" s="441"/>
      <c r="G283" s="441"/>
      <c r="H283" s="441"/>
      <c r="I283" s="441"/>
    </row>
    <row r="284" spans="3:9" ht="23.25" customHeight="1" x14ac:dyDescent="0.15">
      <c r="C284" s="441"/>
      <c r="D284" s="441"/>
      <c r="E284" s="441"/>
      <c r="F284" s="441"/>
      <c r="G284" s="441"/>
      <c r="H284" s="441"/>
      <c r="I284" s="441"/>
    </row>
    <row r="285" spans="3:9" ht="23.25" customHeight="1" x14ac:dyDescent="0.15">
      <c r="C285" s="441"/>
      <c r="D285" s="441"/>
      <c r="E285" s="441"/>
      <c r="F285" s="441"/>
      <c r="G285" s="441"/>
      <c r="H285" s="441"/>
      <c r="I285" s="441"/>
    </row>
    <row r="286" spans="3:9" ht="23.25" customHeight="1" x14ac:dyDescent="0.15">
      <c r="C286" s="441"/>
      <c r="D286" s="441"/>
      <c r="E286" s="441"/>
      <c r="F286" s="441"/>
      <c r="G286" s="441"/>
      <c r="H286" s="441"/>
      <c r="I286" s="441"/>
    </row>
    <row r="287" spans="3:9" ht="23.25" customHeight="1" x14ac:dyDescent="0.15">
      <c r="C287" s="441"/>
      <c r="D287" s="441"/>
      <c r="E287" s="441"/>
      <c r="F287" s="441"/>
      <c r="G287" s="441"/>
      <c r="H287" s="441"/>
      <c r="I287" s="441"/>
    </row>
    <row r="288" spans="3:9" ht="23.25" customHeight="1" x14ac:dyDescent="0.15">
      <c r="C288" s="441"/>
      <c r="D288" s="441"/>
      <c r="E288" s="441"/>
      <c r="F288" s="441"/>
      <c r="G288" s="441"/>
      <c r="H288" s="441"/>
      <c r="I288" s="441"/>
    </row>
    <row r="289" spans="3:9" ht="23.25" customHeight="1" x14ac:dyDescent="0.15">
      <c r="C289" s="441"/>
      <c r="D289" s="441"/>
      <c r="E289" s="441"/>
      <c r="F289" s="441"/>
      <c r="G289" s="441"/>
      <c r="H289" s="441"/>
      <c r="I289" s="441"/>
    </row>
    <row r="290" spans="3:9" ht="23.25" customHeight="1" x14ac:dyDescent="0.15">
      <c r="C290" s="441"/>
      <c r="D290" s="441"/>
      <c r="E290" s="441"/>
      <c r="F290" s="441"/>
      <c r="G290" s="441"/>
      <c r="H290" s="441"/>
      <c r="I290" s="441"/>
    </row>
    <row r="291" spans="3:9" ht="23.25" customHeight="1" x14ac:dyDescent="0.15">
      <c r="C291" s="441"/>
      <c r="D291" s="441"/>
      <c r="E291" s="441"/>
      <c r="F291" s="441"/>
      <c r="G291" s="441"/>
      <c r="H291" s="441"/>
      <c r="I291" s="441"/>
    </row>
    <row r="292" spans="3:9" ht="23.25" customHeight="1" x14ac:dyDescent="0.15">
      <c r="C292" s="441"/>
      <c r="D292" s="441"/>
      <c r="E292" s="441"/>
      <c r="F292" s="441"/>
      <c r="G292" s="441"/>
      <c r="H292" s="441"/>
      <c r="I292" s="441"/>
    </row>
    <row r="293" spans="3:9" ht="23.25" customHeight="1" x14ac:dyDescent="0.15">
      <c r="C293" s="441"/>
      <c r="D293" s="441"/>
      <c r="E293" s="441"/>
      <c r="F293" s="441"/>
      <c r="G293" s="441"/>
      <c r="H293" s="441"/>
      <c r="I293" s="441"/>
    </row>
    <row r="294" spans="3:9" ht="23.25" customHeight="1" x14ac:dyDescent="0.15">
      <c r="C294" s="441"/>
      <c r="D294" s="441"/>
      <c r="E294" s="441"/>
      <c r="F294" s="441"/>
      <c r="G294" s="441"/>
      <c r="H294" s="441"/>
      <c r="I294" s="441"/>
    </row>
    <row r="295" spans="3:9" ht="23.25" customHeight="1" x14ac:dyDescent="0.15">
      <c r="C295" s="441"/>
      <c r="D295" s="441"/>
      <c r="E295" s="441"/>
      <c r="F295" s="441"/>
      <c r="G295" s="441"/>
      <c r="H295" s="441"/>
      <c r="I295" s="441"/>
    </row>
    <row r="296" spans="3:9" ht="23.25" customHeight="1" x14ac:dyDescent="0.15">
      <c r="C296" s="441"/>
      <c r="D296" s="441"/>
      <c r="E296" s="441"/>
      <c r="F296" s="441"/>
      <c r="G296" s="441"/>
      <c r="H296" s="441"/>
      <c r="I296" s="441"/>
    </row>
    <row r="297" spans="3:9" ht="23.25" customHeight="1" x14ac:dyDescent="0.15">
      <c r="C297" s="441"/>
      <c r="D297" s="441"/>
      <c r="E297" s="441"/>
      <c r="F297" s="441"/>
      <c r="G297" s="441"/>
      <c r="H297" s="441"/>
      <c r="I297" s="441"/>
    </row>
    <row r="298" spans="3:9" ht="23.25" customHeight="1" x14ac:dyDescent="0.15">
      <c r="C298" s="441"/>
      <c r="D298" s="441"/>
      <c r="E298" s="441"/>
      <c r="F298" s="441"/>
      <c r="G298" s="441"/>
      <c r="H298" s="441"/>
      <c r="I298" s="441"/>
    </row>
    <row r="299" spans="3:9" ht="23.25" customHeight="1" x14ac:dyDescent="0.15">
      <c r="C299" s="441"/>
      <c r="D299" s="441"/>
      <c r="E299" s="441"/>
      <c r="F299" s="441"/>
      <c r="G299" s="441"/>
      <c r="H299" s="441"/>
      <c r="I299" s="441"/>
    </row>
    <row r="300" spans="3:9" ht="23.25" customHeight="1" x14ac:dyDescent="0.15">
      <c r="C300" s="441"/>
      <c r="D300" s="441"/>
      <c r="E300" s="441"/>
      <c r="F300" s="441"/>
      <c r="G300" s="441"/>
      <c r="H300" s="441"/>
      <c r="I300" s="441"/>
    </row>
    <row r="301" spans="3:9" ht="23.25" customHeight="1" x14ac:dyDescent="0.15">
      <c r="C301" s="441"/>
      <c r="D301" s="441"/>
      <c r="E301" s="441"/>
      <c r="F301" s="441"/>
      <c r="G301" s="441"/>
      <c r="H301" s="441"/>
      <c r="I301" s="441"/>
    </row>
    <row r="302" spans="3:9" ht="23.25" customHeight="1" x14ac:dyDescent="0.15">
      <c r="C302" s="441"/>
      <c r="D302" s="441"/>
      <c r="E302" s="441"/>
      <c r="F302" s="441"/>
      <c r="G302" s="441"/>
      <c r="H302" s="441"/>
      <c r="I302" s="441"/>
    </row>
    <row r="303" spans="3:9" ht="23.25" customHeight="1" x14ac:dyDescent="0.15">
      <c r="C303" s="441"/>
      <c r="D303" s="441"/>
      <c r="E303" s="441"/>
      <c r="F303" s="441"/>
      <c r="G303" s="441"/>
      <c r="H303" s="441"/>
      <c r="I303" s="441"/>
    </row>
    <row r="304" spans="3:9" ht="23.25" customHeight="1" x14ac:dyDescent="0.15">
      <c r="C304" s="441"/>
      <c r="D304" s="441"/>
      <c r="E304" s="441"/>
      <c r="F304" s="441"/>
      <c r="G304" s="441"/>
      <c r="H304" s="441"/>
      <c r="I304" s="441"/>
    </row>
    <row r="305" spans="3:9" ht="23.25" customHeight="1" x14ac:dyDescent="0.15">
      <c r="C305" s="441"/>
      <c r="D305" s="441"/>
      <c r="E305" s="441"/>
      <c r="F305" s="441"/>
      <c r="G305" s="441"/>
      <c r="H305" s="441"/>
      <c r="I305" s="441"/>
    </row>
    <row r="306" spans="3:9" ht="23.25" customHeight="1" x14ac:dyDescent="0.15">
      <c r="C306" s="441"/>
      <c r="D306" s="441"/>
      <c r="E306" s="441"/>
      <c r="F306" s="441"/>
      <c r="G306" s="441"/>
      <c r="H306" s="441"/>
      <c r="I306" s="441"/>
    </row>
    <row r="307" spans="3:9" ht="23.25" customHeight="1" x14ac:dyDescent="0.15">
      <c r="C307" s="441"/>
      <c r="D307" s="441"/>
      <c r="E307" s="441"/>
      <c r="F307" s="441"/>
      <c r="G307" s="441"/>
      <c r="H307" s="441"/>
      <c r="I307" s="441"/>
    </row>
    <row r="308" spans="3:9" ht="23.25" customHeight="1" x14ac:dyDescent="0.15">
      <c r="C308" s="441"/>
      <c r="D308" s="441"/>
      <c r="E308" s="441"/>
      <c r="F308" s="441"/>
      <c r="G308" s="441"/>
      <c r="H308" s="441"/>
      <c r="I308" s="441"/>
    </row>
    <row r="309" spans="3:9" ht="23.25" customHeight="1" x14ac:dyDescent="0.15">
      <c r="C309" s="441"/>
      <c r="D309" s="441"/>
      <c r="E309" s="441"/>
      <c r="F309" s="441"/>
      <c r="G309" s="441"/>
      <c r="H309" s="441"/>
      <c r="I309" s="441"/>
    </row>
    <row r="310" spans="3:9" ht="23.25" customHeight="1" x14ac:dyDescent="0.15">
      <c r="C310" s="441"/>
      <c r="D310" s="441"/>
      <c r="E310" s="441"/>
      <c r="F310" s="441"/>
      <c r="G310" s="441"/>
      <c r="H310" s="441"/>
      <c r="I310" s="441"/>
    </row>
    <row r="311" spans="3:9" ht="23.25" customHeight="1" x14ac:dyDescent="0.15">
      <c r="C311" s="441"/>
      <c r="D311" s="441"/>
      <c r="E311" s="441"/>
      <c r="F311" s="441"/>
      <c r="G311" s="441"/>
      <c r="H311" s="441"/>
      <c r="I311" s="441"/>
    </row>
    <row r="312" spans="3:9" ht="23.25" customHeight="1" x14ac:dyDescent="0.15">
      <c r="C312" s="441"/>
      <c r="D312" s="441"/>
      <c r="E312" s="441"/>
      <c r="F312" s="441"/>
      <c r="G312" s="441"/>
      <c r="H312" s="441"/>
      <c r="I312" s="441"/>
    </row>
    <row r="313" spans="3:9" ht="23.25" customHeight="1" x14ac:dyDescent="0.15">
      <c r="C313" s="441"/>
      <c r="D313" s="441"/>
      <c r="E313" s="441"/>
      <c r="F313" s="441"/>
      <c r="G313" s="441"/>
      <c r="H313" s="441"/>
      <c r="I313" s="441"/>
    </row>
    <row r="314" spans="3:9" ht="23.25" customHeight="1" x14ac:dyDescent="0.15">
      <c r="C314" s="441"/>
      <c r="D314" s="441"/>
      <c r="E314" s="441"/>
      <c r="F314" s="441"/>
      <c r="G314" s="441"/>
      <c r="H314" s="441"/>
      <c r="I314" s="441"/>
    </row>
    <row r="315" spans="3:9" ht="23.25" customHeight="1" x14ac:dyDescent="0.15">
      <c r="C315" s="441"/>
      <c r="D315" s="441"/>
      <c r="E315" s="441"/>
      <c r="F315" s="441"/>
      <c r="G315" s="441"/>
      <c r="H315" s="441"/>
      <c r="I315" s="441"/>
    </row>
    <row r="316" spans="3:9" ht="23.25" customHeight="1" x14ac:dyDescent="0.15">
      <c r="C316" s="441"/>
      <c r="D316" s="441"/>
      <c r="E316" s="441"/>
      <c r="F316" s="441"/>
      <c r="G316" s="441"/>
      <c r="H316" s="441"/>
      <c r="I316" s="441"/>
    </row>
    <row r="317" spans="3:9" ht="23.25" customHeight="1" x14ac:dyDescent="0.15">
      <c r="C317" s="441"/>
      <c r="D317" s="441"/>
      <c r="E317" s="441"/>
      <c r="F317" s="441"/>
      <c r="G317" s="441"/>
      <c r="H317" s="441"/>
      <c r="I317" s="441"/>
    </row>
    <row r="318" spans="3:9" ht="23.25" customHeight="1" x14ac:dyDescent="0.15">
      <c r="C318" s="441"/>
      <c r="D318" s="441"/>
      <c r="E318" s="441"/>
      <c r="F318" s="441"/>
      <c r="G318" s="441"/>
      <c r="H318" s="441"/>
      <c r="I318" s="441"/>
    </row>
    <row r="319" spans="3:9" ht="23.25" customHeight="1" x14ac:dyDescent="0.15">
      <c r="C319" s="441"/>
      <c r="D319" s="441"/>
      <c r="E319" s="441"/>
      <c r="F319" s="441"/>
      <c r="G319" s="441"/>
      <c r="H319" s="441"/>
      <c r="I319" s="441"/>
    </row>
    <row r="320" spans="3:9" ht="23.25" customHeight="1" x14ac:dyDescent="0.15">
      <c r="C320" s="441"/>
      <c r="D320" s="441"/>
      <c r="E320" s="441"/>
      <c r="F320" s="441"/>
      <c r="G320" s="441"/>
      <c r="H320" s="441"/>
      <c r="I320" s="441"/>
    </row>
    <row r="321" spans="3:9" ht="23.25" customHeight="1" x14ac:dyDescent="0.15">
      <c r="C321" s="441"/>
      <c r="D321" s="441"/>
      <c r="E321" s="441"/>
      <c r="F321" s="441"/>
      <c r="G321" s="441"/>
      <c r="H321" s="441"/>
      <c r="I321" s="441"/>
    </row>
    <row r="322" spans="3:9" ht="23.25" customHeight="1" x14ac:dyDescent="0.15">
      <c r="C322" s="441"/>
      <c r="D322" s="441"/>
      <c r="E322" s="441"/>
      <c r="F322" s="441"/>
      <c r="G322" s="441"/>
      <c r="H322" s="441"/>
      <c r="I322" s="441"/>
    </row>
    <row r="323" spans="3:9" ht="23.25" customHeight="1" x14ac:dyDescent="0.15">
      <c r="C323" s="441"/>
      <c r="D323" s="441"/>
      <c r="E323" s="441"/>
      <c r="F323" s="441"/>
      <c r="G323" s="441"/>
      <c r="H323" s="441"/>
      <c r="I323" s="441"/>
    </row>
    <row r="324" spans="3:9" ht="23.25" customHeight="1" x14ac:dyDescent="0.15">
      <c r="C324" s="441"/>
      <c r="D324" s="441"/>
      <c r="E324" s="441"/>
      <c r="F324" s="441"/>
      <c r="G324" s="441"/>
      <c r="H324" s="441"/>
      <c r="I324" s="441"/>
    </row>
    <row r="325" spans="3:9" ht="23.25" customHeight="1" x14ac:dyDescent="0.15">
      <c r="C325" s="441"/>
      <c r="D325" s="441"/>
      <c r="E325" s="441"/>
      <c r="F325" s="441"/>
      <c r="G325" s="441"/>
      <c r="H325" s="441"/>
      <c r="I325" s="441"/>
    </row>
    <row r="326" spans="3:9" ht="23.25" customHeight="1" x14ac:dyDescent="0.15">
      <c r="C326" s="441"/>
      <c r="D326" s="441"/>
      <c r="E326" s="441"/>
      <c r="F326" s="441"/>
      <c r="G326" s="441"/>
      <c r="H326" s="441"/>
      <c r="I326" s="441"/>
    </row>
    <row r="327" spans="3:9" ht="23.25" customHeight="1" x14ac:dyDescent="0.15">
      <c r="C327" s="441"/>
      <c r="D327" s="441"/>
      <c r="E327" s="441"/>
      <c r="F327" s="441"/>
      <c r="G327" s="441"/>
      <c r="H327" s="441"/>
      <c r="I327" s="441"/>
    </row>
    <row r="328" spans="3:9" ht="23.25" customHeight="1" x14ac:dyDescent="0.15">
      <c r="C328" s="441"/>
      <c r="D328" s="441"/>
      <c r="E328" s="441"/>
      <c r="F328" s="441"/>
      <c r="G328" s="441"/>
      <c r="H328" s="441"/>
      <c r="I328" s="441"/>
    </row>
    <row r="329" spans="3:9" ht="23.25" customHeight="1" x14ac:dyDescent="0.15">
      <c r="C329" s="441"/>
      <c r="D329" s="441"/>
      <c r="E329" s="441"/>
      <c r="F329" s="441"/>
      <c r="G329" s="441"/>
      <c r="H329" s="441"/>
      <c r="I329" s="441"/>
    </row>
    <row r="330" spans="3:9" ht="23.25" customHeight="1" x14ac:dyDescent="0.15">
      <c r="C330" s="441"/>
      <c r="D330" s="441"/>
      <c r="E330" s="441"/>
      <c r="F330" s="441"/>
      <c r="G330" s="441"/>
      <c r="H330" s="441"/>
      <c r="I330" s="441"/>
    </row>
    <row r="331" spans="3:9" ht="23.25" customHeight="1" x14ac:dyDescent="0.15">
      <c r="C331" s="441"/>
      <c r="D331" s="441"/>
      <c r="E331" s="441"/>
      <c r="F331" s="441"/>
      <c r="G331" s="441"/>
      <c r="H331" s="441"/>
      <c r="I331" s="441"/>
    </row>
    <row r="332" spans="3:9" ht="23.25" customHeight="1" x14ac:dyDescent="0.15">
      <c r="C332" s="441"/>
      <c r="D332" s="441"/>
      <c r="E332" s="441"/>
      <c r="F332" s="441"/>
      <c r="G332" s="441"/>
      <c r="H332" s="441"/>
      <c r="I332" s="441"/>
    </row>
    <row r="333" spans="3:9" ht="23.25" customHeight="1" x14ac:dyDescent="0.15">
      <c r="C333" s="441"/>
      <c r="D333" s="441"/>
      <c r="E333" s="441"/>
      <c r="F333" s="441"/>
      <c r="G333" s="441"/>
      <c r="H333" s="441"/>
      <c r="I333" s="441"/>
    </row>
    <row r="334" spans="3:9" ht="23.25" customHeight="1" x14ac:dyDescent="0.15">
      <c r="C334" s="441"/>
      <c r="D334" s="441"/>
      <c r="E334" s="441"/>
      <c r="F334" s="441"/>
      <c r="G334" s="441"/>
      <c r="H334" s="441"/>
      <c r="I334" s="441"/>
    </row>
    <row r="335" spans="3:9" ht="23.25" customHeight="1" x14ac:dyDescent="0.15">
      <c r="C335" s="441"/>
      <c r="D335" s="441"/>
      <c r="E335" s="441"/>
      <c r="F335" s="441"/>
      <c r="G335" s="441"/>
      <c r="H335" s="441"/>
      <c r="I335" s="441"/>
    </row>
    <row r="336" spans="3:9" ht="23.25" customHeight="1" x14ac:dyDescent="0.15">
      <c r="C336" s="441"/>
      <c r="D336" s="441"/>
      <c r="E336" s="441"/>
      <c r="F336" s="441"/>
      <c r="G336" s="441"/>
      <c r="H336" s="441"/>
      <c r="I336" s="441"/>
    </row>
    <row r="337" spans="3:9" ht="23.25" customHeight="1" x14ac:dyDescent="0.15">
      <c r="C337" s="441"/>
      <c r="D337" s="441"/>
      <c r="E337" s="441"/>
      <c r="F337" s="441"/>
      <c r="G337" s="441"/>
      <c r="H337" s="441"/>
      <c r="I337" s="441"/>
    </row>
    <row r="338" spans="3:9" ht="23.25" customHeight="1" x14ac:dyDescent="0.15">
      <c r="C338" s="441"/>
      <c r="D338" s="441"/>
      <c r="E338" s="441"/>
      <c r="F338" s="441"/>
      <c r="G338" s="441"/>
      <c r="H338" s="441"/>
      <c r="I338" s="441"/>
    </row>
    <row r="339" spans="3:9" ht="23.25" customHeight="1" x14ac:dyDescent="0.15">
      <c r="C339" s="441"/>
      <c r="D339" s="441"/>
      <c r="E339" s="441"/>
      <c r="F339" s="441"/>
      <c r="G339" s="441"/>
      <c r="H339" s="441"/>
      <c r="I339" s="441"/>
    </row>
    <row r="340" spans="3:9" ht="23.25" customHeight="1" x14ac:dyDescent="0.15">
      <c r="C340" s="441"/>
      <c r="D340" s="441"/>
      <c r="E340" s="441"/>
      <c r="F340" s="441"/>
      <c r="G340" s="441"/>
      <c r="H340" s="441"/>
      <c r="I340" s="441"/>
    </row>
    <row r="341" spans="3:9" ht="23.25" customHeight="1" x14ac:dyDescent="0.15">
      <c r="C341" s="441"/>
      <c r="D341" s="441"/>
      <c r="E341" s="441"/>
      <c r="F341" s="441"/>
      <c r="G341" s="441"/>
      <c r="H341" s="441"/>
      <c r="I341" s="441"/>
    </row>
    <row r="342" spans="3:9" ht="23.25" customHeight="1" x14ac:dyDescent="0.15">
      <c r="C342" s="441"/>
      <c r="D342" s="441"/>
      <c r="E342" s="441"/>
      <c r="F342" s="441"/>
      <c r="G342" s="441"/>
      <c r="H342" s="441"/>
      <c r="I342" s="441"/>
    </row>
    <row r="343" spans="3:9" ht="23.25" customHeight="1" x14ac:dyDescent="0.15">
      <c r="C343" s="441"/>
      <c r="D343" s="441"/>
      <c r="E343" s="441"/>
      <c r="F343" s="441"/>
      <c r="G343" s="441"/>
      <c r="H343" s="441"/>
      <c r="I343" s="441"/>
    </row>
    <row r="344" spans="3:9" ht="23.25" customHeight="1" x14ac:dyDescent="0.15">
      <c r="C344" s="441"/>
      <c r="D344" s="441"/>
      <c r="E344" s="441"/>
      <c r="F344" s="441"/>
      <c r="G344" s="441"/>
      <c r="H344" s="441"/>
      <c r="I344" s="441"/>
    </row>
    <row r="345" spans="3:9" ht="23.25" customHeight="1" x14ac:dyDescent="0.15">
      <c r="C345" s="441"/>
      <c r="D345" s="441"/>
      <c r="E345" s="441"/>
      <c r="F345" s="441"/>
      <c r="G345" s="441"/>
      <c r="H345" s="441"/>
      <c r="I345" s="441"/>
    </row>
    <row r="346" spans="3:9" ht="23.25" customHeight="1" x14ac:dyDescent="0.15">
      <c r="C346" s="441"/>
      <c r="D346" s="441"/>
      <c r="E346" s="441"/>
      <c r="F346" s="441"/>
      <c r="G346" s="441"/>
      <c r="H346" s="441"/>
      <c r="I346" s="441"/>
    </row>
    <row r="347" spans="3:9" ht="23.25" customHeight="1" x14ac:dyDescent="0.15">
      <c r="C347" s="441"/>
      <c r="D347" s="441"/>
      <c r="E347" s="441"/>
      <c r="F347" s="441"/>
      <c r="G347" s="441"/>
      <c r="H347" s="441"/>
      <c r="I347" s="441"/>
    </row>
    <row r="348" spans="3:9" ht="23.25" customHeight="1" x14ac:dyDescent="0.15">
      <c r="C348" s="441"/>
      <c r="D348" s="441"/>
      <c r="E348" s="441"/>
      <c r="F348" s="441"/>
      <c r="G348" s="441"/>
      <c r="H348" s="441"/>
      <c r="I348" s="441"/>
    </row>
    <row r="349" spans="3:9" ht="23.25" customHeight="1" x14ac:dyDescent="0.15">
      <c r="C349" s="441"/>
      <c r="D349" s="441"/>
      <c r="E349" s="441"/>
      <c r="F349" s="441"/>
      <c r="G349" s="441"/>
      <c r="H349" s="441"/>
      <c r="I349" s="441"/>
    </row>
    <row r="350" spans="3:9" ht="23.25" customHeight="1" x14ac:dyDescent="0.15">
      <c r="D350" s="441"/>
      <c r="E350" s="441"/>
      <c r="F350" s="441"/>
      <c r="G350" s="441"/>
      <c r="H350" s="441"/>
      <c r="I350" s="441"/>
    </row>
    <row r="351" spans="3:9" ht="23.25" customHeight="1" x14ac:dyDescent="0.15">
      <c r="D351" s="441"/>
      <c r="E351" s="441"/>
      <c r="F351" s="441"/>
      <c r="G351" s="441"/>
      <c r="H351" s="441"/>
      <c r="I351" s="441"/>
    </row>
    <row r="352" spans="3:9" ht="23.25" customHeight="1" x14ac:dyDescent="0.15"/>
    <row r="353" ht="23.25" customHeight="1" x14ac:dyDescent="0.15"/>
  </sheetData>
  <phoneticPr fontId="4" type="noConversion"/>
  <pageMargins left="0.78740157499999996" right="0.78740157499999996" top="0.984251969" bottom="0.984251969" header="0.4921259845" footer="0.4921259845"/>
  <pageSetup paperSize="9" scale="25" orientation="portrait" r:id="rId1"/>
  <headerFooter alignWithMargins="0">
    <oddFooter>&amp;L&amp;1#&amp;"Calibri"&amp;1&amp;KFFFFFFC1 - Public Natixis</oddFooter>
  </headerFooter>
  <ignoredErrors>
    <ignoredError sqref="G14"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5">
    <pageSetUpPr fitToPage="1"/>
  </sheetPr>
  <dimension ref="A1:AZ236"/>
  <sheetViews>
    <sheetView showGridLines="0" tabSelected="1" topLeftCell="A166" workbookViewId="0">
      <selection activeCell="D188" sqref="D188"/>
    </sheetView>
  </sheetViews>
  <sheetFormatPr baseColWidth="10" defaultColWidth="11" defaultRowHeight="14" x14ac:dyDescent="0.15"/>
  <cols>
    <col min="1" max="1" width="22.1640625" style="3" bestFit="1" customWidth="1"/>
    <col min="2" max="2" width="12.83203125" style="3" customWidth="1"/>
    <col min="3" max="3" width="12.1640625" style="3" bestFit="1" customWidth="1"/>
    <col min="4" max="4" width="13" style="3" bestFit="1" customWidth="1"/>
    <col min="5" max="5" width="16.83203125" style="3" customWidth="1"/>
    <col min="6" max="6" width="20.1640625" style="3" bestFit="1" customWidth="1"/>
    <col min="7" max="7" width="11" style="3"/>
    <col min="8" max="8" width="26.1640625" style="3" bestFit="1" customWidth="1"/>
    <col min="9" max="16384" width="11" style="3"/>
  </cols>
  <sheetData>
    <row r="1" spans="1:4" ht="15" x14ac:dyDescent="0.15">
      <c r="A1" s="1" t="s">
        <v>1235</v>
      </c>
    </row>
    <row r="2" spans="1:4" x14ac:dyDescent="0.15">
      <c r="A2" s="3" t="s">
        <v>87</v>
      </c>
      <c r="B2" s="74">
        <v>100</v>
      </c>
      <c r="C2" s="74">
        <v>100</v>
      </c>
      <c r="D2" s="74">
        <v>100</v>
      </c>
    </row>
    <row r="3" spans="1:4" x14ac:dyDescent="0.15">
      <c r="A3" s="3" t="s">
        <v>362</v>
      </c>
      <c r="B3" s="3">
        <v>3</v>
      </c>
      <c r="C3" s="3">
        <v>3</v>
      </c>
      <c r="D3" s="3">
        <v>3</v>
      </c>
    </row>
    <row r="4" spans="1:4" x14ac:dyDescent="0.15">
      <c r="A4" s="3" t="s">
        <v>359</v>
      </c>
      <c r="B4" s="80">
        <v>0.05</v>
      </c>
      <c r="C4" s="80">
        <v>0.1</v>
      </c>
      <c r="D4" s="80">
        <v>0.2</v>
      </c>
    </row>
    <row r="5" spans="1:4" x14ac:dyDescent="0.15">
      <c r="A5" s="3" t="s">
        <v>360</v>
      </c>
      <c r="B5" s="264">
        <f>B2/POWER(1+B4,B3)</f>
        <v>86.383759853147595</v>
      </c>
      <c r="C5" s="264">
        <f>C2/POWER(1+C4,C3)</f>
        <v>75.131480090157751</v>
      </c>
      <c r="D5" s="264">
        <f>D2/POWER(1+D4,D3)</f>
        <v>57.870370370370374</v>
      </c>
    </row>
    <row r="7" spans="1:4" ht="15" x14ac:dyDescent="0.15">
      <c r="A7" s="8" t="s">
        <v>1237</v>
      </c>
    </row>
    <row r="8" spans="1:4" x14ac:dyDescent="0.15">
      <c r="A8" s="3" t="s">
        <v>361</v>
      </c>
      <c r="B8" s="74">
        <v>100</v>
      </c>
      <c r="C8" s="74">
        <v>100</v>
      </c>
      <c r="D8" s="74">
        <v>100</v>
      </c>
    </row>
    <row r="9" spans="1:4" x14ac:dyDescent="0.15">
      <c r="A9" s="3" t="s">
        <v>362</v>
      </c>
      <c r="B9" s="3">
        <v>3</v>
      </c>
      <c r="C9" s="3">
        <v>5</v>
      </c>
      <c r="D9" s="3">
        <v>10</v>
      </c>
    </row>
    <row r="10" spans="1:4" x14ac:dyDescent="0.15">
      <c r="A10" s="3" t="s">
        <v>359</v>
      </c>
      <c r="B10" s="80">
        <v>0.1</v>
      </c>
      <c r="C10" s="80">
        <v>0.1</v>
      </c>
      <c r="D10" s="80">
        <v>0.1</v>
      </c>
    </row>
    <row r="11" spans="1:4" x14ac:dyDescent="0.15">
      <c r="A11" s="3" t="s">
        <v>360</v>
      </c>
      <c r="B11" s="264">
        <f>B8/POWER(1+B10,B9)</f>
        <v>75.131480090157751</v>
      </c>
      <c r="C11" s="264">
        <f>C8/POWER(1+C10,C9)</f>
        <v>62.092132305915499</v>
      </c>
      <c r="D11" s="264">
        <f>D8/POWER(1+D10,D9)</f>
        <v>38.554328942953148</v>
      </c>
    </row>
    <row r="12" spans="1:4" x14ac:dyDescent="0.15">
      <c r="A12" s="3" t="s">
        <v>363</v>
      </c>
      <c r="B12" s="99">
        <f>B11/B8</f>
        <v>0.75131480090157754</v>
      </c>
      <c r="C12" s="99">
        <f>C11/C8</f>
        <v>0.62092132305915504</v>
      </c>
      <c r="D12" s="99">
        <f>D11/D8</f>
        <v>0.38554328942953148</v>
      </c>
    </row>
    <row r="14" spans="1:4" ht="15" x14ac:dyDescent="0.15">
      <c r="A14" s="8" t="s">
        <v>196</v>
      </c>
    </row>
    <row r="15" spans="1:4" x14ac:dyDescent="0.15">
      <c r="A15" s="3" t="s">
        <v>364</v>
      </c>
      <c r="B15" s="74">
        <v>1000</v>
      </c>
      <c r="C15" s="74">
        <v>1000</v>
      </c>
      <c r="D15" s="74">
        <v>1000</v>
      </c>
    </row>
    <row r="16" spans="1:4" x14ac:dyDescent="0.15">
      <c r="A16" s="3" t="s">
        <v>362</v>
      </c>
      <c r="B16" s="3">
        <v>5</v>
      </c>
      <c r="C16" s="3">
        <v>5</v>
      </c>
      <c r="D16" s="3">
        <v>5</v>
      </c>
    </row>
    <row r="17" spans="1:10" x14ac:dyDescent="0.15">
      <c r="A17" s="3" t="s">
        <v>359</v>
      </c>
      <c r="B17" s="80">
        <v>0.05</v>
      </c>
      <c r="C17" s="80">
        <v>0.1</v>
      </c>
      <c r="D17" s="80">
        <v>0.2</v>
      </c>
    </row>
    <row r="18" spans="1:10" x14ac:dyDescent="0.15">
      <c r="A18" s="3" t="s">
        <v>1139</v>
      </c>
      <c r="B18" s="166">
        <f>B15*POWER(1+B17,B16)</f>
        <v>1276.2815625000001</v>
      </c>
      <c r="C18" s="166">
        <f>C15*POWER(1+C17,C16)</f>
        <v>1610.5100000000004</v>
      </c>
      <c r="D18" s="166">
        <f>D15*POWER(1+D17,D16)</f>
        <v>2488.3199999999997</v>
      </c>
    </row>
    <row r="20" spans="1:10" ht="15" x14ac:dyDescent="0.15">
      <c r="A20" s="8" t="s">
        <v>160</v>
      </c>
    </row>
    <row r="21" spans="1:10" x14ac:dyDescent="0.15">
      <c r="A21" s="3" t="s">
        <v>364</v>
      </c>
      <c r="B21" s="74">
        <v>1000</v>
      </c>
      <c r="C21" s="74">
        <v>1000</v>
      </c>
      <c r="D21" s="74">
        <v>1000</v>
      </c>
    </row>
    <row r="22" spans="1:10" x14ac:dyDescent="0.15">
      <c r="A22" s="3" t="s">
        <v>362</v>
      </c>
      <c r="B22" s="3">
        <v>5</v>
      </c>
      <c r="C22" s="3">
        <v>10</v>
      </c>
      <c r="D22" s="3">
        <v>20</v>
      </c>
    </row>
    <row r="23" spans="1:10" x14ac:dyDescent="0.15">
      <c r="A23" s="3" t="s">
        <v>359</v>
      </c>
      <c r="B23" s="80">
        <v>0.08</v>
      </c>
      <c r="C23" s="80">
        <v>0.08</v>
      </c>
      <c r="D23" s="80">
        <v>0.08</v>
      </c>
    </row>
    <row r="24" spans="1:10" x14ac:dyDescent="0.15">
      <c r="A24" s="3" t="s">
        <v>1139</v>
      </c>
      <c r="B24" s="166">
        <f>B21*POWER(1+B23,B22)</f>
        <v>1469.3280768000004</v>
      </c>
      <c r="C24" s="166">
        <f>C21*POWER(1+C23,C22)</f>
        <v>2158.9249972727876</v>
      </c>
      <c r="D24" s="166">
        <f>D21*POWER(1+D23,D22)</f>
        <v>4660.9571438493067</v>
      </c>
    </row>
    <row r="26" spans="1:10" ht="15" x14ac:dyDescent="0.15">
      <c r="A26" s="8" t="s">
        <v>174</v>
      </c>
    </row>
    <row r="27" spans="1:10" x14ac:dyDescent="0.15">
      <c r="A27" s="88" t="s">
        <v>365</v>
      </c>
      <c r="B27" s="138" t="s">
        <v>369</v>
      </c>
      <c r="C27" s="88"/>
      <c r="D27" s="138" t="s">
        <v>368</v>
      </c>
      <c r="E27" s="88"/>
      <c r="F27" s="265" t="s">
        <v>938</v>
      </c>
    </row>
    <row r="28" spans="1:10" x14ac:dyDescent="0.15">
      <c r="A28" s="3" t="s">
        <v>366</v>
      </c>
      <c r="B28" s="139">
        <v>0</v>
      </c>
      <c r="C28" s="3">
        <v>1</v>
      </c>
      <c r="D28" s="139"/>
      <c r="F28" s="139"/>
    </row>
    <row r="29" spans="1:10" x14ac:dyDescent="0.15">
      <c r="A29" s="3" t="s">
        <v>89</v>
      </c>
      <c r="B29" s="75">
        <f>10000*0.95</f>
        <v>9500</v>
      </c>
      <c r="C29" s="74"/>
      <c r="D29" s="75">
        <f>B29/POWER(1+$B$32,B$28)</f>
        <v>9500</v>
      </c>
      <c r="E29" s="74">
        <f>C29/POWER(1+$B$32,C$28)</f>
        <v>0</v>
      </c>
      <c r="F29" s="75">
        <f>SUM(D29:E29)</f>
        <v>9500</v>
      </c>
      <c r="G29" s="74"/>
      <c r="H29" s="74"/>
      <c r="I29" s="74"/>
      <c r="J29" s="74"/>
    </row>
    <row r="30" spans="1:10" x14ac:dyDescent="0.15">
      <c r="A30" s="3" t="s">
        <v>88</v>
      </c>
      <c r="B30" s="75">
        <v>5000</v>
      </c>
      <c r="C30" s="74">
        <v>5000</v>
      </c>
      <c r="D30" s="75">
        <f>B30/POWER(1+$B$32,B$28)</f>
        <v>5000</v>
      </c>
      <c r="E30" s="74">
        <f>C30/POWER(1+$B$32,C$28)</f>
        <v>4500</v>
      </c>
      <c r="F30" s="75">
        <f>SUM(D30:E30)</f>
        <v>9500</v>
      </c>
      <c r="G30" s="51"/>
    </row>
    <row r="31" spans="1:10" x14ac:dyDescent="0.15">
      <c r="B31" s="266">
        <f>-B29+B30</f>
        <v>-4500</v>
      </c>
      <c r="C31" s="267">
        <f>+C30</f>
        <v>5000</v>
      </c>
    </row>
    <row r="32" spans="1:10" x14ac:dyDescent="0.15">
      <c r="A32" s="3" t="s">
        <v>367</v>
      </c>
      <c r="B32" s="111">
        <f>+IRR(B31:C31)</f>
        <v>0.11111111111111116</v>
      </c>
    </row>
    <row r="33" spans="1:6" x14ac:dyDescent="0.15">
      <c r="B33" s="268"/>
    </row>
    <row r="34" spans="1:6" ht="15" x14ac:dyDescent="0.15">
      <c r="A34" s="8" t="s">
        <v>370</v>
      </c>
    </row>
    <row r="35" spans="1:6" x14ac:dyDescent="0.15">
      <c r="A35" s="3" t="s">
        <v>26</v>
      </c>
      <c r="B35" s="269">
        <f>3+5/12+17/365</f>
        <v>3.4632420091324199</v>
      </c>
      <c r="C35" s="3" t="s">
        <v>509</v>
      </c>
    </row>
    <row r="36" spans="1:6" x14ac:dyDescent="0.15">
      <c r="A36" s="3" t="s">
        <v>27</v>
      </c>
      <c r="B36" s="29">
        <f>100/(1.08^B35)</f>
        <v>76.602941382517059</v>
      </c>
    </row>
    <row r="37" spans="1:6" x14ac:dyDescent="0.15">
      <c r="B37" s="81"/>
    </row>
    <row r="39" spans="1:6" ht="15" x14ac:dyDescent="0.15">
      <c r="A39" s="8" t="s">
        <v>372</v>
      </c>
    </row>
    <row r="40" spans="1:6" x14ac:dyDescent="0.15">
      <c r="A40" s="3" t="s">
        <v>374</v>
      </c>
      <c r="B40" s="3">
        <v>8</v>
      </c>
    </row>
    <row r="41" spans="1:6" x14ac:dyDescent="0.15">
      <c r="A41" s="3" t="s">
        <v>359</v>
      </c>
      <c r="B41" s="270">
        <v>0.05</v>
      </c>
      <c r="C41" s="80"/>
    </row>
    <row r="42" spans="1:6" x14ac:dyDescent="0.15">
      <c r="A42" s="3" t="s">
        <v>373</v>
      </c>
      <c r="B42" s="68">
        <f>POWER(1+B41,B40)</f>
        <v>1.4774554437890626</v>
      </c>
      <c r="C42" s="68"/>
    </row>
    <row r="43" spans="1:6" x14ac:dyDescent="0.15">
      <c r="A43" s="3" t="s">
        <v>375</v>
      </c>
      <c r="B43" s="74">
        <v>100</v>
      </c>
      <c r="C43" s="74"/>
    </row>
    <row r="45" spans="1:6" x14ac:dyDescent="0.15">
      <c r="A45" s="3" t="s">
        <v>376</v>
      </c>
      <c r="B45" s="264">
        <f>B43/B42</f>
        <v>67.683936202868722</v>
      </c>
      <c r="C45" s="196"/>
    </row>
    <row r="47" spans="1:6" ht="15" x14ac:dyDescent="0.15">
      <c r="A47" s="8" t="s">
        <v>377</v>
      </c>
    </row>
    <row r="48" spans="1:6" x14ac:dyDescent="0.15">
      <c r="A48" s="88" t="s">
        <v>365</v>
      </c>
      <c r="B48" s="138" t="s">
        <v>369</v>
      </c>
      <c r="C48" s="88"/>
      <c r="D48" s="138" t="s">
        <v>368</v>
      </c>
      <c r="E48" s="88"/>
      <c r="F48" s="265" t="s">
        <v>938</v>
      </c>
    </row>
    <row r="49" spans="1:7" x14ac:dyDescent="0.15">
      <c r="A49" s="3" t="s">
        <v>366</v>
      </c>
      <c r="B49" s="139">
        <v>0</v>
      </c>
      <c r="C49" s="3">
        <v>4</v>
      </c>
      <c r="D49" s="139"/>
      <c r="F49" s="139"/>
    </row>
    <row r="50" spans="1:7" x14ac:dyDescent="0.15">
      <c r="A50" s="3" t="s">
        <v>378</v>
      </c>
      <c r="B50" s="75">
        <v>100</v>
      </c>
      <c r="C50" s="74"/>
      <c r="D50" s="75">
        <f>B50/POWER(1+$B$53,B$49)</f>
        <v>100</v>
      </c>
      <c r="E50" s="74">
        <f>C50/POWER(1+$B$53,C$49)</f>
        <v>0</v>
      </c>
      <c r="F50" s="75">
        <f>SUM(D50:E50)</f>
        <v>100</v>
      </c>
    </row>
    <row r="51" spans="1:7" x14ac:dyDescent="0.15">
      <c r="A51" s="3" t="s">
        <v>379</v>
      </c>
      <c r="B51" s="75">
        <v>0</v>
      </c>
      <c r="C51" s="74">
        <v>131.08000000000001</v>
      </c>
      <c r="D51" s="75">
        <f>B51/POWER(1+$B$53,B$49)</f>
        <v>0</v>
      </c>
      <c r="E51" s="74">
        <f>C51/POWER(1+$B$53,C$49)</f>
        <v>100.00030439518962</v>
      </c>
      <c r="F51" s="75">
        <f>SUM(D51:E51)</f>
        <v>100.00030439518962</v>
      </c>
    </row>
    <row r="53" spans="1:7" x14ac:dyDescent="0.15">
      <c r="A53" s="3" t="s">
        <v>367</v>
      </c>
      <c r="B53" s="80">
        <v>7.0000000000000007E-2</v>
      </c>
    </row>
    <row r="55" spans="1:7" ht="15" x14ac:dyDescent="0.15">
      <c r="A55" s="8" t="s">
        <v>380</v>
      </c>
    </row>
    <row r="56" spans="1:7" x14ac:dyDescent="0.15">
      <c r="A56" s="3" t="s">
        <v>90</v>
      </c>
      <c r="B56" s="3">
        <v>2</v>
      </c>
    </row>
    <row r="57" spans="1:7" x14ac:dyDescent="0.15">
      <c r="A57" s="3" t="s">
        <v>941</v>
      </c>
      <c r="B57" s="3">
        <v>1</v>
      </c>
      <c r="C57" s="3">
        <v>2</v>
      </c>
      <c r="D57" s="3">
        <v>3</v>
      </c>
      <c r="E57" s="3">
        <v>4</v>
      </c>
      <c r="F57" s="3">
        <v>5</v>
      </c>
      <c r="G57" s="3">
        <v>6</v>
      </c>
    </row>
    <row r="58" spans="1:7" x14ac:dyDescent="0.15">
      <c r="A58" s="3" t="s">
        <v>359</v>
      </c>
      <c r="B58" s="67">
        <f t="shared" ref="B58:G58" si="0">POWER($B56,1/B57)-1</f>
        <v>1</v>
      </c>
      <c r="C58" s="67">
        <f t="shared" si="0"/>
        <v>0.41421356237309515</v>
      </c>
      <c r="D58" s="67">
        <f t="shared" si="0"/>
        <v>0.25992104989487319</v>
      </c>
      <c r="E58" s="67">
        <f t="shared" si="0"/>
        <v>0.18920711500272103</v>
      </c>
      <c r="F58" s="67">
        <f t="shared" si="0"/>
        <v>0.1486983549970351</v>
      </c>
      <c r="G58" s="67">
        <f t="shared" si="0"/>
        <v>0.12246204830937302</v>
      </c>
    </row>
    <row r="59" spans="1:7" x14ac:dyDescent="0.15">
      <c r="A59" s="3" t="s">
        <v>381</v>
      </c>
      <c r="B59" s="81">
        <f t="shared" ref="B59:G59" si="1">0.75/B57</f>
        <v>0.75</v>
      </c>
      <c r="C59" s="81">
        <f t="shared" si="1"/>
        <v>0.375</v>
      </c>
      <c r="D59" s="81">
        <f t="shared" si="1"/>
        <v>0.25</v>
      </c>
      <c r="E59" s="81">
        <f t="shared" si="1"/>
        <v>0.1875</v>
      </c>
      <c r="F59" s="81">
        <f t="shared" si="1"/>
        <v>0.15</v>
      </c>
      <c r="G59" s="81">
        <f t="shared" si="1"/>
        <v>0.125</v>
      </c>
    </row>
    <row r="61" spans="1:7" ht="15" x14ac:dyDescent="0.15">
      <c r="A61" s="8" t="s">
        <v>382</v>
      </c>
    </row>
    <row r="62" spans="1:7" x14ac:dyDescent="0.15">
      <c r="A62" s="3" t="s">
        <v>90</v>
      </c>
      <c r="B62" s="3">
        <v>3</v>
      </c>
    </row>
    <row r="63" spans="1:7" x14ac:dyDescent="0.15">
      <c r="A63" s="3" t="s">
        <v>941</v>
      </c>
      <c r="B63" s="3">
        <v>1</v>
      </c>
      <c r="C63" s="3">
        <v>2</v>
      </c>
      <c r="D63" s="3">
        <v>3</v>
      </c>
      <c r="E63" s="3">
        <v>4</v>
      </c>
      <c r="F63" s="3">
        <v>5</v>
      </c>
      <c r="G63" s="3">
        <v>6</v>
      </c>
    </row>
    <row r="64" spans="1:7" x14ac:dyDescent="0.15">
      <c r="A64" s="3" t="s">
        <v>359</v>
      </c>
      <c r="B64" s="67">
        <f t="shared" ref="B64:G64" si="2">POWER($B62,1/B63)-1</f>
        <v>2</v>
      </c>
      <c r="C64" s="67">
        <f t="shared" si="2"/>
        <v>0.73205080756887719</v>
      </c>
      <c r="D64" s="67">
        <f t="shared" si="2"/>
        <v>0.4422495703074083</v>
      </c>
      <c r="E64" s="67">
        <f t="shared" si="2"/>
        <v>0.3160740129524926</v>
      </c>
      <c r="F64" s="67">
        <f t="shared" si="2"/>
        <v>0.2457309396155174</v>
      </c>
      <c r="G64" s="67">
        <f t="shared" si="2"/>
        <v>0.20093695517600274</v>
      </c>
    </row>
    <row r="65" spans="1:8" x14ac:dyDescent="0.15">
      <c r="A65" s="3" t="s">
        <v>383</v>
      </c>
      <c r="B65" s="81">
        <f t="shared" ref="B65:G65" si="3">1.25/B63</f>
        <v>1.25</v>
      </c>
      <c r="C65" s="81">
        <f t="shared" si="3"/>
        <v>0.625</v>
      </c>
      <c r="D65" s="81">
        <f t="shared" si="3"/>
        <v>0.41666666666666669</v>
      </c>
      <c r="E65" s="81">
        <f t="shared" si="3"/>
        <v>0.3125</v>
      </c>
      <c r="F65" s="81">
        <f t="shared" si="3"/>
        <v>0.25</v>
      </c>
      <c r="G65" s="81">
        <f t="shared" si="3"/>
        <v>0.20833333333333334</v>
      </c>
    </row>
    <row r="67" spans="1:8" ht="15" x14ac:dyDescent="0.15">
      <c r="A67" s="8" t="s">
        <v>384</v>
      </c>
    </row>
    <row r="68" spans="1:8" x14ac:dyDescent="0.15">
      <c r="A68" s="3" t="s">
        <v>385</v>
      </c>
      <c r="B68" s="74">
        <v>121</v>
      </c>
      <c r="C68" s="74">
        <v>121</v>
      </c>
    </row>
    <row r="69" spans="1:8" x14ac:dyDescent="0.15">
      <c r="A69" s="3" t="s">
        <v>362</v>
      </c>
      <c r="B69" s="3">
        <v>2</v>
      </c>
      <c r="C69" s="3">
        <v>2</v>
      </c>
    </row>
    <row r="70" spans="1:8" x14ac:dyDescent="0.15">
      <c r="A70" s="3" t="s">
        <v>386</v>
      </c>
      <c r="B70" s="80">
        <v>0.09</v>
      </c>
      <c r="C70" s="80">
        <v>0.08</v>
      </c>
    </row>
    <row r="71" spans="1:8" x14ac:dyDescent="0.15">
      <c r="A71" s="3" t="s">
        <v>396</v>
      </c>
      <c r="B71" s="264">
        <f>B68/POWER(1+B70,B69)</f>
        <v>101.84327918525375</v>
      </c>
      <c r="C71" s="264">
        <f>C68/POWER(1+C70,C69)</f>
        <v>103.73799725651577</v>
      </c>
    </row>
    <row r="73" spans="1:8" ht="15" x14ac:dyDescent="0.15">
      <c r="A73" s="8" t="s">
        <v>387</v>
      </c>
    </row>
    <row r="74" spans="1:8" x14ac:dyDescent="0.15">
      <c r="A74" s="3" t="s">
        <v>388</v>
      </c>
      <c r="B74" s="74">
        <v>30</v>
      </c>
      <c r="C74" s="3" t="s">
        <v>390</v>
      </c>
      <c r="E74" s="3" t="s">
        <v>388</v>
      </c>
      <c r="F74" s="74">
        <v>30</v>
      </c>
      <c r="G74" s="3" t="s">
        <v>390</v>
      </c>
    </row>
    <row r="75" spans="1:8" x14ac:dyDescent="0.15">
      <c r="A75" s="3" t="s">
        <v>389</v>
      </c>
      <c r="B75" s="3">
        <v>33</v>
      </c>
      <c r="C75" s="3" t="s">
        <v>958</v>
      </c>
      <c r="E75" s="3" t="s">
        <v>389</v>
      </c>
      <c r="F75" s="3">
        <v>33</v>
      </c>
      <c r="G75" s="3" t="s">
        <v>958</v>
      </c>
    </row>
    <row r="76" spans="1:8" x14ac:dyDescent="0.15">
      <c r="A76" s="3" t="s">
        <v>1762</v>
      </c>
      <c r="B76" s="3">
        <f>2022-B75</f>
        <v>1989</v>
      </c>
      <c r="E76" s="3" t="s">
        <v>1762</v>
      </c>
      <c r="F76" s="3">
        <f>B76</f>
        <v>1989</v>
      </c>
    </row>
    <row r="77" spans="1:8" x14ac:dyDescent="0.15">
      <c r="A77" s="3" t="s">
        <v>359</v>
      </c>
      <c r="B77" s="80">
        <v>0.03</v>
      </c>
      <c r="E77" s="3" t="s">
        <v>359</v>
      </c>
      <c r="F77" s="80">
        <v>0.01</v>
      </c>
    </row>
    <row r="78" spans="1:8" x14ac:dyDescent="0.15">
      <c r="A78" s="3" t="s">
        <v>371</v>
      </c>
      <c r="B78" s="479">
        <f>B74*POWER(1+B77,B76)</f>
        <v>1.0241443968806157E+27</v>
      </c>
      <c r="C78" s="3" t="s">
        <v>390</v>
      </c>
      <c r="E78" s="3" t="s">
        <v>371</v>
      </c>
      <c r="F78" s="87">
        <f>F74*POWER(1+F77,F76)</f>
        <v>11812279330.944</v>
      </c>
      <c r="G78" s="3" t="s">
        <v>390</v>
      </c>
      <c r="H78" s="271">
        <f>B78/F78</f>
        <v>8.67016744344776E+16</v>
      </c>
    </row>
    <row r="79" spans="1:8" x14ac:dyDescent="0.15">
      <c r="F79" s="271"/>
    </row>
    <row r="80" spans="1:8" ht="15" x14ac:dyDescent="0.15">
      <c r="A80" s="8" t="s">
        <v>391</v>
      </c>
      <c r="B80" s="3" t="s">
        <v>392</v>
      </c>
      <c r="F80" s="102"/>
    </row>
    <row r="81" spans="1:6" x14ac:dyDescent="0.15">
      <c r="A81" s="3" t="s">
        <v>388</v>
      </c>
      <c r="B81" s="74">
        <v>100</v>
      </c>
    </row>
    <row r="82" spans="1:6" x14ac:dyDescent="0.15">
      <c r="A82" s="3" t="s">
        <v>362</v>
      </c>
      <c r="B82" s="3">
        <v>4</v>
      </c>
    </row>
    <row r="83" spans="1:6" x14ac:dyDescent="0.15">
      <c r="A83" s="3" t="s">
        <v>359</v>
      </c>
      <c r="B83" s="80">
        <v>0.06</v>
      </c>
    </row>
    <row r="84" spans="1:6" x14ac:dyDescent="0.15">
      <c r="A84" s="3" t="s">
        <v>385</v>
      </c>
      <c r="B84" s="99">
        <f>B81*POWER(1+B83,B82)</f>
        <v>126.24769600000003</v>
      </c>
    </row>
    <row r="86" spans="1:6" ht="15" x14ac:dyDescent="0.15">
      <c r="A86" s="8" t="s">
        <v>393</v>
      </c>
      <c r="B86" s="3" t="s">
        <v>395</v>
      </c>
    </row>
    <row r="87" spans="1:6" x14ac:dyDescent="0.15">
      <c r="A87" s="3" t="s">
        <v>371</v>
      </c>
      <c r="B87" s="74">
        <v>20</v>
      </c>
    </row>
    <row r="88" spans="1:6" x14ac:dyDescent="0.15">
      <c r="A88" s="3" t="s">
        <v>394</v>
      </c>
      <c r="B88" s="80">
        <v>0.12</v>
      </c>
    </row>
    <row r="89" spans="1:6" x14ac:dyDescent="0.15">
      <c r="A89" s="3" t="s">
        <v>362</v>
      </c>
      <c r="B89" s="3">
        <v>4</v>
      </c>
      <c r="C89" s="3" t="s">
        <v>1529</v>
      </c>
    </row>
    <row r="90" spans="1:6" x14ac:dyDescent="0.15">
      <c r="A90" s="3" t="s">
        <v>385</v>
      </c>
      <c r="B90" s="264">
        <f>B87*POWER(1+B88,B89)</f>
        <v>31.470387200000008</v>
      </c>
    </row>
    <row r="91" spans="1:6" x14ac:dyDescent="0.15">
      <c r="B91" s="264"/>
    </row>
    <row r="92" spans="1:6" ht="15" x14ac:dyDescent="0.15">
      <c r="A92" s="8" t="s">
        <v>1530</v>
      </c>
    </row>
    <row r="93" spans="1:6" x14ac:dyDescent="0.15">
      <c r="A93" s="3" t="s">
        <v>397</v>
      </c>
      <c r="B93" s="3">
        <v>897</v>
      </c>
    </row>
    <row r="95" spans="1:6" x14ac:dyDescent="0.15">
      <c r="A95" s="272" t="s">
        <v>941</v>
      </c>
      <c r="B95" s="273">
        <v>1</v>
      </c>
      <c r="C95" s="273">
        <v>2</v>
      </c>
      <c r="D95" s="273">
        <v>3</v>
      </c>
      <c r="E95" s="273">
        <v>4</v>
      </c>
      <c r="F95" s="273">
        <v>5</v>
      </c>
    </row>
    <row r="96" spans="1:6" x14ac:dyDescent="0.15">
      <c r="A96" s="272" t="s">
        <v>398</v>
      </c>
      <c r="B96" s="273">
        <v>300</v>
      </c>
      <c r="C96" s="273">
        <v>300</v>
      </c>
      <c r="D96" s="273">
        <v>300</v>
      </c>
      <c r="E96" s="273">
        <v>300</v>
      </c>
      <c r="F96" s="273">
        <v>300</v>
      </c>
    </row>
    <row r="98" spans="1:6" x14ac:dyDescent="0.15">
      <c r="A98" s="3" t="s">
        <v>359</v>
      </c>
      <c r="B98" s="80" t="s">
        <v>399</v>
      </c>
      <c r="C98" s="80"/>
      <c r="D98" s="80"/>
      <c r="E98" s="80"/>
      <c r="F98" s="80"/>
    </row>
    <row r="99" spans="1:6" x14ac:dyDescent="0.15">
      <c r="A99" s="274">
        <v>0.05</v>
      </c>
      <c r="B99" s="13">
        <f>SUMPRODUCT(B$96:F$96,POWER(1+$A99,-B$95:F$95))-B$93</f>
        <v>401.8430011892458</v>
      </c>
    </row>
    <row r="100" spans="1:6" x14ac:dyDescent="0.15">
      <c r="A100" s="274">
        <v>0.1</v>
      </c>
      <c r="B100" s="13">
        <f>SUMPRODUCT(B$96:F$96,POWER(1+$A100,-B$95:F$95))-B$93</f>
        <v>240.2360308225343</v>
      </c>
    </row>
    <row r="101" spans="1:6" x14ac:dyDescent="0.15">
      <c r="A101" s="274">
        <v>0.15</v>
      </c>
      <c r="B101" s="13">
        <f>SUMPRODUCT(B$96:F$96,POWER(1+$A101,-B$95:F$95))-B$93</f>
        <v>108.6465294034208</v>
      </c>
    </row>
    <row r="102" spans="1:6" x14ac:dyDescent="0.15">
      <c r="A102" s="274">
        <v>0.2</v>
      </c>
      <c r="B102" s="13">
        <f>SUMPRODUCT(B$96:F$96,POWER(1+$A102,-B$95:F$95))-B$93</f>
        <v>0.18364197530866022</v>
      </c>
    </row>
    <row r="103" spans="1:6" x14ac:dyDescent="0.15">
      <c r="A103" s="274">
        <v>0.25</v>
      </c>
      <c r="B103" s="13">
        <f>SUMPRODUCT(B$96:F$96,POWER(1+$A103,-B$95:F$95))-B$93</f>
        <v>-90.216000000000008</v>
      </c>
    </row>
    <row r="114" spans="1:3" ht="15" x14ac:dyDescent="0.15">
      <c r="A114" s="8" t="s">
        <v>1531</v>
      </c>
    </row>
    <row r="115" spans="1:3" x14ac:dyDescent="0.15">
      <c r="A115" s="3" t="s">
        <v>400</v>
      </c>
      <c r="B115" s="3">
        <v>100</v>
      </c>
    </row>
    <row r="116" spans="1:3" x14ac:dyDescent="0.15">
      <c r="A116" s="3" t="s">
        <v>359</v>
      </c>
      <c r="B116" s="80">
        <v>0.1</v>
      </c>
    </row>
    <row r="118" spans="1:3" ht="30" x14ac:dyDescent="0.15">
      <c r="A118" s="6" t="s">
        <v>401</v>
      </c>
      <c r="B118" s="3">
        <f>B115/B116</f>
        <v>1000</v>
      </c>
    </row>
    <row r="119" spans="1:3" x14ac:dyDescent="0.15">
      <c r="A119" s="6"/>
    </row>
    <row r="120" spans="1:3" x14ac:dyDescent="0.15">
      <c r="A120" s="3" t="s">
        <v>403</v>
      </c>
      <c r="B120" s="80">
        <v>0.03</v>
      </c>
    </row>
    <row r="121" spans="1:3" x14ac:dyDescent="0.15">
      <c r="C121" s="189"/>
    </row>
    <row r="122" spans="1:3" ht="30" x14ac:dyDescent="0.15">
      <c r="A122" s="6" t="s">
        <v>402</v>
      </c>
      <c r="B122" s="13">
        <f>B115/(B116-B120)</f>
        <v>1428.5714285714284</v>
      </c>
    </row>
    <row r="124" spans="1:3" ht="15" x14ac:dyDescent="0.15">
      <c r="A124" s="8" t="s">
        <v>1532</v>
      </c>
    </row>
    <row r="125" spans="1:3" x14ac:dyDescent="0.15">
      <c r="A125" s="3" t="s">
        <v>400</v>
      </c>
      <c r="B125" s="3">
        <v>100</v>
      </c>
    </row>
    <row r="126" spans="1:3" x14ac:dyDescent="0.15">
      <c r="A126" s="3" t="s">
        <v>359</v>
      </c>
      <c r="B126" s="80">
        <v>0.1</v>
      </c>
    </row>
    <row r="128" spans="1:3" ht="30" x14ac:dyDescent="0.15">
      <c r="A128" s="6" t="s">
        <v>401</v>
      </c>
      <c r="B128" s="29">
        <f>B125/B126</f>
        <v>1000</v>
      </c>
    </row>
    <row r="129" spans="1:17" x14ac:dyDescent="0.15">
      <c r="A129" s="6"/>
    </row>
    <row r="130" spans="1:17" x14ac:dyDescent="0.15">
      <c r="A130" s="3" t="s">
        <v>374</v>
      </c>
      <c r="B130" s="102">
        <v>3</v>
      </c>
    </row>
    <row r="132" spans="1:17" ht="30" x14ac:dyDescent="0.15">
      <c r="A132" s="6" t="s">
        <v>91</v>
      </c>
      <c r="B132" s="29">
        <f>B125/B126*(1-1/POWER(1+B126,B130))</f>
        <v>248.68519909842246</v>
      </c>
    </row>
    <row r="134" spans="1:17" ht="15" x14ac:dyDescent="0.15">
      <c r="A134" s="8" t="s">
        <v>1533</v>
      </c>
    </row>
    <row r="135" spans="1:17" x14ac:dyDescent="0.15">
      <c r="A135" s="273" t="s">
        <v>404</v>
      </c>
      <c r="B135" s="273">
        <v>1</v>
      </c>
      <c r="C135" s="273">
        <v>2</v>
      </c>
      <c r="D135" s="273">
        <v>3</v>
      </c>
      <c r="E135" s="273">
        <v>4</v>
      </c>
      <c r="F135" s="82"/>
      <c r="G135" s="82"/>
      <c r="H135" s="82"/>
      <c r="I135" s="82"/>
      <c r="J135" s="82"/>
      <c r="K135" s="82"/>
      <c r="L135" s="82"/>
      <c r="M135" s="82"/>
      <c r="N135" s="82"/>
      <c r="O135" s="82"/>
      <c r="P135" s="82"/>
      <c r="Q135" s="82"/>
    </row>
    <row r="136" spans="1:17" x14ac:dyDescent="0.15">
      <c r="A136" s="273" t="s">
        <v>398</v>
      </c>
      <c r="B136" s="273">
        <v>52</v>
      </c>
      <c r="C136" s="273">
        <f>B136</f>
        <v>52</v>
      </c>
      <c r="D136" s="273">
        <f>C136</f>
        <v>52</v>
      </c>
      <c r="E136" s="273">
        <f>D136</f>
        <v>52</v>
      </c>
    </row>
    <row r="138" spans="1:17" x14ac:dyDescent="0.15">
      <c r="A138" s="3" t="s">
        <v>405</v>
      </c>
      <c r="B138" s="104">
        <v>0.08</v>
      </c>
    </row>
    <row r="139" spans="1:17" x14ac:dyDescent="0.15">
      <c r="A139" s="3" t="s">
        <v>406</v>
      </c>
      <c r="B139" s="29">
        <f>SUMPRODUCT(B136:E136,POWER(1+B138,-B135:E135))</f>
        <v>172.23059568230528</v>
      </c>
    </row>
    <row r="141" spans="1:17" x14ac:dyDescent="0.15">
      <c r="A141" s="3" t="s">
        <v>407</v>
      </c>
      <c r="B141" s="3">
        <v>165</v>
      </c>
    </row>
    <row r="142" spans="1:17" x14ac:dyDescent="0.15">
      <c r="A142" s="86" t="s">
        <v>408</v>
      </c>
    </row>
    <row r="143" spans="1:17" x14ac:dyDescent="0.15">
      <c r="A143" s="3" t="s">
        <v>399</v>
      </c>
      <c r="B143" s="68">
        <f>B139-B141</f>
        <v>7.2305956823052782</v>
      </c>
    </row>
    <row r="145" spans="1:3" ht="15" x14ac:dyDescent="0.15">
      <c r="A145" s="6" t="s">
        <v>409</v>
      </c>
      <c r="B145" s="104">
        <v>9.9532807563535428E-2</v>
      </c>
    </row>
    <row r="146" spans="1:3" x14ac:dyDescent="0.15">
      <c r="B146" s="68">
        <f>SUMPRODUCT(B136:E136,POWER(1+B145,-B135:E135))</f>
        <v>164.99984210023899</v>
      </c>
    </row>
    <row r="148" spans="1:3" ht="15" x14ac:dyDescent="0.15">
      <c r="A148" s="8" t="s">
        <v>1534</v>
      </c>
    </row>
    <row r="149" spans="1:3" x14ac:dyDescent="0.15">
      <c r="A149" s="3" t="s">
        <v>359</v>
      </c>
      <c r="B149" s="80">
        <v>0.08</v>
      </c>
      <c r="C149" s="80">
        <v>0.15</v>
      </c>
    </row>
    <row r="150" spans="1:3" x14ac:dyDescent="0.15">
      <c r="A150" s="3" t="s">
        <v>92</v>
      </c>
      <c r="B150" s="3">
        <v>100</v>
      </c>
      <c r="C150" s="3">
        <v>100</v>
      </c>
    </row>
    <row r="151" spans="1:3" x14ac:dyDescent="0.15">
      <c r="A151" s="3" t="s">
        <v>410</v>
      </c>
      <c r="B151" s="68">
        <f>B150/B149</f>
        <v>1250</v>
      </c>
      <c r="C151" s="68">
        <f>C150/C149</f>
        <v>666.66666666666674</v>
      </c>
    </row>
    <row r="153" spans="1:3" x14ac:dyDescent="0.15">
      <c r="A153" s="3" t="s">
        <v>411</v>
      </c>
      <c r="B153" s="3">
        <v>40</v>
      </c>
      <c r="C153" s="3">
        <v>40</v>
      </c>
    </row>
    <row r="154" spans="1:3" x14ac:dyDescent="0.15">
      <c r="A154" s="3" t="s">
        <v>412</v>
      </c>
      <c r="B154" s="68">
        <f>B150*(1-POWER(1+B149,-B153))/B149</f>
        <v>1192.4613333746324</v>
      </c>
      <c r="C154" s="68">
        <f>C150*(1-POWER(1+C149,-C153))/C149</f>
        <v>664.17783727559106</v>
      </c>
    </row>
    <row r="155" spans="1:3" x14ac:dyDescent="0.15">
      <c r="B155" s="68"/>
      <c r="C155" s="68"/>
    </row>
    <row r="156" spans="1:3" x14ac:dyDescent="0.15">
      <c r="A156" s="3" t="s">
        <v>93</v>
      </c>
      <c r="B156" s="80">
        <f>B151/B154-1</f>
        <v>4.825201875731655E-2</v>
      </c>
      <c r="C156" s="104">
        <f>C151/C154-1</f>
        <v>3.7472334236334781E-3</v>
      </c>
    </row>
    <row r="158" spans="1:3" ht="15" x14ac:dyDescent="0.15">
      <c r="A158" s="8" t="s">
        <v>1535</v>
      </c>
    </row>
    <row r="159" spans="1:3" x14ac:dyDescent="0.15">
      <c r="A159" s="3" t="s">
        <v>413</v>
      </c>
      <c r="B159" s="166">
        <v>2000</v>
      </c>
    </row>
    <row r="160" spans="1:3" x14ac:dyDescent="0.15">
      <c r="A160" s="3" t="s">
        <v>414</v>
      </c>
      <c r="B160" s="80">
        <v>0.02</v>
      </c>
    </row>
    <row r="161" spans="1:2" x14ac:dyDescent="0.15">
      <c r="A161" s="3" t="s">
        <v>362</v>
      </c>
      <c r="B161" s="3">
        <v>75</v>
      </c>
    </row>
    <row r="162" spans="1:2" x14ac:dyDescent="0.15">
      <c r="A162" s="3" t="s">
        <v>415</v>
      </c>
      <c r="B162" s="80">
        <v>0.05</v>
      </c>
    </row>
    <row r="164" spans="1:2" x14ac:dyDescent="0.15">
      <c r="A164" s="3" t="s">
        <v>416</v>
      </c>
      <c r="B164" s="166">
        <f>B159/(B162-B160)*(1-POWER((1+B160)/(1+B162),B161))</f>
        <v>59085.706881400954</v>
      </c>
    </row>
    <row r="166" spans="1:2" ht="15" x14ac:dyDescent="0.15">
      <c r="A166" s="8" t="s">
        <v>1536</v>
      </c>
    </row>
    <row r="167" spans="1:2" x14ac:dyDescent="0.15">
      <c r="A167" s="3" t="s">
        <v>417</v>
      </c>
      <c r="B167" s="3">
        <v>0.8</v>
      </c>
    </row>
    <row r="168" spans="1:2" x14ac:dyDescent="0.15">
      <c r="A168" s="3" t="s">
        <v>359</v>
      </c>
      <c r="B168" s="104">
        <v>0.06</v>
      </c>
    </row>
    <row r="169" spans="1:2" x14ac:dyDescent="0.15">
      <c r="A169" s="3" t="s">
        <v>432</v>
      </c>
      <c r="B169" s="104">
        <f>(1+B168)*(1+B168)-1</f>
        <v>0.12360000000000015</v>
      </c>
    </row>
    <row r="170" spans="1:2" x14ac:dyDescent="0.15">
      <c r="A170" s="3" t="s">
        <v>421</v>
      </c>
      <c r="B170" s="275">
        <v>15</v>
      </c>
    </row>
    <row r="172" spans="1:2" x14ac:dyDescent="0.15">
      <c r="A172" s="3" t="s">
        <v>419</v>
      </c>
      <c r="B172" s="68">
        <f>B167/B169*(1-POWER(1+B169,-B170))</f>
        <v>5.3455654957240437</v>
      </c>
    </row>
    <row r="173" spans="1:2" x14ac:dyDescent="0.15">
      <c r="A173" s="3" t="s">
        <v>420</v>
      </c>
      <c r="B173" s="68">
        <f>B167/B169</f>
        <v>6.4724919093851057</v>
      </c>
    </row>
    <row r="175" spans="1:2" ht="15" x14ac:dyDescent="0.15">
      <c r="A175" s="8" t="s">
        <v>1537</v>
      </c>
    </row>
    <row r="176" spans="1:2" x14ac:dyDescent="0.15">
      <c r="A176" s="3" t="s">
        <v>422</v>
      </c>
      <c r="B176" s="166">
        <v>12000</v>
      </c>
    </row>
    <row r="177" spans="1:4" x14ac:dyDescent="0.15">
      <c r="A177" s="3" t="s">
        <v>414</v>
      </c>
      <c r="B177" s="80">
        <v>0.03</v>
      </c>
    </row>
    <row r="178" spans="1:4" x14ac:dyDescent="0.15">
      <c r="A178" s="3" t="s">
        <v>359</v>
      </c>
      <c r="B178" s="80">
        <v>7.0000000000000007E-2</v>
      </c>
    </row>
    <row r="180" spans="1:4" x14ac:dyDescent="0.15">
      <c r="A180" s="3" t="s">
        <v>423</v>
      </c>
      <c r="B180" s="166">
        <f>B176/(B178-B177)</f>
        <v>299999.99999999994</v>
      </c>
    </row>
    <row r="182" spans="1:4" ht="15" x14ac:dyDescent="0.15">
      <c r="A182" s="8" t="s">
        <v>1538</v>
      </c>
    </row>
    <row r="183" spans="1:4" x14ac:dyDescent="0.15">
      <c r="A183" s="3" t="s">
        <v>424</v>
      </c>
      <c r="B183" s="166">
        <v>50000</v>
      </c>
    </row>
    <row r="184" spans="1:4" x14ac:dyDescent="0.15">
      <c r="A184" s="3" t="s">
        <v>414</v>
      </c>
      <c r="B184" s="80">
        <v>0.04</v>
      </c>
    </row>
    <row r="185" spans="1:4" x14ac:dyDescent="0.15">
      <c r="D185" s="189"/>
    </row>
    <row r="186" spans="1:4" x14ac:dyDescent="0.15">
      <c r="A186" s="3" t="s">
        <v>426</v>
      </c>
      <c r="B186" s="3">
        <v>2</v>
      </c>
      <c r="D186" s="189"/>
    </row>
    <row r="187" spans="1:4" x14ac:dyDescent="0.15">
      <c r="A187" s="3" t="s">
        <v>425</v>
      </c>
      <c r="B187" s="166">
        <v>65000</v>
      </c>
    </row>
    <row r="188" spans="1:4" x14ac:dyDescent="0.15">
      <c r="A188" s="3" t="s">
        <v>414</v>
      </c>
      <c r="B188" s="80">
        <v>0.05</v>
      </c>
    </row>
    <row r="189" spans="1:4" x14ac:dyDescent="0.15">
      <c r="A189" s="3" t="s">
        <v>430</v>
      </c>
      <c r="B189" s="166">
        <v>50000</v>
      </c>
    </row>
    <row r="191" spans="1:4" x14ac:dyDescent="0.15">
      <c r="A191" s="3" t="s">
        <v>1794</v>
      </c>
      <c r="B191" s="3">
        <v>40</v>
      </c>
    </row>
    <row r="192" spans="1:4" x14ac:dyDescent="0.15">
      <c r="A192" s="3" t="s">
        <v>427</v>
      </c>
      <c r="B192" s="80">
        <v>0.03</v>
      </c>
    </row>
    <row r="194" spans="1:52" x14ac:dyDescent="0.15">
      <c r="A194" s="3" t="s">
        <v>428</v>
      </c>
      <c r="B194" s="166">
        <f>B183/(B192-B184)*(1-((1+B184)/(1+B192))^40)</f>
        <v>2358928.5809506974</v>
      </c>
    </row>
    <row r="195" spans="1:52" x14ac:dyDescent="0.15">
      <c r="A195" s="3" t="s">
        <v>429</v>
      </c>
      <c r="B195" s="166">
        <f>B187/(B192-B188)*(1-POWER((1+B188)/(1+B192),B191-B186))/POWER(1+B192,B186)-B189</f>
        <v>3248476.4660042902</v>
      </c>
      <c r="C195" s="87" t="s">
        <v>353</v>
      </c>
    </row>
    <row r="196" spans="1:52" x14ac:dyDescent="0.15">
      <c r="A196" s="3" t="s">
        <v>431</v>
      </c>
      <c r="B196" s="166">
        <f>B195-B194</f>
        <v>889547.88505359273</v>
      </c>
    </row>
    <row r="198" spans="1:52" ht="15" x14ac:dyDescent="0.15">
      <c r="A198" s="8" t="s">
        <v>1539</v>
      </c>
    </row>
    <row r="200" spans="1:52" x14ac:dyDescent="0.15">
      <c r="A200" s="3" t="s">
        <v>398</v>
      </c>
      <c r="B200" s="3">
        <v>1200</v>
      </c>
    </row>
    <row r="201" spans="1:52" x14ac:dyDescent="0.15">
      <c r="A201" s="3" t="s">
        <v>362</v>
      </c>
      <c r="B201" s="3">
        <v>40</v>
      </c>
    </row>
    <row r="202" spans="1:52" x14ac:dyDescent="0.15">
      <c r="A202" s="3" t="s">
        <v>359</v>
      </c>
      <c r="B202" s="80">
        <v>0.04</v>
      </c>
    </row>
    <row r="203" spans="1:52" x14ac:dyDescent="0.15">
      <c r="B203" s="80"/>
    </row>
    <row r="204" spans="1:52" x14ac:dyDescent="0.15">
      <c r="A204" s="3" t="s">
        <v>959</v>
      </c>
      <c r="B204" s="276">
        <v>25</v>
      </c>
      <c r="C204" s="3">
        <f t="shared" ref="C204:AP204" si="4">B204+1</f>
        <v>26</v>
      </c>
      <c r="D204" s="3">
        <f t="shared" si="4"/>
        <v>27</v>
      </c>
      <c r="E204" s="3">
        <f t="shared" si="4"/>
        <v>28</v>
      </c>
      <c r="F204" s="3">
        <f t="shared" si="4"/>
        <v>29</v>
      </c>
      <c r="G204" s="3">
        <f t="shared" si="4"/>
        <v>30</v>
      </c>
      <c r="H204" s="3">
        <f t="shared" si="4"/>
        <v>31</v>
      </c>
      <c r="I204" s="3">
        <f t="shared" si="4"/>
        <v>32</v>
      </c>
      <c r="J204" s="3">
        <f t="shared" si="4"/>
        <v>33</v>
      </c>
      <c r="K204" s="3">
        <f t="shared" si="4"/>
        <v>34</v>
      </c>
      <c r="L204" s="3">
        <f t="shared" si="4"/>
        <v>35</v>
      </c>
      <c r="M204" s="3">
        <f t="shared" si="4"/>
        <v>36</v>
      </c>
      <c r="N204" s="3">
        <f t="shared" si="4"/>
        <v>37</v>
      </c>
      <c r="O204" s="3">
        <f t="shared" si="4"/>
        <v>38</v>
      </c>
      <c r="P204" s="3">
        <f t="shared" si="4"/>
        <v>39</v>
      </c>
      <c r="Q204" s="3">
        <f t="shared" si="4"/>
        <v>40</v>
      </c>
      <c r="R204" s="3">
        <f t="shared" si="4"/>
        <v>41</v>
      </c>
      <c r="S204" s="3">
        <f t="shared" si="4"/>
        <v>42</v>
      </c>
      <c r="T204" s="3">
        <f t="shared" si="4"/>
        <v>43</v>
      </c>
      <c r="U204" s="3">
        <f t="shared" si="4"/>
        <v>44</v>
      </c>
      <c r="V204" s="3">
        <f t="shared" si="4"/>
        <v>45</v>
      </c>
      <c r="W204" s="3">
        <f t="shared" si="4"/>
        <v>46</v>
      </c>
      <c r="X204" s="3">
        <f t="shared" si="4"/>
        <v>47</v>
      </c>
      <c r="Y204" s="3">
        <f t="shared" si="4"/>
        <v>48</v>
      </c>
      <c r="Z204" s="3">
        <f t="shared" si="4"/>
        <v>49</v>
      </c>
      <c r="AA204" s="3">
        <f t="shared" si="4"/>
        <v>50</v>
      </c>
      <c r="AB204" s="3">
        <f t="shared" si="4"/>
        <v>51</v>
      </c>
      <c r="AC204" s="3">
        <f t="shared" si="4"/>
        <v>52</v>
      </c>
      <c r="AD204" s="3">
        <f t="shared" si="4"/>
        <v>53</v>
      </c>
      <c r="AE204" s="3">
        <f t="shared" si="4"/>
        <v>54</v>
      </c>
      <c r="AF204" s="3">
        <f t="shared" si="4"/>
        <v>55</v>
      </c>
      <c r="AG204" s="3">
        <f t="shared" si="4"/>
        <v>56</v>
      </c>
      <c r="AH204" s="3">
        <f t="shared" si="4"/>
        <v>57</v>
      </c>
      <c r="AI204" s="3">
        <f t="shared" si="4"/>
        <v>58</v>
      </c>
      <c r="AJ204" s="3">
        <f t="shared" si="4"/>
        <v>59</v>
      </c>
      <c r="AK204" s="3">
        <f t="shared" si="4"/>
        <v>60</v>
      </c>
      <c r="AL204" s="3">
        <f t="shared" si="4"/>
        <v>61</v>
      </c>
      <c r="AM204" s="3">
        <f t="shared" si="4"/>
        <v>62</v>
      </c>
      <c r="AN204" s="3">
        <f t="shared" si="4"/>
        <v>63</v>
      </c>
      <c r="AO204" s="3">
        <f t="shared" si="4"/>
        <v>64</v>
      </c>
      <c r="AP204" s="3">
        <f t="shared" si="4"/>
        <v>65</v>
      </c>
    </row>
    <row r="205" spans="1:52" x14ac:dyDescent="0.15">
      <c r="A205" s="3" t="s">
        <v>962</v>
      </c>
      <c r="B205" s="3">
        <f>B201</f>
        <v>40</v>
      </c>
      <c r="C205" s="3">
        <f t="shared" ref="C205:AP205" si="5">B205-1</f>
        <v>39</v>
      </c>
      <c r="D205" s="3">
        <f t="shared" si="5"/>
        <v>38</v>
      </c>
      <c r="E205" s="3">
        <f t="shared" si="5"/>
        <v>37</v>
      </c>
      <c r="F205" s="3">
        <f t="shared" si="5"/>
        <v>36</v>
      </c>
      <c r="G205" s="3">
        <f t="shared" si="5"/>
        <v>35</v>
      </c>
      <c r="H205" s="3">
        <f t="shared" si="5"/>
        <v>34</v>
      </c>
      <c r="I205" s="3">
        <f t="shared" si="5"/>
        <v>33</v>
      </c>
      <c r="J205" s="3">
        <f t="shared" si="5"/>
        <v>32</v>
      </c>
      <c r="K205" s="3">
        <f t="shared" si="5"/>
        <v>31</v>
      </c>
      <c r="L205" s="3">
        <f t="shared" si="5"/>
        <v>30</v>
      </c>
      <c r="M205" s="3">
        <f t="shared" si="5"/>
        <v>29</v>
      </c>
      <c r="N205" s="3">
        <f t="shared" si="5"/>
        <v>28</v>
      </c>
      <c r="O205" s="3">
        <f t="shared" si="5"/>
        <v>27</v>
      </c>
      <c r="P205" s="3">
        <f t="shared" si="5"/>
        <v>26</v>
      </c>
      <c r="Q205" s="3">
        <f t="shared" si="5"/>
        <v>25</v>
      </c>
      <c r="R205" s="3">
        <f t="shared" si="5"/>
        <v>24</v>
      </c>
      <c r="S205" s="3">
        <f t="shared" si="5"/>
        <v>23</v>
      </c>
      <c r="T205" s="3">
        <f t="shared" si="5"/>
        <v>22</v>
      </c>
      <c r="U205" s="3">
        <f t="shared" si="5"/>
        <v>21</v>
      </c>
      <c r="V205" s="3">
        <f t="shared" si="5"/>
        <v>20</v>
      </c>
      <c r="W205" s="3">
        <f t="shared" si="5"/>
        <v>19</v>
      </c>
      <c r="X205" s="3">
        <f t="shared" si="5"/>
        <v>18</v>
      </c>
      <c r="Y205" s="3">
        <f t="shared" si="5"/>
        <v>17</v>
      </c>
      <c r="Z205" s="3">
        <f t="shared" si="5"/>
        <v>16</v>
      </c>
      <c r="AA205" s="3">
        <f t="shared" si="5"/>
        <v>15</v>
      </c>
      <c r="AB205" s="3">
        <f t="shared" si="5"/>
        <v>14</v>
      </c>
      <c r="AC205" s="3">
        <f t="shared" si="5"/>
        <v>13</v>
      </c>
      <c r="AD205" s="3">
        <f t="shared" si="5"/>
        <v>12</v>
      </c>
      <c r="AE205" s="3">
        <f t="shared" si="5"/>
        <v>11</v>
      </c>
      <c r="AF205" s="3">
        <f t="shared" si="5"/>
        <v>10</v>
      </c>
      <c r="AG205" s="3">
        <f t="shared" si="5"/>
        <v>9</v>
      </c>
      <c r="AH205" s="3">
        <f t="shared" si="5"/>
        <v>8</v>
      </c>
      <c r="AI205" s="3">
        <f t="shared" si="5"/>
        <v>7</v>
      </c>
      <c r="AJ205" s="3">
        <f t="shared" si="5"/>
        <v>6</v>
      </c>
      <c r="AK205" s="3">
        <f t="shared" si="5"/>
        <v>5</v>
      </c>
      <c r="AL205" s="3">
        <f t="shared" si="5"/>
        <v>4</v>
      </c>
      <c r="AM205" s="3">
        <f t="shared" si="5"/>
        <v>3</v>
      </c>
      <c r="AN205" s="3">
        <f t="shared" si="5"/>
        <v>2</v>
      </c>
      <c r="AO205" s="3">
        <f t="shared" si="5"/>
        <v>1</v>
      </c>
      <c r="AP205" s="3">
        <f t="shared" si="5"/>
        <v>0</v>
      </c>
    </row>
    <row r="206" spans="1:52" x14ac:dyDescent="0.15">
      <c r="A206" s="3" t="s">
        <v>960</v>
      </c>
      <c r="B206" s="13">
        <f t="shared" ref="B206:AP206" si="6">$B200*(1+$B202)^B205</f>
        <v>5761.2247535239912</v>
      </c>
      <c r="C206" s="13">
        <f t="shared" si="6"/>
        <v>5539.6391860807589</v>
      </c>
      <c r="D206" s="13">
        <f t="shared" si="6"/>
        <v>5326.576140462269</v>
      </c>
      <c r="E206" s="13">
        <f t="shared" si="6"/>
        <v>5121.707827367567</v>
      </c>
      <c r="F206" s="13">
        <f t="shared" si="6"/>
        <v>4924.7190647765055</v>
      </c>
      <c r="G206" s="13">
        <f t="shared" si="6"/>
        <v>4735.306793054332</v>
      </c>
      <c r="H206" s="13">
        <f t="shared" si="6"/>
        <v>4553.1796087060884</v>
      </c>
      <c r="I206" s="13">
        <f t="shared" si="6"/>
        <v>4378.0573160635458</v>
      </c>
      <c r="J206" s="13">
        <f t="shared" si="6"/>
        <v>4209.6704962149479</v>
      </c>
      <c r="K206" s="13">
        <f t="shared" si="6"/>
        <v>4047.7600925143729</v>
      </c>
      <c r="L206" s="13">
        <f t="shared" si="6"/>
        <v>3892.0770120330508</v>
      </c>
      <c r="M206" s="13">
        <f t="shared" si="6"/>
        <v>3742.3817423394721</v>
      </c>
      <c r="N206" s="13">
        <f t="shared" si="6"/>
        <v>3598.4439830187234</v>
      </c>
      <c r="O206" s="13">
        <f t="shared" si="6"/>
        <v>3460.0422913641564</v>
      </c>
      <c r="P206" s="13">
        <f t="shared" si="6"/>
        <v>3326.9637416963042</v>
      </c>
      <c r="Q206" s="13">
        <f t="shared" si="6"/>
        <v>3199.0035977849079</v>
      </c>
      <c r="R206" s="13">
        <f t="shared" si="6"/>
        <v>3075.9649978701032</v>
      </c>
      <c r="S206" s="13">
        <f t="shared" si="6"/>
        <v>2957.6586517981759</v>
      </c>
      <c r="T206" s="13">
        <f t="shared" si="6"/>
        <v>2843.9025498059386</v>
      </c>
      <c r="U206" s="13">
        <f t="shared" si="6"/>
        <v>2734.5216825057105</v>
      </c>
      <c r="V206" s="13">
        <f t="shared" si="6"/>
        <v>2629.3477716401053</v>
      </c>
      <c r="W206" s="13">
        <f t="shared" si="6"/>
        <v>2528.2190111924092</v>
      </c>
      <c r="X206" s="13">
        <f t="shared" si="6"/>
        <v>2430.9798184542396</v>
      </c>
      <c r="Y206" s="13">
        <f t="shared" si="6"/>
        <v>2337.4805946675378</v>
      </c>
      <c r="Z206" s="13">
        <f t="shared" si="6"/>
        <v>2247.5774948726325</v>
      </c>
      <c r="AA206" s="13">
        <f t="shared" si="6"/>
        <v>2161.1322066083003</v>
      </c>
      <c r="AB206" s="13">
        <f t="shared" si="6"/>
        <v>2078.0117371233655</v>
      </c>
      <c r="AC206" s="13">
        <f t="shared" si="6"/>
        <v>1998.0882087724669</v>
      </c>
      <c r="AD206" s="13">
        <f t="shared" si="6"/>
        <v>1921.238662281218</v>
      </c>
      <c r="AE206" s="13">
        <f t="shared" si="6"/>
        <v>1847.344867578094</v>
      </c>
      <c r="AF206" s="13">
        <f t="shared" si="6"/>
        <v>1776.2931419020135</v>
      </c>
      <c r="AG206" s="13">
        <f t="shared" si="6"/>
        <v>1707.9741749057823</v>
      </c>
      <c r="AH206" s="13">
        <f t="shared" si="6"/>
        <v>1642.2828604863289</v>
      </c>
      <c r="AI206" s="13">
        <f t="shared" si="6"/>
        <v>1579.1181350830084</v>
      </c>
      <c r="AJ206" s="13">
        <f t="shared" si="6"/>
        <v>1518.3828221952003</v>
      </c>
      <c r="AK206" s="13">
        <f t="shared" si="6"/>
        <v>1459.9834828800003</v>
      </c>
      <c r="AL206" s="13">
        <f t="shared" si="6"/>
        <v>1403.8302720000002</v>
      </c>
      <c r="AM206" s="13">
        <f t="shared" si="6"/>
        <v>1349.8368</v>
      </c>
      <c r="AN206" s="13">
        <f t="shared" si="6"/>
        <v>1297.92</v>
      </c>
      <c r="AO206" s="13">
        <f t="shared" si="6"/>
        <v>1248</v>
      </c>
      <c r="AP206" s="13">
        <f t="shared" si="6"/>
        <v>1200</v>
      </c>
      <c r="AQ206" s="13"/>
      <c r="AR206" s="13"/>
      <c r="AS206" s="13"/>
      <c r="AT206" s="13"/>
      <c r="AU206" s="13"/>
      <c r="AV206" s="13"/>
      <c r="AW206" s="13"/>
      <c r="AX206" s="13"/>
      <c r="AY206" s="13"/>
      <c r="AZ206" s="13"/>
    </row>
    <row r="207" spans="1:52" x14ac:dyDescent="0.15">
      <c r="A207" s="3" t="s">
        <v>961</v>
      </c>
      <c r="B207" s="13">
        <f>B206</f>
        <v>5761.2247535239912</v>
      </c>
      <c r="C207" s="13">
        <f t="shared" ref="C207:AP207" si="7">B207+C206</f>
        <v>11300.863939604751</v>
      </c>
      <c r="D207" s="13">
        <f t="shared" si="7"/>
        <v>16627.440080067019</v>
      </c>
      <c r="E207" s="13">
        <f t="shared" si="7"/>
        <v>21749.147907434584</v>
      </c>
      <c r="F207" s="13">
        <f t="shared" si="7"/>
        <v>26673.86697221109</v>
      </c>
      <c r="G207" s="13">
        <f t="shared" si="7"/>
        <v>31409.173765265423</v>
      </c>
      <c r="H207" s="13">
        <f t="shared" si="7"/>
        <v>35962.353373971513</v>
      </c>
      <c r="I207" s="13">
        <f t="shared" si="7"/>
        <v>40340.41069003506</v>
      </c>
      <c r="J207" s="13">
        <f t="shared" si="7"/>
        <v>44550.081186250005</v>
      </c>
      <c r="K207" s="13">
        <f t="shared" si="7"/>
        <v>48597.841278764376</v>
      </c>
      <c r="L207" s="13">
        <f t="shared" si="7"/>
        <v>52489.918290797425</v>
      </c>
      <c r="M207" s="13">
        <f t="shared" si="7"/>
        <v>56232.300033136897</v>
      </c>
      <c r="N207" s="13">
        <f t="shared" si="7"/>
        <v>59830.744016155622</v>
      </c>
      <c r="O207" s="13">
        <f t="shared" si="7"/>
        <v>63290.786307519782</v>
      </c>
      <c r="P207" s="13">
        <f t="shared" si="7"/>
        <v>66617.750049216091</v>
      </c>
      <c r="Q207" s="13">
        <f t="shared" si="7"/>
        <v>69816.753647000995</v>
      </c>
      <c r="R207" s="13">
        <f t="shared" si="7"/>
        <v>72892.7186448711</v>
      </c>
      <c r="S207" s="13">
        <f t="shared" si="7"/>
        <v>75850.377296669278</v>
      </c>
      <c r="T207" s="13">
        <f t="shared" si="7"/>
        <v>78694.279846475212</v>
      </c>
      <c r="U207" s="13">
        <f t="shared" si="7"/>
        <v>81428.801528980926</v>
      </c>
      <c r="V207" s="13">
        <f t="shared" si="7"/>
        <v>84058.149300621037</v>
      </c>
      <c r="W207" s="13">
        <f t="shared" si="7"/>
        <v>86586.36831181345</v>
      </c>
      <c r="X207" s="13">
        <f t="shared" si="7"/>
        <v>89017.348130267696</v>
      </c>
      <c r="Y207" s="13">
        <f t="shared" si="7"/>
        <v>91354.828724935229</v>
      </c>
      <c r="Z207" s="13">
        <f t="shared" si="7"/>
        <v>93602.406219807861</v>
      </c>
      <c r="AA207" s="13">
        <f t="shared" si="7"/>
        <v>95763.538426416155</v>
      </c>
      <c r="AB207" s="13">
        <f t="shared" si="7"/>
        <v>97841.550163539519</v>
      </c>
      <c r="AC207" s="13">
        <f t="shared" si="7"/>
        <v>99839.63837231198</v>
      </c>
      <c r="AD207" s="13">
        <f t="shared" si="7"/>
        <v>101760.8770345932</v>
      </c>
      <c r="AE207" s="13">
        <f t="shared" si="7"/>
        <v>103608.2219021713</v>
      </c>
      <c r="AF207" s="13">
        <f t="shared" si="7"/>
        <v>105384.51504407331</v>
      </c>
      <c r="AG207" s="13">
        <f t="shared" si="7"/>
        <v>107092.4892189791</v>
      </c>
      <c r="AH207" s="13">
        <f t="shared" si="7"/>
        <v>108734.77207946543</v>
      </c>
      <c r="AI207" s="13">
        <f t="shared" si="7"/>
        <v>110313.89021454845</v>
      </c>
      <c r="AJ207" s="13">
        <f t="shared" si="7"/>
        <v>111832.27303674365</v>
      </c>
      <c r="AK207" s="13">
        <f t="shared" si="7"/>
        <v>113292.25651962364</v>
      </c>
      <c r="AL207" s="13">
        <f t="shared" si="7"/>
        <v>114696.08679162365</v>
      </c>
      <c r="AM207" s="13">
        <f t="shared" si="7"/>
        <v>116045.92359162365</v>
      </c>
      <c r="AN207" s="13">
        <f t="shared" si="7"/>
        <v>117343.84359162365</v>
      </c>
      <c r="AO207" s="13">
        <f t="shared" si="7"/>
        <v>118591.84359162365</v>
      </c>
      <c r="AP207" s="13">
        <f t="shared" si="7"/>
        <v>119791.84359162365</v>
      </c>
      <c r="AQ207" s="13"/>
      <c r="AR207" s="13"/>
      <c r="AS207" s="13"/>
      <c r="AT207" s="13"/>
      <c r="AU207" s="13"/>
      <c r="AV207" s="13"/>
      <c r="AW207" s="13"/>
      <c r="AX207" s="13"/>
      <c r="AY207" s="13"/>
      <c r="AZ207" s="13"/>
    </row>
    <row r="208" spans="1:52" x14ac:dyDescent="0.15">
      <c r="B208" s="80"/>
    </row>
    <row r="210" spans="1:48" x14ac:dyDescent="0.15">
      <c r="A210" s="3" t="s">
        <v>469</v>
      </c>
      <c r="B210" s="277">
        <f>AP207</f>
        <v>119791.84359162365</v>
      </c>
    </row>
    <row r="213" spans="1:48" x14ac:dyDescent="0.15">
      <c r="A213" s="3" t="s">
        <v>963</v>
      </c>
      <c r="B213" s="277">
        <v>200000</v>
      </c>
      <c r="C213" s="3" t="s">
        <v>965</v>
      </c>
      <c r="F213" s="277">
        <f>B213/B210*B200</f>
        <v>2003.4753018592146</v>
      </c>
      <c r="G213" s="3" t="s">
        <v>964</v>
      </c>
    </row>
    <row r="215" spans="1:48" x14ac:dyDescent="0.15">
      <c r="A215" s="3" t="s">
        <v>398</v>
      </c>
      <c r="B215" s="3">
        <v>1200</v>
      </c>
    </row>
    <row r="216" spans="1:48" x14ac:dyDescent="0.15">
      <c r="A216" s="3" t="s">
        <v>362</v>
      </c>
      <c r="B216" s="3">
        <v>40</v>
      </c>
    </row>
    <row r="217" spans="1:48" x14ac:dyDescent="0.15">
      <c r="A217" s="3" t="s">
        <v>359</v>
      </c>
      <c r="B217" s="55">
        <v>6.03765E-2</v>
      </c>
    </row>
    <row r="218" spans="1:48" x14ac:dyDescent="0.15">
      <c r="B218" s="80"/>
    </row>
    <row r="219" spans="1:48" x14ac:dyDescent="0.15">
      <c r="A219" s="3" t="s">
        <v>959</v>
      </c>
      <c r="B219" s="276">
        <v>25</v>
      </c>
      <c r="C219" s="3">
        <f t="shared" ref="C219:AP219" si="8">B219+1</f>
        <v>26</v>
      </c>
      <c r="D219" s="3">
        <f t="shared" si="8"/>
        <v>27</v>
      </c>
      <c r="E219" s="3">
        <f t="shared" si="8"/>
        <v>28</v>
      </c>
      <c r="F219" s="3">
        <f t="shared" si="8"/>
        <v>29</v>
      </c>
      <c r="G219" s="3">
        <f t="shared" si="8"/>
        <v>30</v>
      </c>
      <c r="H219" s="3">
        <f t="shared" si="8"/>
        <v>31</v>
      </c>
      <c r="I219" s="3">
        <f t="shared" si="8"/>
        <v>32</v>
      </c>
      <c r="J219" s="3">
        <f t="shared" si="8"/>
        <v>33</v>
      </c>
      <c r="K219" s="3">
        <f t="shared" si="8"/>
        <v>34</v>
      </c>
      <c r="L219" s="3">
        <f t="shared" si="8"/>
        <v>35</v>
      </c>
      <c r="M219" s="3">
        <f t="shared" si="8"/>
        <v>36</v>
      </c>
      <c r="N219" s="3">
        <f t="shared" si="8"/>
        <v>37</v>
      </c>
      <c r="O219" s="3">
        <f t="shared" si="8"/>
        <v>38</v>
      </c>
      <c r="P219" s="3">
        <f t="shared" si="8"/>
        <v>39</v>
      </c>
      <c r="Q219" s="3">
        <f t="shared" si="8"/>
        <v>40</v>
      </c>
      <c r="R219" s="3">
        <f t="shared" si="8"/>
        <v>41</v>
      </c>
      <c r="S219" s="3">
        <f t="shared" si="8"/>
        <v>42</v>
      </c>
      <c r="T219" s="3">
        <f t="shared" si="8"/>
        <v>43</v>
      </c>
      <c r="U219" s="3">
        <f t="shared" si="8"/>
        <v>44</v>
      </c>
      <c r="V219" s="3">
        <f t="shared" si="8"/>
        <v>45</v>
      </c>
      <c r="W219" s="3">
        <f t="shared" si="8"/>
        <v>46</v>
      </c>
      <c r="X219" s="3">
        <f t="shared" si="8"/>
        <v>47</v>
      </c>
      <c r="Y219" s="3">
        <f t="shared" si="8"/>
        <v>48</v>
      </c>
      <c r="Z219" s="3">
        <f t="shared" si="8"/>
        <v>49</v>
      </c>
      <c r="AA219" s="3">
        <f t="shared" si="8"/>
        <v>50</v>
      </c>
      <c r="AB219" s="3">
        <f t="shared" si="8"/>
        <v>51</v>
      </c>
      <c r="AC219" s="3">
        <f t="shared" si="8"/>
        <v>52</v>
      </c>
      <c r="AD219" s="3">
        <f t="shared" si="8"/>
        <v>53</v>
      </c>
      <c r="AE219" s="3">
        <f t="shared" si="8"/>
        <v>54</v>
      </c>
      <c r="AF219" s="3">
        <f t="shared" si="8"/>
        <v>55</v>
      </c>
      <c r="AG219" s="3">
        <f t="shared" si="8"/>
        <v>56</v>
      </c>
      <c r="AH219" s="3">
        <f t="shared" si="8"/>
        <v>57</v>
      </c>
      <c r="AI219" s="3">
        <f t="shared" si="8"/>
        <v>58</v>
      </c>
      <c r="AJ219" s="3">
        <f t="shared" si="8"/>
        <v>59</v>
      </c>
      <c r="AK219" s="3">
        <f t="shared" si="8"/>
        <v>60</v>
      </c>
      <c r="AL219" s="3">
        <f t="shared" si="8"/>
        <v>61</v>
      </c>
      <c r="AM219" s="3">
        <f t="shared" si="8"/>
        <v>62</v>
      </c>
      <c r="AN219" s="3">
        <f t="shared" si="8"/>
        <v>63</v>
      </c>
      <c r="AO219" s="3">
        <f t="shared" si="8"/>
        <v>64</v>
      </c>
      <c r="AP219" s="3">
        <f t="shared" si="8"/>
        <v>65</v>
      </c>
    </row>
    <row r="220" spans="1:48" x14ac:dyDescent="0.15">
      <c r="A220" s="3" t="s">
        <v>962</v>
      </c>
      <c r="B220" s="3">
        <f>B216</f>
        <v>40</v>
      </c>
      <c r="C220" s="3">
        <f t="shared" ref="C220:AP220" si="9">B220-1</f>
        <v>39</v>
      </c>
      <c r="D220" s="3">
        <f t="shared" si="9"/>
        <v>38</v>
      </c>
      <c r="E220" s="3">
        <f t="shared" si="9"/>
        <v>37</v>
      </c>
      <c r="F220" s="3">
        <f t="shared" si="9"/>
        <v>36</v>
      </c>
      <c r="G220" s="3">
        <f t="shared" si="9"/>
        <v>35</v>
      </c>
      <c r="H220" s="3">
        <f t="shared" si="9"/>
        <v>34</v>
      </c>
      <c r="I220" s="3">
        <f t="shared" si="9"/>
        <v>33</v>
      </c>
      <c r="J220" s="3">
        <f t="shared" si="9"/>
        <v>32</v>
      </c>
      <c r="K220" s="3">
        <f t="shared" si="9"/>
        <v>31</v>
      </c>
      <c r="L220" s="3">
        <f t="shared" si="9"/>
        <v>30</v>
      </c>
      <c r="M220" s="3">
        <f t="shared" si="9"/>
        <v>29</v>
      </c>
      <c r="N220" s="3">
        <f t="shared" si="9"/>
        <v>28</v>
      </c>
      <c r="O220" s="3">
        <f t="shared" si="9"/>
        <v>27</v>
      </c>
      <c r="P220" s="3">
        <f t="shared" si="9"/>
        <v>26</v>
      </c>
      <c r="Q220" s="3">
        <f t="shared" si="9"/>
        <v>25</v>
      </c>
      <c r="R220" s="3">
        <f t="shared" si="9"/>
        <v>24</v>
      </c>
      <c r="S220" s="3">
        <f t="shared" si="9"/>
        <v>23</v>
      </c>
      <c r="T220" s="3">
        <f t="shared" si="9"/>
        <v>22</v>
      </c>
      <c r="U220" s="3">
        <f t="shared" si="9"/>
        <v>21</v>
      </c>
      <c r="V220" s="3">
        <f t="shared" si="9"/>
        <v>20</v>
      </c>
      <c r="W220" s="3">
        <f t="shared" si="9"/>
        <v>19</v>
      </c>
      <c r="X220" s="3">
        <f t="shared" si="9"/>
        <v>18</v>
      </c>
      <c r="Y220" s="3">
        <f t="shared" si="9"/>
        <v>17</v>
      </c>
      <c r="Z220" s="3">
        <f t="shared" si="9"/>
        <v>16</v>
      </c>
      <c r="AA220" s="3">
        <f t="shared" si="9"/>
        <v>15</v>
      </c>
      <c r="AB220" s="3">
        <f t="shared" si="9"/>
        <v>14</v>
      </c>
      <c r="AC220" s="3">
        <f t="shared" si="9"/>
        <v>13</v>
      </c>
      <c r="AD220" s="3">
        <f t="shared" si="9"/>
        <v>12</v>
      </c>
      <c r="AE220" s="3">
        <f t="shared" si="9"/>
        <v>11</v>
      </c>
      <c r="AF220" s="3">
        <f t="shared" si="9"/>
        <v>10</v>
      </c>
      <c r="AG220" s="3">
        <f t="shared" si="9"/>
        <v>9</v>
      </c>
      <c r="AH220" s="3">
        <f t="shared" si="9"/>
        <v>8</v>
      </c>
      <c r="AI220" s="3">
        <f t="shared" si="9"/>
        <v>7</v>
      </c>
      <c r="AJ220" s="3">
        <f t="shared" si="9"/>
        <v>6</v>
      </c>
      <c r="AK220" s="3">
        <f t="shared" si="9"/>
        <v>5</v>
      </c>
      <c r="AL220" s="3">
        <f t="shared" si="9"/>
        <v>4</v>
      </c>
      <c r="AM220" s="3">
        <f t="shared" si="9"/>
        <v>3</v>
      </c>
      <c r="AN220" s="3">
        <f t="shared" si="9"/>
        <v>2</v>
      </c>
      <c r="AO220" s="3">
        <f t="shared" si="9"/>
        <v>1</v>
      </c>
      <c r="AP220" s="3">
        <f t="shared" si="9"/>
        <v>0</v>
      </c>
    </row>
    <row r="221" spans="1:48" x14ac:dyDescent="0.15">
      <c r="A221" s="3" t="s">
        <v>960</v>
      </c>
      <c r="B221" s="13">
        <f t="shared" ref="B221:AP221" si="10">$B215*(1+$B217)^B220</f>
        <v>12519.443381539419</v>
      </c>
      <c r="C221" s="13">
        <f t="shared" si="10"/>
        <v>11806.602071565541</v>
      </c>
      <c r="D221" s="13">
        <f t="shared" si="10"/>
        <v>11134.349046367528</v>
      </c>
      <c r="E221" s="13">
        <f t="shared" si="10"/>
        <v>10500.373260221751</v>
      </c>
      <c r="F221" s="13">
        <f t="shared" si="10"/>
        <v>9902.4952554321517</v>
      </c>
      <c r="G221" s="13">
        <f t="shared" si="10"/>
        <v>9338.6596698740013</v>
      </c>
      <c r="H221" s="13">
        <f t="shared" si="10"/>
        <v>8806.9281711486437</v>
      </c>
      <c r="I221" s="13">
        <f t="shared" si="10"/>
        <v>8305.472793058545</v>
      </c>
      <c r="J221" s="13">
        <f t="shared" si="10"/>
        <v>7832.5696514950532</v>
      </c>
      <c r="K221" s="13">
        <f t="shared" si="10"/>
        <v>7386.5930181355898</v>
      </c>
      <c r="L221" s="13">
        <f t="shared" si="10"/>
        <v>6966.0097315770272</v>
      </c>
      <c r="M221" s="13">
        <f t="shared" si="10"/>
        <v>6569.3739266921011</v>
      </c>
      <c r="N221" s="13">
        <f t="shared" si="10"/>
        <v>6195.3220640895952</v>
      </c>
      <c r="O221" s="13">
        <f t="shared" si="10"/>
        <v>5842.5682425908108</v>
      </c>
      <c r="P221" s="13">
        <f t="shared" si="10"/>
        <v>5509.8997786077025</v>
      </c>
      <c r="Q221" s="13">
        <f t="shared" si="10"/>
        <v>5196.1730372256479</v>
      </c>
      <c r="R221" s="13">
        <f t="shared" si="10"/>
        <v>4900.3095006591029</v>
      </c>
      <c r="S221" s="13">
        <f t="shared" si="10"/>
        <v>4621.292060564434</v>
      </c>
      <c r="T221" s="13">
        <f t="shared" si="10"/>
        <v>4358.161521463775</v>
      </c>
      <c r="U221" s="13">
        <f t="shared" si="10"/>
        <v>4110.0133032595268</v>
      </c>
      <c r="V221" s="13">
        <f t="shared" si="10"/>
        <v>3875.9943315035048</v>
      </c>
      <c r="W221" s="13">
        <f t="shared" si="10"/>
        <v>3655.3001047302578</v>
      </c>
      <c r="X221" s="13">
        <f t="shared" si="10"/>
        <v>3447.1719287727119</v>
      </c>
      <c r="Y221" s="13">
        <f t="shared" si="10"/>
        <v>3250.8943085523979</v>
      </c>
      <c r="Z221" s="13">
        <f t="shared" si="10"/>
        <v>3065.7924883778524</v>
      </c>
      <c r="AA221" s="13">
        <f t="shared" si="10"/>
        <v>2891.2301322953235</v>
      </c>
      <c r="AB221" s="13">
        <f t="shared" si="10"/>
        <v>2726.6071365173812</v>
      </c>
      <c r="AC221" s="13">
        <f t="shared" si="10"/>
        <v>2571.3575664090831</v>
      </c>
      <c r="AD221" s="13">
        <f t="shared" si="10"/>
        <v>2424.9477109395416</v>
      </c>
      <c r="AE221" s="13">
        <f t="shared" si="10"/>
        <v>2286.874247910569</v>
      </c>
      <c r="AF221" s="13">
        <f t="shared" si="10"/>
        <v>2156.6625136548846</v>
      </c>
      <c r="AG221" s="13">
        <f t="shared" si="10"/>
        <v>2033.8648712555253</v>
      </c>
      <c r="AH221" s="13">
        <f t="shared" si="10"/>
        <v>1918.0591716767819</v>
      </c>
      <c r="AI221" s="13">
        <f t="shared" si="10"/>
        <v>1808.8473025164005</v>
      </c>
      <c r="AJ221" s="13">
        <f t="shared" si="10"/>
        <v>1705.8538193899997</v>
      </c>
      <c r="AK221" s="13">
        <f t="shared" si="10"/>
        <v>1608.7246552427366</v>
      </c>
      <c r="AL221" s="13">
        <f t="shared" si="10"/>
        <v>1517.1259031511322</v>
      </c>
      <c r="AM221" s="13">
        <f t="shared" si="10"/>
        <v>1430.7426684306301</v>
      </c>
      <c r="AN221" s="13">
        <f t="shared" si="10"/>
        <v>1349.2779861027002</v>
      </c>
      <c r="AO221" s="13">
        <f t="shared" si="10"/>
        <v>1272.4518</v>
      </c>
      <c r="AP221" s="13">
        <f t="shared" si="10"/>
        <v>1200</v>
      </c>
      <c r="AQ221" s="13"/>
      <c r="AR221" s="13"/>
      <c r="AS221" s="13"/>
      <c r="AT221" s="13"/>
      <c r="AU221" s="13"/>
      <c r="AV221" s="13"/>
    </row>
    <row r="222" spans="1:48" x14ac:dyDescent="0.15">
      <c r="A222" s="3" t="s">
        <v>961</v>
      </c>
      <c r="B222" s="13">
        <f>B221</f>
        <v>12519.443381539419</v>
      </c>
      <c r="C222" s="13">
        <f t="shared" ref="C222:AP222" si="11">B222+C221</f>
        <v>24326.045453104962</v>
      </c>
      <c r="D222" s="13">
        <f t="shared" si="11"/>
        <v>35460.394499472488</v>
      </c>
      <c r="E222" s="13">
        <f t="shared" si="11"/>
        <v>45960.767759694238</v>
      </c>
      <c r="F222" s="13">
        <f t="shared" si="11"/>
        <v>55863.263015126387</v>
      </c>
      <c r="G222" s="13">
        <f t="shared" si="11"/>
        <v>65201.922685000391</v>
      </c>
      <c r="H222" s="13">
        <f t="shared" si="11"/>
        <v>74008.850856149031</v>
      </c>
      <c r="I222" s="13">
        <f t="shared" si="11"/>
        <v>82314.323649207581</v>
      </c>
      <c r="J222" s="13">
        <f t="shared" si="11"/>
        <v>90146.893300702635</v>
      </c>
      <c r="K222" s="13">
        <f t="shared" si="11"/>
        <v>97533.48631883823</v>
      </c>
      <c r="L222" s="13">
        <f t="shared" si="11"/>
        <v>104499.49605041526</v>
      </c>
      <c r="M222" s="13">
        <f t="shared" si="11"/>
        <v>111068.86997710736</v>
      </c>
      <c r="N222" s="13">
        <f t="shared" si="11"/>
        <v>117264.19204119695</v>
      </c>
      <c r="O222" s="13">
        <f t="shared" si="11"/>
        <v>123106.76028378776</v>
      </c>
      <c r="P222" s="13">
        <f t="shared" si="11"/>
        <v>128616.66006239547</v>
      </c>
      <c r="Q222" s="13">
        <f t="shared" si="11"/>
        <v>133812.83309962112</v>
      </c>
      <c r="R222" s="13">
        <f t="shared" si="11"/>
        <v>138713.14260028023</v>
      </c>
      <c r="S222" s="13">
        <f t="shared" si="11"/>
        <v>143334.43466084468</v>
      </c>
      <c r="T222" s="13">
        <f t="shared" si="11"/>
        <v>147692.59618230845</v>
      </c>
      <c r="U222" s="13">
        <f t="shared" si="11"/>
        <v>151802.60948556798</v>
      </c>
      <c r="V222" s="13">
        <f t="shared" si="11"/>
        <v>155678.60381707147</v>
      </c>
      <c r="W222" s="13">
        <f t="shared" si="11"/>
        <v>159333.90392180174</v>
      </c>
      <c r="X222" s="13">
        <f t="shared" si="11"/>
        <v>162781.07585057445</v>
      </c>
      <c r="Y222" s="13">
        <f t="shared" si="11"/>
        <v>166031.97015912685</v>
      </c>
      <c r="Z222" s="13">
        <f t="shared" si="11"/>
        <v>169097.76264750471</v>
      </c>
      <c r="AA222" s="13">
        <f t="shared" si="11"/>
        <v>171988.99277980003</v>
      </c>
      <c r="AB222" s="13">
        <f t="shared" si="11"/>
        <v>174715.59991631741</v>
      </c>
      <c r="AC222" s="13">
        <f t="shared" si="11"/>
        <v>177286.95748272649</v>
      </c>
      <c r="AD222" s="13">
        <f t="shared" si="11"/>
        <v>179711.90519366603</v>
      </c>
      <c r="AE222" s="13">
        <f t="shared" si="11"/>
        <v>181998.7794415766</v>
      </c>
      <c r="AF222" s="13">
        <f t="shared" si="11"/>
        <v>184155.44195523148</v>
      </c>
      <c r="AG222" s="13">
        <f t="shared" si="11"/>
        <v>186189.30682648701</v>
      </c>
      <c r="AH222" s="13">
        <f t="shared" si="11"/>
        <v>188107.36599816379</v>
      </c>
      <c r="AI222" s="13">
        <f t="shared" si="11"/>
        <v>189916.21330068019</v>
      </c>
      <c r="AJ222" s="13">
        <f t="shared" si="11"/>
        <v>191622.06712007019</v>
      </c>
      <c r="AK222" s="13">
        <f t="shared" si="11"/>
        <v>193230.79177531291</v>
      </c>
      <c r="AL222" s="13">
        <f t="shared" si="11"/>
        <v>194747.91767846406</v>
      </c>
      <c r="AM222" s="13">
        <f t="shared" si="11"/>
        <v>196178.6603468947</v>
      </c>
      <c r="AN222" s="13">
        <f t="shared" si="11"/>
        <v>197527.93833299741</v>
      </c>
      <c r="AO222" s="13">
        <f t="shared" si="11"/>
        <v>198800.39013299742</v>
      </c>
      <c r="AP222" s="13">
        <f t="shared" si="11"/>
        <v>200000.39013299742</v>
      </c>
      <c r="AQ222" s="13"/>
      <c r="AR222" s="13"/>
      <c r="AS222" s="13"/>
      <c r="AT222" s="13"/>
      <c r="AU222" s="13"/>
      <c r="AV222" s="13"/>
    </row>
    <row r="223" spans="1:48" x14ac:dyDescent="0.15">
      <c r="B223" s="80"/>
    </row>
    <row r="225" spans="1:3" x14ac:dyDescent="0.15">
      <c r="A225" s="3" t="s">
        <v>469</v>
      </c>
      <c r="B225" s="277">
        <f>AP222</f>
        <v>200000.39013299742</v>
      </c>
    </row>
    <row r="228" spans="1:3" ht="15" x14ac:dyDescent="0.15">
      <c r="A228" s="8" t="s">
        <v>1540</v>
      </c>
    </row>
    <row r="230" spans="1:3" x14ac:dyDescent="0.15">
      <c r="A230" s="3" t="s">
        <v>966</v>
      </c>
    </row>
    <row r="232" spans="1:3" ht="15" x14ac:dyDescent="0.15">
      <c r="A232" s="8" t="s">
        <v>1707</v>
      </c>
    </row>
    <row r="233" spans="1:3" x14ac:dyDescent="0.15">
      <c r="A233" s="3" t="s">
        <v>927</v>
      </c>
      <c r="B233" s="3">
        <v>0</v>
      </c>
      <c r="C233" s="3">
        <v>1</v>
      </c>
    </row>
    <row r="234" spans="1:3" x14ac:dyDescent="0.15">
      <c r="A234" s="3" t="s">
        <v>398</v>
      </c>
      <c r="B234" s="3">
        <v>0</v>
      </c>
      <c r="C234" s="3">
        <v>100</v>
      </c>
    </row>
    <row r="235" spans="1:3" x14ac:dyDescent="0.15">
      <c r="A235" s="3" t="s">
        <v>1708</v>
      </c>
      <c r="B235" s="55">
        <v>-4.0000000000000001E-3</v>
      </c>
    </row>
    <row r="236" spans="1:3" x14ac:dyDescent="0.15">
      <c r="A236" s="3" t="s">
        <v>399</v>
      </c>
      <c r="B236" s="189">
        <f>C234/(1+B235)</f>
        <v>100.40160642570281</v>
      </c>
    </row>
  </sheetData>
  <phoneticPr fontId="4" type="noConversion"/>
  <pageMargins left="0.78740157480314965" right="0.78740157480314965" top="0.98425196850393704" bottom="0.98425196850393704" header="0.51181102362204722" footer="0.51181102362204722"/>
  <pageSetup paperSize="9" scale="22"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7">
    <pageSetUpPr fitToPage="1"/>
  </sheetPr>
  <dimension ref="A1:N213"/>
  <sheetViews>
    <sheetView showGridLines="0" workbookViewId="0">
      <selection activeCell="B3" sqref="B3"/>
    </sheetView>
  </sheetViews>
  <sheetFormatPr baseColWidth="10" defaultColWidth="11" defaultRowHeight="14" x14ac:dyDescent="0.15"/>
  <cols>
    <col min="1" max="1" width="37.83203125" style="3" customWidth="1"/>
    <col min="2" max="2" width="11.1640625" style="3" bestFit="1" customWidth="1"/>
    <col min="3" max="16384" width="11" style="3"/>
  </cols>
  <sheetData>
    <row r="1" spans="1:2" ht="15" x14ac:dyDescent="0.15">
      <c r="A1" s="1" t="s">
        <v>1235</v>
      </c>
    </row>
    <row r="2" spans="1:2" x14ac:dyDescent="0.15">
      <c r="A2" s="3" t="s">
        <v>435</v>
      </c>
      <c r="B2" s="3">
        <v>120</v>
      </c>
    </row>
    <row r="3" spans="1:2" x14ac:dyDescent="0.15">
      <c r="A3" s="3" t="s">
        <v>436</v>
      </c>
      <c r="B3" s="3">
        <v>172.8</v>
      </c>
    </row>
    <row r="4" spans="1:2" x14ac:dyDescent="0.15">
      <c r="A4" s="3" t="s">
        <v>475</v>
      </c>
      <c r="B4" s="81">
        <f>B3/B2-1</f>
        <v>0.44000000000000017</v>
      </c>
    </row>
    <row r="5" spans="1:2" x14ac:dyDescent="0.15">
      <c r="A5" s="3" t="s">
        <v>433</v>
      </c>
      <c r="B5" s="80">
        <f>SQRT(B3/B2)-1</f>
        <v>0.20000000000000018</v>
      </c>
    </row>
    <row r="6" spans="1:2" ht="15" x14ac:dyDescent="0.15">
      <c r="A6" s="6" t="s">
        <v>434</v>
      </c>
      <c r="B6" s="81">
        <f>B5/12*3</f>
        <v>5.0000000000000044E-2</v>
      </c>
    </row>
    <row r="8" spans="1:2" ht="15" x14ac:dyDescent="0.15">
      <c r="A8" s="8" t="s">
        <v>1237</v>
      </c>
    </row>
    <row r="9" spans="1:2" x14ac:dyDescent="0.15">
      <c r="A9" s="3" t="s">
        <v>435</v>
      </c>
      <c r="B9" s="3">
        <v>100</v>
      </c>
    </row>
    <row r="10" spans="1:2" x14ac:dyDescent="0.15">
      <c r="A10" s="3" t="s">
        <v>433</v>
      </c>
      <c r="B10" s="80">
        <v>0.14000000000000001</v>
      </c>
    </row>
    <row r="11" spans="1:2" x14ac:dyDescent="0.15">
      <c r="A11" s="3" t="s">
        <v>438</v>
      </c>
      <c r="B11" s="3">
        <v>7</v>
      </c>
    </row>
    <row r="13" spans="1:2" x14ac:dyDescent="0.15">
      <c r="A13" s="3" t="s">
        <v>437</v>
      </c>
      <c r="B13" s="13">
        <f>B9*POWER(1+B10,B11)</f>
        <v>250.22687912870421</v>
      </c>
    </row>
    <row r="15" spans="1:2" ht="15" x14ac:dyDescent="0.15">
      <c r="A15" s="8" t="s">
        <v>196</v>
      </c>
    </row>
    <row r="16" spans="1:2" x14ac:dyDescent="0.15">
      <c r="A16" s="3" t="s">
        <v>435</v>
      </c>
      <c r="B16" s="3">
        <v>100</v>
      </c>
    </row>
    <row r="17" spans="1:3" x14ac:dyDescent="0.15">
      <c r="A17" s="3" t="s">
        <v>439</v>
      </c>
      <c r="B17" s="3">
        <v>174.9</v>
      </c>
    </row>
    <row r="18" spans="1:3" x14ac:dyDescent="0.15">
      <c r="A18" s="3" t="s">
        <v>433</v>
      </c>
      <c r="B18" s="80">
        <v>0.15</v>
      </c>
    </row>
    <row r="19" spans="1:3" x14ac:dyDescent="0.15">
      <c r="B19" s="80"/>
    </row>
    <row r="20" spans="1:3" x14ac:dyDescent="0.15">
      <c r="A20" s="3" t="s">
        <v>438</v>
      </c>
      <c r="B20" s="29">
        <f>LN(B17/B16)/LN(1+B18)</f>
        <v>3.9999744317794335</v>
      </c>
    </row>
    <row r="22" spans="1:3" ht="15" x14ac:dyDescent="0.15">
      <c r="A22" s="8" t="s">
        <v>160</v>
      </c>
    </row>
    <row r="23" spans="1:3" x14ac:dyDescent="0.15">
      <c r="A23" s="3" t="s">
        <v>435</v>
      </c>
      <c r="B23" s="105">
        <v>1000</v>
      </c>
    </row>
    <row r="24" spans="1:3" x14ac:dyDescent="0.15">
      <c r="A24" s="3" t="s">
        <v>359</v>
      </c>
      <c r="B24" s="55">
        <v>0.06</v>
      </c>
    </row>
    <row r="25" spans="1:3" x14ac:dyDescent="0.15">
      <c r="A25" s="3" t="s">
        <v>440</v>
      </c>
      <c r="B25" s="102">
        <v>0.5</v>
      </c>
      <c r="C25" s="3" t="s">
        <v>441</v>
      </c>
    </row>
    <row r="26" spans="1:3" x14ac:dyDescent="0.15">
      <c r="A26" s="3" t="s">
        <v>438</v>
      </c>
      <c r="B26" s="3">
        <v>4</v>
      </c>
    </row>
    <row r="28" spans="1:3" x14ac:dyDescent="0.15">
      <c r="A28" s="3" t="s">
        <v>433</v>
      </c>
      <c r="B28" s="50">
        <f>B24*B25*(POWER(1+B24,B25)+1)</f>
        <v>6.0886890422960999E-2</v>
      </c>
    </row>
    <row r="29" spans="1:3" x14ac:dyDescent="0.15">
      <c r="A29" s="3" t="s">
        <v>439</v>
      </c>
      <c r="B29" s="68">
        <f>B23*POWER(1+B28,B26)</f>
        <v>1266.7074684659131</v>
      </c>
    </row>
    <row r="31" spans="1:3" ht="15" x14ac:dyDescent="0.15">
      <c r="A31" s="8" t="s">
        <v>174</v>
      </c>
    </row>
    <row r="32" spans="1:3" x14ac:dyDescent="0.15">
      <c r="A32" s="7" t="s">
        <v>443</v>
      </c>
    </row>
    <row r="33" spans="1:14" x14ac:dyDescent="0.15">
      <c r="A33" s="3" t="s">
        <v>404</v>
      </c>
      <c r="B33" s="3">
        <v>0</v>
      </c>
      <c r="C33" s="3">
        <v>1</v>
      </c>
      <c r="D33" s="3">
        <v>2</v>
      </c>
      <c r="E33" s="3">
        <v>3</v>
      </c>
      <c r="F33" s="3">
        <v>4</v>
      </c>
      <c r="G33" s="3">
        <v>5</v>
      </c>
      <c r="H33" s="3">
        <v>6</v>
      </c>
    </row>
    <row r="34" spans="1:14" x14ac:dyDescent="0.15">
      <c r="A34" s="3" t="s">
        <v>398</v>
      </c>
      <c r="B34" s="3">
        <v>-4</v>
      </c>
      <c r="C34" s="3">
        <v>1</v>
      </c>
      <c r="D34" s="3">
        <v>1</v>
      </c>
      <c r="E34" s="3">
        <v>1</v>
      </c>
      <c r="F34" s="3">
        <v>1</v>
      </c>
      <c r="G34" s="3">
        <v>1</v>
      </c>
      <c r="H34" s="3">
        <v>1</v>
      </c>
    </row>
    <row r="36" spans="1:14" x14ac:dyDescent="0.15">
      <c r="B36" s="99"/>
    </row>
    <row r="37" spans="1:14" x14ac:dyDescent="0.15">
      <c r="A37" s="3" t="s">
        <v>689</v>
      </c>
      <c r="B37" s="67">
        <v>0.12976959078756212</v>
      </c>
    </row>
    <row r="39" spans="1:14" x14ac:dyDescent="0.15">
      <c r="A39" s="7" t="s">
        <v>444</v>
      </c>
    </row>
    <row r="40" spans="1:14" x14ac:dyDescent="0.15">
      <c r="A40" s="3" t="s">
        <v>404</v>
      </c>
      <c r="B40" s="3">
        <v>0</v>
      </c>
      <c r="C40" s="3">
        <v>1</v>
      </c>
      <c r="D40" s="3">
        <v>2</v>
      </c>
      <c r="E40" s="3">
        <v>3</v>
      </c>
      <c r="F40" s="3">
        <v>4</v>
      </c>
      <c r="G40" s="3">
        <v>5</v>
      </c>
    </row>
    <row r="41" spans="1:14" x14ac:dyDescent="0.15">
      <c r="A41" s="3" t="s">
        <v>398</v>
      </c>
      <c r="B41" s="3">
        <v>-6</v>
      </c>
      <c r="C41" s="3">
        <v>2</v>
      </c>
      <c r="D41" s="3">
        <v>2</v>
      </c>
      <c r="E41" s="3">
        <v>1.5</v>
      </c>
      <c r="F41" s="3">
        <v>1.5</v>
      </c>
      <c r="G41" s="3">
        <v>1.5</v>
      </c>
    </row>
    <row r="43" spans="1:14" x14ac:dyDescent="0.15">
      <c r="B43" s="99"/>
    </row>
    <row r="44" spans="1:14" x14ac:dyDescent="0.15">
      <c r="A44" s="3" t="s">
        <v>689</v>
      </c>
      <c r="B44" s="67">
        <v>0.13799314135471749</v>
      </c>
    </row>
    <row r="46" spans="1:14" x14ac:dyDescent="0.15">
      <c r="A46" s="3" t="s">
        <v>359</v>
      </c>
      <c r="B46" s="80">
        <v>0.09</v>
      </c>
      <c r="C46" s="80">
        <f>B46+1%</f>
        <v>9.9999999999999992E-2</v>
      </c>
      <c r="D46" s="80">
        <f t="shared" ref="D46:I46" si="0">C46+1%</f>
        <v>0.10999999999999999</v>
      </c>
      <c r="E46" s="80">
        <f t="shared" si="0"/>
        <v>0.11999999999999998</v>
      </c>
      <c r="F46" s="80">
        <f t="shared" si="0"/>
        <v>0.12999999999999998</v>
      </c>
      <c r="G46" s="80">
        <f t="shared" si="0"/>
        <v>0.13999999999999999</v>
      </c>
      <c r="H46" s="80">
        <f t="shared" si="0"/>
        <v>0.15</v>
      </c>
      <c r="I46" s="80">
        <f t="shared" si="0"/>
        <v>0.16</v>
      </c>
      <c r="J46" s="80">
        <f>I46+1%</f>
        <v>0.17</v>
      </c>
      <c r="K46" s="80">
        <f>J46+1%</f>
        <v>0.18000000000000002</v>
      </c>
      <c r="L46" s="80">
        <f>K46+1%</f>
        <v>0.19000000000000003</v>
      </c>
      <c r="M46" s="80">
        <f>L46+1%</f>
        <v>0.20000000000000004</v>
      </c>
      <c r="N46" s="80">
        <f>M46+1%</f>
        <v>0.21000000000000005</v>
      </c>
    </row>
    <row r="47" spans="1:14" x14ac:dyDescent="0.15">
      <c r="A47" s="3" t="s">
        <v>445</v>
      </c>
      <c r="B47" s="261">
        <f t="shared" ref="B47:I47" si="1">SUMPRODUCT($B34:$H34,POWER(1+B46,-$B33:$H33))</f>
        <v>0.48591859023093176</v>
      </c>
      <c r="C47" s="261">
        <f t="shared" si="1"/>
        <v>0.35526069946222483</v>
      </c>
      <c r="D47" s="261">
        <f t="shared" si="1"/>
        <v>0.23053785373825852</v>
      </c>
      <c r="E47" s="261">
        <f t="shared" si="1"/>
        <v>0.11140732352232741</v>
      </c>
      <c r="F47" s="261">
        <f t="shared" si="1"/>
        <v>-2.4502110241529373E-3</v>
      </c>
      <c r="G47" s="261">
        <f t="shared" si="1"/>
        <v>-0.11133248345748997</v>
      </c>
      <c r="H47" s="261">
        <f t="shared" si="1"/>
        <v>-0.21551730607704078</v>
      </c>
      <c r="I47" s="261">
        <f t="shared" si="1"/>
        <v>-0.315264091671348</v>
      </c>
      <c r="J47" s="261">
        <f>SUMPRODUCT($B34:$H34,POWER(1+J46,-$B33:$H33))</f>
        <v>-0.41081524553058452</v>
      </c>
      <c r="K47" s="261">
        <f>SUMPRODUCT($B34:$H34,POWER(1+K46,-$B33:$H33))</f>
        <v>-0.50239743987974805</v>
      </c>
      <c r="L47" s="261">
        <f>SUMPRODUCT($B34:$H34,POWER(1+L46,-$B33:$H33))</f>
        <v>-0.59022278164974096</v>
      </c>
      <c r="M47" s="261">
        <f>SUMPRODUCT($B34:$H34,POWER(1+M46,-$B33:$H33))</f>
        <v>-0.6744898834019204</v>
      </c>
      <c r="N47" s="261">
        <f>SUMPRODUCT($B34:$H34,POWER(1+N46,-$B33:$H33))</f>
        <v>-0.75538484623979396</v>
      </c>
    </row>
    <row r="48" spans="1:14" x14ac:dyDescent="0.15">
      <c r="A48" s="3" t="s">
        <v>446</v>
      </c>
      <c r="B48" s="261">
        <f t="shared" ref="B48:I48" si="2">SUMPRODUCT($B41:$G41,POWER(1+B46,-$B40:$G40))</f>
        <v>0.71403248799112906</v>
      </c>
      <c r="C48" s="261">
        <f t="shared" si="2"/>
        <v>0.55394874915399361</v>
      </c>
      <c r="D48" s="261">
        <f t="shared" si="2"/>
        <v>0.40010719354667768</v>
      </c>
      <c r="E48" s="261">
        <f t="shared" si="2"/>
        <v>0.25218981372159077</v>
      </c>
      <c r="F48" s="261">
        <f t="shared" si="2"/>
        <v>0.10989811010715289</v>
      </c>
      <c r="G48" s="261">
        <f t="shared" si="2"/>
        <v>-2.7048291249088918E-2</v>
      </c>
      <c r="H48" s="261">
        <f t="shared" si="2"/>
        <v>-0.15891291063885038</v>
      </c>
      <c r="I48" s="261">
        <f t="shared" si="2"/>
        <v>-0.2859435860955416</v>
      </c>
      <c r="J48" s="261">
        <f>SUMPRODUCT($B41:$G41,POWER(1+J46,-$B40:$G40))</f>
        <v>-0.4083735530425634</v>
      </c>
      <c r="K48" s="261">
        <f>SUMPRODUCT($B41:$G41,POWER(1+K46,-$B40:$G40))</f>
        <v>-0.52642244014705097</v>
      </c>
      <c r="L48" s="261">
        <f>SUMPRODUCT($B41:$G41,POWER(1+L46,-$B40:$G40))</f>
        <v>-0.64029718858353479</v>
      </c>
      <c r="M48" s="261">
        <f>SUMPRODUCT($B41:$G41,POWER(1+M46,-$B40:$G40))</f>
        <v>-0.75019290123456728</v>
      </c>
      <c r="N48" s="261">
        <f>SUMPRODUCT($B41:$G41,POWER(1+N46,-$B40:$G40))</f>
        <v>-0.85629362774682316</v>
      </c>
    </row>
    <row r="61" spans="1:2" ht="15" x14ac:dyDescent="0.15">
      <c r="A61" s="8" t="s">
        <v>370</v>
      </c>
    </row>
    <row r="62" spans="1:2" x14ac:dyDescent="0.15">
      <c r="A62" s="7" t="s">
        <v>450</v>
      </c>
    </row>
    <row r="63" spans="1:2" x14ac:dyDescent="0.15">
      <c r="A63" s="3" t="s">
        <v>359</v>
      </c>
      <c r="B63" s="55">
        <v>8.0000000000000002E-3</v>
      </c>
    </row>
    <row r="64" spans="1:2" x14ac:dyDescent="0.15">
      <c r="A64" s="3" t="s">
        <v>452</v>
      </c>
      <c r="B64" s="3">
        <v>3</v>
      </c>
    </row>
    <row r="65" spans="1:3" x14ac:dyDescent="0.15">
      <c r="A65" s="3" t="s">
        <v>453</v>
      </c>
      <c r="B65" s="50">
        <f>POWER(1+B63,12/B64)-1</f>
        <v>3.2386052096000206E-2</v>
      </c>
    </row>
    <row r="67" spans="1:3" x14ac:dyDescent="0.15">
      <c r="A67" s="7" t="s">
        <v>451</v>
      </c>
    </row>
    <row r="68" spans="1:3" x14ac:dyDescent="0.15">
      <c r="A68" s="3" t="s">
        <v>359</v>
      </c>
      <c r="B68" s="55">
        <v>1.6E-2</v>
      </c>
    </row>
    <row r="69" spans="1:3" x14ac:dyDescent="0.15">
      <c r="A69" s="3" t="s">
        <v>452</v>
      </c>
      <c r="B69" s="3">
        <v>6</v>
      </c>
    </row>
    <row r="70" spans="1:3" x14ac:dyDescent="0.15">
      <c r="A70" s="3" t="s">
        <v>453</v>
      </c>
      <c r="B70" s="50">
        <f>POWER(1+B68,12/B69)-1</f>
        <v>3.2256000000000062E-2</v>
      </c>
    </row>
    <row r="72" spans="1:3" ht="15" x14ac:dyDescent="0.15">
      <c r="A72" s="8" t="s">
        <v>372</v>
      </c>
      <c r="B72" s="521" t="s">
        <v>447</v>
      </c>
      <c r="C72" s="521"/>
    </row>
    <row r="73" spans="1:3" x14ac:dyDescent="0.15">
      <c r="A73" s="3" t="s">
        <v>435</v>
      </c>
      <c r="B73" s="520">
        <v>10000000</v>
      </c>
      <c r="C73" s="520"/>
    </row>
    <row r="74" spans="1:3" x14ac:dyDescent="0.15">
      <c r="A74" s="3" t="s">
        <v>439</v>
      </c>
      <c r="B74" s="520">
        <v>10019745</v>
      </c>
      <c r="C74" s="520"/>
    </row>
    <row r="75" spans="1:3" x14ac:dyDescent="0.15">
      <c r="A75" s="3" t="s">
        <v>448</v>
      </c>
      <c r="B75" s="3">
        <v>24</v>
      </c>
    </row>
    <row r="77" spans="1:3" x14ac:dyDescent="0.15">
      <c r="A77" s="3" t="s">
        <v>449</v>
      </c>
      <c r="B77" s="112">
        <f>(B74-B73)/B73</f>
        <v>1.9745000000000001E-3</v>
      </c>
    </row>
    <row r="78" spans="1:3" x14ac:dyDescent="0.15">
      <c r="A78" s="3" t="s">
        <v>442</v>
      </c>
      <c r="B78" s="50">
        <f>POWER(1+B77,365/B75)-1</f>
        <v>3.0453758172704237E-2</v>
      </c>
    </row>
    <row r="80" spans="1:3" ht="15" x14ac:dyDescent="0.15">
      <c r="A80" s="8" t="s">
        <v>377</v>
      </c>
    </row>
    <row r="81" spans="1:5" x14ac:dyDescent="0.15">
      <c r="A81" s="3" t="s">
        <v>435</v>
      </c>
      <c r="B81" s="3">
        <v>100</v>
      </c>
    </row>
    <row r="82" spans="1:5" x14ac:dyDescent="0.15">
      <c r="A82" s="3" t="s">
        <v>433</v>
      </c>
      <c r="B82" s="80">
        <v>7.0000000000000007E-2</v>
      </c>
    </row>
    <row r="83" spans="1:5" x14ac:dyDescent="0.15">
      <c r="A83" s="3" t="s">
        <v>438</v>
      </c>
      <c r="B83" s="3">
        <v>4</v>
      </c>
    </row>
    <row r="85" spans="1:5" x14ac:dyDescent="0.15">
      <c r="A85" s="7" t="s">
        <v>454</v>
      </c>
    </row>
    <row r="86" spans="1:5" x14ac:dyDescent="0.15">
      <c r="A86" s="83" t="s">
        <v>927</v>
      </c>
      <c r="B86" s="83" t="s">
        <v>456</v>
      </c>
      <c r="C86" s="83" t="s">
        <v>458</v>
      </c>
      <c r="D86" s="83" t="s">
        <v>459</v>
      </c>
      <c r="E86" s="83" t="s">
        <v>457</v>
      </c>
    </row>
    <row r="87" spans="1:5" x14ac:dyDescent="0.15">
      <c r="A87" s="82">
        <v>1</v>
      </c>
      <c r="B87" s="74">
        <f>B81</f>
        <v>100</v>
      </c>
      <c r="C87" s="74">
        <v>29.5228</v>
      </c>
      <c r="D87" s="74">
        <f>C87-E87</f>
        <v>22.5228</v>
      </c>
      <c r="E87" s="74">
        <f>B87*$B$82</f>
        <v>7.0000000000000009</v>
      </c>
    </row>
    <row r="88" spans="1:5" x14ac:dyDescent="0.15">
      <c r="A88" s="82">
        <f>A87+1</f>
        <v>2</v>
      </c>
      <c r="B88" s="74">
        <f>B87-D87</f>
        <v>77.477199999999996</v>
      </c>
      <c r="C88" s="74">
        <f>C87</f>
        <v>29.5228</v>
      </c>
      <c r="D88" s="74">
        <f>C88-E88</f>
        <v>24.099395999999999</v>
      </c>
      <c r="E88" s="74">
        <f>B88*$B$82</f>
        <v>5.4234040000000006</v>
      </c>
    </row>
    <row r="89" spans="1:5" x14ac:dyDescent="0.15">
      <c r="A89" s="82">
        <f>A88+1</f>
        <v>3</v>
      </c>
      <c r="B89" s="74">
        <f>B88-D88</f>
        <v>53.377803999999998</v>
      </c>
      <c r="C89" s="74">
        <f>C88</f>
        <v>29.5228</v>
      </c>
      <c r="D89" s="74">
        <f>C89-E89</f>
        <v>25.786353720000001</v>
      </c>
      <c r="E89" s="74">
        <f>B89*$B$82</f>
        <v>3.73644628</v>
      </c>
    </row>
    <row r="90" spans="1:5" x14ac:dyDescent="0.15">
      <c r="A90" s="82">
        <f>A89+1</f>
        <v>4</v>
      </c>
      <c r="B90" s="74">
        <f>B89-D89</f>
        <v>27.591450279999997</v>
      </c>
      <c r="C90" s="74">
        <f>C89</f>
        <v>29.5228</v>
      </c>
      <c r="D90" s="74">
        <f>C90-E90</f>
        <v>27.591398480399999</v>
      </c>
      <c r="E90" s="74">
        <f>B90*$B$82</f>
        <v>1.9314015195999998</v>
      </c>
    </row>
    <row r="91" spans="1:5" x14ac:dyDescent="0.15">
      <c r="D91" s="74">
        <f>SUM(D87:D90)</f>
        <v>99.999948200399999</v>
      </c>
    </row>
    <row r="92" spans="1:5" x14ac:dyDescent="0.15">
      <c r="B92" s="262"/>
    </row>
    <row r="94" spans="1:5" x14ac:dyDescent="0.15">
      <c r="A94" s="7" t="s">
        <v>455</v>
      </c>
    </row>
    <row r="95" spans="1:5" x14ac:dyDescent="0.15">
      <c r="A95" s="83" t="s">
        <v>927</v>
      </c>
      <c r="B95" s="83" t="s">
        <v>456</v>
      </c>
      <c r="C95" s="83" t="s">
        <v>458</v>
      </c>
      <c r="D95" s="83" t="s">
        <v>459</v>
      </c>
      <c r="E95" s="83" t="s">
        <v>457</v>
      </c>
    </row>
    <row r="96" spans="1:5" x14ac:dyDescent="0.15">
      <c r="A96" s="82">
        <v>1</v>
      </c>
      <c r="B96" s="74">
        <f>B81</f>
        <v>100</v>
      </c>
      <c r="C96" s="74">
        <f>D96+E96</f>
        <v>32</v>
      </c>
      <c r="D96" s="74">
        <v>25</v>
      </c>
      <c r="E96" s="74">
        <f>B96*$B$82</f>
        <v>7.0000000000000009</v>
      </c>
    </row>
    <row r="97" spans="1:5" x14ac:dyDescent="0.15">
      <c r="A97" s="82">
        <f>A96+1</f>
        <v>2</v>
      </c>
      <c r="B97" s="74">
        <f>B96-D96</f>
        <v>75</v>
      </c>
      <c r="C97" s="74">
        <f>D97+E97</f>
        <v>30.25</v>
      </c>
      <c r="D97" s="74">
        <f>D96</f>
        <v>25</v>
      </c>
      <c r="E97" s="74">
        <f>B97*$B$82</f>
        <v>5.2500000000000009</v>
      </c>
    </row>
    <row r="98" spans="1:5" x14ac:dyDescent="0.15">
      <c r="A98" s="82">
        <f>A97+1</f>
        <v>3</v>
      </c>
      <c r="B98" s="74">
        <f>B97-D97</f>
        <v>50</v>
      </c>
      <c r="C98" s="74">
        <f>D98+E98</f>
        <v>28.5</v>
      </c>
      <c r="D98" s="74">
        <f>D97</f>
        <v>25</v>
      </c>
      <c r="E98" s="74">
        <f>B98*$B$82</f>
        <v>3.5000000000000004</v>
      </c>
    </row>
    <row r="99" spans="1:5" x14ac:dyDescent="0.15">
      <c r="A99" s="82">
        <f>A98+1</f>
        <v>4</v>
      </c>
      <c r="B99" s="74">
        <f>B98-D98</f>
        <v>25</v>
      </c>
      <c r="C99" s="74">
        <f>D99+E99</f>
        <v>26.75</v>
      </c>
      <c r="D99" s="74">
        <f>D98</f>
        <v>25</v>
      </c>
      <c r="E99" s="74">
        <f>B99*$B$82</f>
        <v>1.7500000000000002</v>
      </c>
    </row>
    <row r="100" spans="1:5" x14ac:dyDescent="0.15">
      <c r="D100" s="74">
        <f>SUM(D96:D99)</f>
        <v>100</v>
      </c>
    </row>
    <row r="101" spans="1:5" x14ac:dyDescent="0.15">
      <c r="B101" s="262"/>
    </row>
    <row r="104" spans="1:5" ht="15" x14ac:dyDescent="0.15">
      <c r="A104" s="8" t="s">
        <v>380</v>
      </c>
    </row>
    <row r="105" spans="1:5" x14ac:dyDescent="0.15">
      <c r="A105" s="3" t="s">
        <v>460</v>
      </c>
      <c r="B105" s="80">
        <v>0.98</v>
      </c>
      <c r="C105" s="80">
        <v>1.01</v>
      </c>
    </row>
    <row r="106" spans="1:5" x14ac:dyDescent="0.15">
      <c r="A106" s="3" t="s">
        <v>461</v>
      </c>
      <c r="B106" s="80">
        <v>1.08</v>
      </c>
      <c r="C106" s="80">
        <v>1.08</v>
      </c>
    </row>
    <row r="107" spans="1:5" x14ac:dyDescent="0.15">
      <c r="A107" s="3" t="s">
        <v>462</v>
      </c>
      <c r="B107" s="80">
        <v>7.0000000000000007E-2</v>
      </c>
      <c r="C107" s="80">
        <v>7.0000000000000007E-2</v>
      </c>
    </row>
    <row r="108" spans="1:5" x14ac:dyDescent="0.15">
      <c r="A108" s="3" t="s">
        <v>438</v>
      </c>
      <c r="B108" s="102">
        <v>10</v>
      </c>
    </row>
    <row r="110" spans="1:5" x14ac:dyDescent="0.15">
      <c r="A110" s="83" t="s">
        <v>404</v>
      </c>
      <c r="B110" s="83" t="s">
        <v>398</v>
      </c>
      <c r="C110" s="83" t="s">
        <v>398</v>
      </c>
    </row>
    <row r="111" spans="1:5" x14ac:dyDescent="0.15">
      <c r="A111" s="3">
        <v>0</v>
      </c>
      <c r="B111" s="80">
        <f>-B105</f>
        <v>-0.98</v>
      </c>
      <c r="C111" s="80">
        <f>-C105</f>
        <v>-1.01</v>
      </c>
    </row>
    <row r="112" spans="1:5" x14ac:dyDescent="0.15">
      <c r="A112" s="3">
        <v>1</v>
      </c>
      <c r="B112" s="80">
        <f t="shared" ref="B112:C120" si="3">B$107</f>
        <v>7.0000000000000007E-2</v>
      </c>
      <c r="C112" s="80">
        <f t="shared" si="3"/>
        <v>7.0000000000000007E-2</v>
      </c>
    </row>
    <row r="113" spans="1:5" x14ac:dyDescent="0.15">
      <c r="A113" s="3">
        <f>A112+1</f>
        <v>2</v>
      </c>
      <c r="B113" s="80">
        <f t="shared" si="3"/>
        <v>7.0000000000000007E-2</v>
      </c>
      <c r="C113" s="80">
        <f t="shared" si="3"/>
        <v>7.0000000000000007E-2</v>
      </c>
    </row>
    <row r="114" spans="1:5" x14ac:dyDescent="0.15">
      <c r="A114" s="3">
        <f t="shared" ref="A114:A121" si="4">A113+1</f>
        <v>3</v>
      </c>
      <c r="B114" s="80">
        <f t="shared" si="3"/>
        <v>7.0000000000000007E-2</v>
      </c>
      <c r="C114" s="80">
        <f t="shared" si="3"/>
        <v>7.0000000000000007E-2</v>
      </c>
    </row>
    <row r="115" spans="1:5" x14ac:dyDescent="0.15">
      <c r="A115" s="3">
        <f t="shared" si="4"/>
        <v>4</v>
      </c>
      <c r="B115" s="80">
        <f t="shared" si="3"/>
        <v>7.0000000000000007E-2</v>
      </c>
      <c r="C115" s="80">
        <f t="shared" si="3"/>
        <v>7.0000000000000007E-2</v>
      </c>
    </row>
    <row r="116" spans="1:5" x14ac:dyDescent="0.15">
      <c r="A116" s="3">
        <f t="shared" si="4"/>
        <v>5</v>
      </c>
      <c r="B116" s="80">
        <f t="shared" si="3"/>
        <v>7.0000000000000007E-2</v>
      </c>
      <c r="C116" s="80">
        <f t="shared" si="3"/>
        <v>7.0000000000000007E-2</v>
      </c>
    </row>
    <row r="117" spans="1:5" x14ac:dyDescent="0.15">
      <c r="A117" s="3">
        <f t="shared" si="4"/>
        <v>6</v>
      </c>
      <c r="B117" s="80">
        <f t="shared" si="3"/>
        <v>7.0000000000000007E-2</v>
      </c>
      <c r="C117" s="80">
        <f t="shared" si="3"/>
        <v>7.0000000000000007E-2</v>
      </c>
    </row>
    <row r="118" spans="1:5" x14ac:dyDescent="0.15">
      <c r="A118" s="3">
        <f t="shared" si="4"/>
        <v>7</v>
      </c>
      <c r="B118" s="80">
        <f t="shared" si="3"/>
        <v>7.0000000000000007E-2</v>
      </c>
      <c r="C118" s="80">
        <f t="shared" si="3"/>
        <v>7.0000000000000007E-2</v>
      </c>
    </row>
    <row r="119" spans="1:5" x14ac:dyDescent="0.15">
      <c r="A119" s="3">
        <f t="shared" si="4"/>
        <v>8</v>
      </c>
      <c r="B119" s="80">
        <f t="shared" si="3"/>
        <v>7.0000000000000007E-2</v>
      </c>
      <c r="C119" s="80">
        <f t="shared" si="3"/>
        <v>7.0000000000000007E-2</v>
      </c>
    </row>
    <row r="120" spans="1:5" x14ac:dyDescent="0.15">
      <c r="A120" s="3">
        <f t="shared" si="4"/>
        <v>9</v>
      </c>
      <c r="B120" s="80">
        <f t="shared" si="3"/>
        <v>7.0000000000000007E-2</v>
      </c>
      <c r="C120" s="80">
        <f t="shared" si="3"/>
        <v>7.0000000000000007E-2</v>
      </c>
    </row>
    <row r="121" spans="1:5" x14ac:dyDescent="0.15">
      <c r="A121" s="3">
        <f t="shared" si="4"/>
        <v>10</v>
      </c>
      <c r="B121" s="80">
        <f>B$107+B106</f>
        <v>1.1500000000000001</v>
      </c>
      <c r="C121" s="80">
        <f>C$107+C106</f>
        <v>1.1500000000000001</v>
      </c>
    </row>
    <row r="124" spans="1:5" x14ac:dyDescent="0.15">
      <c r="A124" s="3" t="s">
        <v>442</v>
      </c>
      <c r="B124" s="50">
        <f>IRR(B111:B121)</f>
        <v>7.8521990352673043E-2</v>
      </c>
      <c r="C124" s="50">
        <f>IRR(C111:C121)</f>
        <v>7.4223990429296283E-2</v>
      </c>
    </row>
    <row r="126" spans="1:5" ht="15" x14ac:dyDescent="0.15">
      <c r="A126" s="8" t="s">
        <v>382</v>
      </c>
    </row>
    <row r="127" spans="1:5" x14ac:dyDescent="0.15">
      <c r="A127" s="3" t="s">
        <v>460</v>
      </c>
      <c r="B127" s="80">
        <v>0.98</v>
      </c>
      <c r="D127" s="3" t="s">
        <v>465</v>
      </c>
      <c r="E127" s="55">
        <v>3.5000000000000001E-3</v>
      </c>
    </row>
    <row r="128" spans="1:5" x14ac:dyDescent="0.15">
      <c r="A128" s="3" t="s">
        <v>461</v>
      </c>
      <c r="B128" s="80">
        <v>1.08</v>
      </c>
      <c r="D128" s="3" t="s">
        <v>466</v>
      </c>
      <c r="E128" s="55">
        <v>2.5000000000000001E-2</v>
      </c>
    </row>
    <row r="129" spans="1:5" x14ac:dyDescent="0.15">
      <c r="A129" s="3" t="s">
        <v>462</v>
      </c>
      <c r="B129" s="80">
        <v>7.0000000000000007E-2</v>
      </c>
      <c r="D129" s="3" t="s">
        <v>467</v>
      </c>
      <c r="E129" s="55">
        <v>6.0000000000000001E-3</v>
      </c>
    </row>
    <row r="130" spans="1:5" x14ac:dyDescent="0.15">
      <c r="A130" s="3" t="s">
        <v>438</v>
      </c>
      <c r="B130" s="102">
        <v>10</v>
      </c>
    </row>
    <row r="132" spans="1:5" x14ac:dyDescent="0.15">
      <c r="A132" s="83" t="s">
        <v>404</v>
      </c>
      <c r="B132" s="83" t="s">
        <v>463</v>
      </c>
      <c r="C132" s="83" t="s">
        <v>464</v>
      </c>
    </row>
    <row r="133" spans="1:5" x14ac:dyDescent="0.15">
      <c r="A133" s="3">
        <v>0</v>
      </c>
      <c r="B133" s="80">
        <f>-B127</f>
        <v>-0.98</v>
      </c>
      <c r="C133" s="50">
        <f>B133*(1-E127)</f>
        <v>-0.97657000000000005</v>
      </c>
    </row>
    <row r="134" spans="1:5" x14ac:dyDescent="0.15">
      <c r="A134" s="3">
        <v>1</v>
      </c>
      <c r="B134" s="80">
        <f>B$129</f>
        <v>7.0000000000000007E-2</v>
      </c>
      <c r="C134" s="55">
        <f>B134*(1+E$128)</f>
        <v>7.1749999999999994E-2</v>
      </c>
    </row>
    <row r="135" spans="1:5" x14ac:dyDescent="0.15">
      <c r="A135" s="3">
        <f>A134+1</f>
        <v>2</v>
      </c>
      <c r="B135" s="80">
        <f t="shared" ref="B135:B142" si="5">B$129</f>
        <v>7.0000000000000007E-2</v>
      </c>
      <c r="C135" s="55">
        <f t="shared" ref="C135:C142" si="6">B135*(1+E$128)</f>
        <v>7.1749999999999994E-2</v>
      </c>
    </row>
    <row r="136" spans="1:5" x14ac:dyDescent="0.15">
      <c r="A136" s="3">
        <f t="shared" ref="A136:A143" si="7">A135+1</f>
        <v>3</v>
      </c>
      <c r="B136" s="80">
        <f t="shared" si="5"/>
        <v>7.0000000000000007E-2</v>
      </c>
      <c r="C136" s="55">
        <f t="shared" si="6"/>
        <v>7.1749999999999994E-2</v>
      </c>
    </row>
    <row r="137" spans="1:5" x14ac:dyDescent="0.15">
      <c r="A137" s="3">
        <f t="shared" si="7"/>
        <v>4</v>
      </c>
      <c r="B137" s="80">
        <f t="shared" si="5"/>
        <v>7.0000000000000007E-2</v>
      </c>
      <c r="C137" s="55">
        <f t="shared" si="6"/>
        <v>7.1749999999999994E-2</v>
      </c>
    </row>
    <row r="138" spans="1:5" x14ac:dyDescent="0.15">
      <c r="A138" s="3">
        <f t="shared" si="7"/>
        <v>5</v>
      </c>
      <c r="B138" s="80">
        <f t="shared" si="5"/>
        <v>7.0000000000000007E-2</v>
      </c>
      <c r="C138" s="55">
        <f t="shared" si="6"/>
        <v>7.1749999999999994E-2</v>
      </c>
    </row>
    <row r="139" spans="1:5" x14ac:dyDescent="0.15">
      <c r="A139" s="3">
        <f t="shared" si="7"/>
        <v>6</v>
      </c>
      <c r="B139" s="80">
        <f t="shared" si="5"/>
        <v>7.0000000000000007E-2</v>
      </c>
      <c r="C139" s="55">
        <f t="shared" si="6"/>
        <v>7.1749999999999994E-2</v>
      </c>
    </row>
    <row r="140" spans="1:5" x14ac:dyDescent="0.15">
      <c r="A140" s="3">
        <f t="shared" si="7"/>
        <v>7</v>
      </c>
      <c r="B140" s="80">
        <f t="shared" si="5"/>
        <v>7.0000000000000007E-2</v>
      </c>
      <c r="C140" s="55">
        <f t="shared" si="6"/>
        <v>7.1749999999999994E-2</v>
      </c>
    </row>
    <row r="141" spans="1:5" x14ac:dyDescent="0.15">
      <c r="A141" s="3">
        <f t="shared" si="7"/>
        <v>8</v>
      </c>
      <c r="B141" s="80">
        <f t="shared" si="5"/>
        <v>7.0000000000000007E-2</v>
      </c>
      <c r="C141" s="55">
        <f t="shared" si="6"/>
        <v>7.1749999999999994E-2</v>
      </c>
    </row>
    <row r="142" spans="1:5" x14ac:dyDescent="0.15">
      <c r="A142" s="3">
        <f t="shared" si="7"/>
        <v>9</v>
      </c>
      <c r="B142" s="80">
        <f t="shared" si="5"/>
        <v>7.0000000000000007E-2</v>
      </c>
      <c r="C142" s="55">
        <f t="shared" si="6"/>
        <v>7.1749999999999994E-2</v>
      </c>
    </row>
    <row r="143" spans="1:5" x14ac:dyDescent="0.15">
      <c r="A143" s="3">
        <f t="shared" si="7"/>
        <v>10</v>
      </c>
      <c r="B143" s="80">
        <f>B128+B142</f>
        <v>1.1500000000000001</v>
      </c>
      <c r="C143" s="55">
        <f>B128*(1+E129)+C142</f>
        <v>1.1582300000000001</v>
      </c>
    </row>
    <row r="146" spans="1:3" x14ac:dyDescent="0.15">
      <c r="A146" s="3" t="s">
        <v>442</v>
      </c>
      <c r="B146" s="50">
        <f>IRR(B133:B143)</f>
        <v>7.8521990352673043E-2</v>
      </c>
      <c r="C146" s="50">
        <f>IRR(C133:C143)</f>
        <v>8.1196465564861597E-2</v>
      </c>
    </row>
    <row r="148" spans="1:3" ht="15" x14ac:dyDescent="0.15">
      <c r="A148" s="8" t="s">
        <v>384</v>
      </c>
      <c r="B148" s="82" t="s">
        <v>392</v>
      </c>
    </row>
    <row r="149" spans="1:3" x14ac:dyDescent="0.15">
      <c r="A149" s="3" t="s">
        <v>469</v>
      </c>
      <c r="B149" s="3">
        <v>300</v>
      </c>
    </row>
    <row r="150" spans="1:3" x14ac:dyDescent="0.15">
      <c r="A150" s="3" t="s">
        <v>435</v>
      </c>
      <c r="B150" s="3">
        <v>100</v>
      </c>
    </row>
    <row r="151" spans="1:3" x14ac:dyDescent="0.15">
      <c r="A151" s="3" t="s">
        <v>468</v>
      </c>
      <c r="B151" s="3">
        <v>11</v>
      </c>
    </row>
    <row r="152" spans="1:3" x14ac:dyDescent="0.15">
      <c r="A152" s="3" t="s">
        <v>470</v>
      </c>
      <c r="B152" s="3">
        <v>20</v>
      </c>
    </row>
    <row r="154" spans="1:3" x14ac:dyDescent="0.15">
      <c r="A154" s="83" t="s">
        <v>471</v>
      </c>
      <c r="B154" s="83" t="s">
        <v>398</v>
      </c>
      <c r="C154" s="3" t="s">
        <v>1400</v>
      </c>
    </row>
    <row r="155" spans="1:3" x14ac:dyDescent="0.15">
      <c r="A155" s="82">
        <v>0</v>
      </c>
      <c r="B155" s="3">
        <f>B150</f>
        <v>100</v>
      </c>
      <c r="C155" s="3">
        <v>-200</v>
      </c>
    </row>
    <row r="156" spans="1:3" x14ac:dyDescent="0.15">
      <c r="A156" s="82">
        <f>A155+1</f>
        <v>1</v>
      </c>
      <c r="B156" s="3">
        <f>B$151</f>
        <v>11</v>
      </c>
      <c r="C156" s="3">
        <f>B156</f>
        <v>11</v>
      </c>
    </row>
    <row r="157" spans="1:3" x14ac:dyDescent="0.15">
      <c r="A157" s="82">
        <f t="shared" ref="A157:A175" si="8">A156+1</f>
        <v>2</v>
      </c>
      <c r="B157" s="3">
        <f t="shared" ref="B157:B175" si="9">B$151</f>
        <v>11</v>
      </c>
      <c r="C157" s="3">
        <f t="shared" ref="C157:C175" si="10">B157</f>
        <v>11</v>
      </c>
    </row>
    <row r="158" spans="1:3" x14ac:dyDescent="0.15">
      <c r="A158" s="82">
        <f t="shared" si="8"/>
        <v>3</v>
      </c>
      <c r="B158" s="3">
        <f t="shared" si="9"/>
        <v>11</v>
      </c>
      <c r="C158" s="3">
        <f t="shared" si="10"/>
        <v>11</v>
      </c>
    </row>
    <row r="159" spans="1:3" x14ac:dyDescent="0.15">
      <c r="A159" s="82">
        <f t="shared" si="8"/>
        <v>4</v>
      </c>
      <c r="B159" s="3">
        <f t="shared" si="9"/>
        <v>11</v>
      </c>
      <c r="C159" s="3">
        <f t="shared" si="10"/>
        <v>11</v>
      </c>
    </row>
    <row r="160" spans="1:3" x14ac:dyDescent="0.15">
      <c r="A160" s="82">
        <f t="shared" si="8"/>
        <v>5</v>
      </c>
      <c r="B160" s="3">
        <f t="shared" si="9"/>
        <v>11</v>
      </c>
      <c r="C160" s="3">
        <f t="shared" si="10"/>
        <v>11</v>
      </c>
    </row>
    <row r="161" spans="1:3" x14ac:dyDescent="0.15">
      <c r="A161" s="82">
        <f t="shared" si="8"/>
        <v>6</v>
      </c>
      <c r="B161" s="3">
        <f t="shared" si="9"/>
        <v>11</v>
      </c>
      <c r="C161" s="3">
        <f t="shared" si="10"/>
        <v>11</v>
      </c>
    </row>
    <row r="162" spans="1:3" x14ac:dyDescent="0.15">
      <c r="A162" s="82">
        <f t="shared" si="8"/>
        <v>7</v>
      </c>
      <c r="B162" s="3">
        <f t="shared" si="9"/>
        <v>11</v>
      </c>
      <c r="C162" s="3">
        <f t="shared" si="10"/>
        <v>11</v>
      </c>
    </row>
    <row r="163" spans="1:3" x14ac:dyDescent="0.15">
      <c r="A163" s="82">
        <f t="shared" si="8"/>
        <v>8</v>
      </c>
      <c r="B163" s="3">
        <f t="shared" si="9"/>
        <v>11</v>
      </c>
      <c r="C163" s="3">
        <f t="shared" si="10"/>
        <v>11</v>
      </c>
    </row>
    <row r="164" spans="1:3" x14ac:dyDescent="0.15">
      <c r="A164" s="82">
        <f t="shared" si="8"/>
        <v>9</v>
      </c>
      <c r="B164" s="3">
        <f t="shared" si="9"/>
        <v>11</v>
      </c>
      <c r="C164" s="3">
        <f t="shared" si="10"/>
        <v>11</v>
      </c>
    </row>
    <row r="165" spans="1:3" x14ac:dyDescent="0.15">
      <c r="A165" s="82">
        <f t="shared" si="8"/>
        <v>10</v>
      </c>
      <c r="B165" s="3">
        <f t="shared" si="9"/>
        <v>11</v>
      </c>
      <c r="C165" s="3">
        <f t="shared" si="10"/>
        <v>11</v>
      </c>
    </row>
    <row r="166" spans="1:3" x14ac:dyDescent="0.15">
      <c r="A166" s="82">
        <f t="shared" si="8"/>
        <v>11</v>
      </c>
      <c r="B166" s="3">
        <f t="shared" si="9"/>
        <v>11</v>
      </c>
      <c r="C166" s="3">
        <f t="shared" si="10"/>
        <v>11</v>
      </c>
    </row>
    <row r="167" spans="1:3" x14ac:dyDescent="0.15">
      <c r="A167" s="82">
        <f t="shared" si="8"/>
        <v>12</v>
      </c>
      <c r="B167" s="3">
        <f t="shared" si="9"/>
        <v>11</v>
      </c>
      <c r="C167" s="3">
        <f t="shared" si="10"/>
        <v>11</v>
      </c>
    </row>
    <row r="168" spans="1:3" x14ac:dyDescent="0.15">
      <c r="A168" s="82">
        <f t="shared" si="8"/>
        <v>13</v>
      </c>
      <c r="B168" s="3">
        <f t="shared" si="9"/>
        <v>11</v>
      </c>
      <c r="C168" s="3">
        <f t="shared" si="10"/>
        <v>11</v>
      </c>
    </row>
    <row r="169" spans="1:3" x14ac:dyDescent="0.15">
      <c r="A169" s="82">
        <f t="shared" si="8"/>
        <v>14</v>
      </c>
      <c r="B169" s="3">
        <f t="shared" si="9"/>
        <v>11</v>
      </c>
      <c r="C169" s="3">
        <f t="shared" si="10"/>
        <v>11</v>
      </c>
    </row>
    <row r="170" spans="1:3" x14ac:dyDescent="0.15">
      <c r="A170" s="82">
        <f t="shared" si="8"/>
        <v>15</v>
      </c>
      <c r="B170" s="3">
        <f t="shared" si="9"/>
        <v>11</v>
      </c>
      <c r="C170" s="3">
        <f t="shared" si="10"/>
        <v>11</v>
      </c>
    </row>
    <row r="171" spans="1:3" x14ac:dyDescent="0.15">
      <c r="A171" s="82">
        <f t="shared" si="8"/>
        <v>16</v>
      </c>
      <c r="B171" s="3">
        <f t="shared" si="9"/>
        <v>11</v>
      </c>
      <c r="C171" s="3">
        <f t="shared" si="10"/>
        <v>11</v>
      </c>
    </row>
    <row r="172" spans="1:3" x14ac:dyDescent="0.15">
      <c r="A172" s="82">
        <f t="shared" si="8"/>
        <v>17</v>
      </c>
      <c r="B172" s="3">
        <f t="shared" si="9"/>
        <v>11</v>
      </c>
      <c r="C172" s="3">
        <f t="shared" si="10"/>
        <v>11</v>
      </c>
    </row>
    <row r="173" spans="1:3" x14ac:dyDescent="0.15">
      <c r="A173" s="82">
        <f t="shared" si="8"/>
        <v>18</v>
      </c>
      <c r="B173" s="3">
        <f t="shared" si="9"/>
        <v>11</v>
      </c>
      <c r="C173" s="3">
        <f t="shared" si="10"/>
        <v>11</v>
      </c>
    </row>
    <row r="174" spans="1:3" x14ac:dyDescent="0.15">
      <c r="A174" s="82">
        <f t="shared" si="8"/>
        <v>19</v>
      </c>
      <c r="B174" s="3">
        <f t="shared" si="9"/>
        <v>11</v>
      </c>
      <c r="C174" s="3">
        <f t="shared" si="10"/>
        <v>11</v>
      </c>
    </row>
    <row r="175" spans="1:3" x14ac:dyDescent="0.15">
      <c r="A175" s="82">
        <f t="shared" si="8"/>
        <v>20</v>
      </c>
      <c r="B175" s="3">
        <f t="shared" si="9"/>
        <v>11</v>
      </c>
      <c r="C175" s="3">
        <f t="shared" si="10"/>
        <v>11</v>
      </c>
    </row>
    <row r="176" spans="1:3" x14ac:dyDescent="0.15">
      <c r="A176" s="82"/>
    </row>
    <row r="177" spans="1:6" x14ac:dyDescent="0.15">
      <c r="B177" s="102"/>
    </row>
    <row r="178" spans="1:6" x14ac:dyDescent="0.15">
      <c r="A178" s="3" t="s">
        <v>473</v>
      </c>
      <c r="B178" s="56">
        <f>IRR(C155:C175)</f>
        <v>9.2540257515363322E-3</v>
      </c>
    </row>
    <row r="179" spans="1:6" x14ac:dyDescent="0.15">
      <c r="A179" s="3" t="s">
        <v>472</v>
      </c>
      <c r="B179" s="50">
        <f>POWER(1+B178,12)-1</f>
        <v>0.1168783821701227</v>
      </c>
    </row>
    <row r="181" spans="1:6" ht="15" x14ac:dyDescent="0.15">
      <c r="A181" s="8" t="s">
        <v>387</v>
      </c>
    </row>
    <row r="182" spans="1:6" x14ac:dyDescent="0.15">
      <c r="A182" s="3" t="s">
        <v>474</v>
      </c>
      <c r="B182" s="3">
        <v>1000</v>
      </c>
    </row>
    <row r="183" spans="1:6" x14ac:dyDescent="0.15">
      <c r="A183" s="3" t="s">
        <v>941</v>
      </c>
      <c r="B183" s="3">
        <v>1</v>
      </c>
      <c r="C183" s="3">
        <f>B183+1</f>
        <v>2</v>
      </c>
      <c r="D183" s="3">
        <f>C183+1</f>
        <v>3</v>
      </c>
      <c r="E183" s="3">
        <f>D183+1</f>
        <v>4</v>
      </c>
      <c r="F183" s="3">
        <f>E183+1</f>
        <v>5</v>
      </c>
    </row>
    <row r="184" spans="1:6" x14ac:dyDescent="0.15">
      <c r="A184" s="3" t="s">
        <v>398</v>
      </c>
      <c r="B184" s="3">
        <v>232</v>
      </c>
      <c r="C184" s="3">
        <v>2088</v>
      </c>
      <c r="D184" s="3">
        <v>232</v>
      </c>
      <c r="E184" s="3">
        <v>-232</v>
      </c>
      <c r="F184" s="3">
        <v>-927</v>
      </c>
    </row>
    <row r="187" spans="1:6" x14ac:dyDescent="0.15">
      <c r="A187" s="3" t="s">
        <v>442</v>
      </c>
      <c r="B187" s="50">
        <v>-0.15117585629634148</v>
      </c>
      <c r="C187" s="50">
        <v>0.48276342694261498</v>
      </c>
    </row>
    <row r="188" spans="1:6" x14ac:dyDescent="0.15">
      <c r="A188" s="3" t="s">
        <v>516</v>
      </c>
      <c r="B188" s="189">
        <f>NPV(B187,B184:F184)</f>
        <v>1000.0000891968286</v>
      </c>
      <c r="C188" s="189">
        <f>NPV(C187,B184:F184)</f>
        <v>999.9995007393544</v>
      </c>
    </row>
    <row r="191" spans="1:6" ht="15" x14ac:dyDescent="0.15">
      <c r="A191" s="8" t="s">
        <v>391</v>
      </c>
    </row>
    <row r="192" spans="1:6" x14ac:dyDescent="0.15">
      <c r="A192" s="3" t="s">
        <v>474</v>
      </c>
      <c r="B192" s="3">
        <v>1000</v>
      </c>
    </row>
    <row r="193" spans="1:7" x14ac:dyDescent="0.15">
      <c r="A193" s="3" t="s">
        <v>941</v>
      </c>
      <c r="C193" s="3">
        <v>1</v>
      </c>
      <c r="D193" s="3">
        <f>C193+1</f>
        <v>2</v>
      </c>
      <c r="E193" s="3">
        <f>D193+1</f>
        <v>3</v>
      </c>
      <c r="F193" s="3">
        <f>E193+1</f>
        <v>4</v>
      </c>
      <c r="G193" s="3">
        <f>F193+1</f>
        <v>5</v>
      </c>
    </row>
    <row r="194" spans="1:7" x14ac:dyDescent="0.15">
      <c r="A194" s="3" t="s">
        <v>398</v>
      </c>
      <c r="B194" s="3">
        <f>B196</f>
        <v>-1000</v>
      </c>
      <c r="C194" s="3">
        <v>300</v>
      </c>
      <c r="D194" s="3">
        <v>400</v>
      </c>
      <c r="E194" s="3">
        <v>100</v>
      </c>
      <c r="F194" s="3">
        <v>200</v>
      </c>
      <c r="G194" s="3">
        <v>500</v>
      </c>
    </row>
    <row r="195" spans="1:7" x14ac:dyDescent="0.15">
      <c r="A195" s="3" t="s">
        <v>1448</v>
      </c>
      <c r="C195" s="13">
        <f>C194*(1+$B$199)^($G$193-C193)</f>
        <v>439.23000000000013</v>
      </c>
      <c r="D195" s="13">
        <f>D194*(1+$B$199)^($G$193-D193)</f>
        <v>532.4000000000002</v>
      </c>
      <c r="E195" s="13">
        <f>E194*(1+$B$199)^($G$193-E193)</f>
        <v>121.00000000000001</v>
      </c>
      <c r="F195" s="13">
        <f>F194*(1+$B$199)^($G$193-F193)</f>
        <v>220.00000000000003</v>
      </c>
      <c r="G195" s="13">
        <f>G194*(1+$B$199)^($G$193-G193)</f>
        <v>500</v>
      </c>
    </row>
    <row r="196" spans="1:7" x14ac:dyDescent="0.15">
      <c r="A196" s="3" t="s">
        <v>1449</v>
      </c>
      <c r="B196" s="3">
        <f>-B192</f>
        <v>-1000</v>
      </c>
      <c r="C196" s="3">
        <v>0</v>
      </c>
      <c r="D196" s="3">
        <v>0</v>
      </c>
      <c r="E196" s="3">
        <v>0</v>
      </c>
      <c r="F196" s="3">
        <v>0</v>
      </c>
      <c r="G196" s="13">
        <f>SUM(C195:G195)</f>
        <v>1812.6300000000003</v>
      </c>
    </row>
    <row r="199" spans="1:7" x14ac:dyDescent="0.15">
      <c r="A199" s="3" t="s">
        <v>1446</v>
      </c>
      <c r="B199" s="80">
        <v>0.1</v>
      </c>
    </row>
    <row r="200" spans="1:7" x14ac:dyDescent="0.15">
      <c r="A200" s="3" t="s">
        <v>442</v>
      </c>
      <c r="B200" s="50">
        <f>IRR(B194:G194)</f>
        <v>0.1467002803866635</v>
      </c>
      <c r="C200" s="50"/>
    </row>
    <row r="201" spans="1:7" x14ac:dyDescent="0.15">
      <c r="A201" s="3" t="s">
        <v>1447</v>
      </c>
      <c r="B201" s="55">
        <f>IRR(B196:G196)</f>
        <v>0.126320095388472</v>
      </c>
      <c r="C201" s="189"/>
    </row>
    <row r="205" spans="1:7" ht="15" x14ac:dyDescent="0.15">
      <c r="A205" s="8" t="s">
        <v>393</v>
      </c>
    </row>
    <row r="206" spans="1:7" ht="15" x14ac:dyDescent="0.15">
      <c r="A206" s="8"/>
    </row>
    <row r="207" spans="1:7" x14ac:dyDescent="0.15">
      <c r="A207" s="3" t="s">
        <v>927</v>
      </c>
      <c r="B207" s="3">
        <v>1</v>
      </c>
      <c r="C207" s="3">
        <v>2</v>
      </c>
      <c r="D207" s="108" t="s">
        <v>1610</v>
      </c>
      <c r="E207" s="108" t="s">
        <v>1611</v>
      </c>
    </row>
    <row r="208" spans="1:7" x14ac:dyDescent="0.15">
      <c r="A208" s="3" t="s">
        <v>1608</v>
      </c>
      <c r="B208" s="3">
        <v>0</v>
      </c>
      <c r="C208" s="3">
        <v>121</v>
      </c>
      <c r="D208" s="68">
        <f>NPV(5%,B208:C208)</f>
        <v>109.75056689342402</v>
      </c>
      <c r="E208" s="68">
        <f>NPV(10%,B208:C208)</f>
        <v>99.999999999999986</v>
      </c>
    </row>
    <row r="209" spans="1:6" x14ac:dyDescent="0.15">
      <c r="A209" s="3" t="s">
        <v>1609</v>
      </c>
      <c r="B209" s="3">
        <v>10</v>
      </c>
      <c r="C209" s="3">
        <v>110</v>
      </c>
      <c r="D209" s="68">
        <f>NPV(5%,B209:C209)</f>
        <v>109.297052154195</v>
      </c>
      <c r="E209" s="68">
        <f>NPV(10%,B209:C209)</f>
        <v>99.999999999999986</v>
      </c>
    </row>
    <row r="211" spans="1:6" x14ac:dyDescent="0.15">
      <c r="C211" s="3" t="s">
        <v>1613</v>
      </c>
    </row>
    <row r="212" spans="1:6" x14ac:dyDescent="0.15">
      <c r="C212" s="80">
        <v>0</v>
      </c>
      <c r="D212" s="80">
        <v>0.05</v>
      </c>
      <c r="E212" s="80">
        <v>0.1</v>
      </c>
      <c r="F212" s="80">
        <v>0.15</v>
      </c>
    </row>
    <row r="213" spans="1:6" x14ac:dyDescent="0.15">
      <c r="A213" s="3" t="s">
        <v>1612</v>
      </c>
      <c r="B213" s="3">
        <v>0</v>
      </c>
      <c r="C213" s="3">
        <f>$B$209*(1+C212)+$C$209</f>
        <v>120</v>
      </c>
      <c r="D213" s="3">
        <f t="shared" ref="D213:F213" si="11">$B$209*(1+D212)+$C$209</f>
        <v>120.5</v>
      </c>
      <c r="E213" s="263">
        <f t="shared" si="11"/>
        <v>121</v>
      </c>
      <c r="F213" s="3">
        <f t="shared" si="11"/>
        <v>121.5</v>
      </c>
    </row>
  </sheetData>
  <mergeCells count="3">
    <mergeCell ref="B73:C73"/>
    <mergeCell ref="B74:C74"/>
    <mergeCell ref="B72:C72"/>
  </mergeCells>
  <phoneticPr fontId="4" type="noConversion"/>
  <pageMargins left="0.78740157480314965" right="0.78740157480314965" top="0.98425196850393704" bottom="0.98425196850393704" header="0.51181102362204722" footer="0.51181102362204722"/>
  <pageSetup paperSize="9" scale="62" fitToHeight="10"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8">
    <pageSetUpPr fitToPage="1"/>
  </sheetPr>
  <dimension ref="A1:O43"/>
  <sheetViews>
    <sheetView showGridLines="0" zoomScale="85" zoomScaleNormal="130" zoomScalePageLayoutView="130" workbookViewId="0">
      <selection activeCell="B29" sqref="B29"/>
    </sheetView>
  </sheetViews>
  <sheetFormatPr baseColWidth="10" defaultColWidth="11" defaultRowHeight="14" x14ac:dyDescent="0.15"/>
  <cols>
    <col min="1" max="1" width="24.83203125" style="3" bestFit="1" customWidth="1"/>
    <col min="2" max="2" width="11.1640625" style="3" customWidth="1"/>
    <col min="3" max="5" width="7.1640625" style="3" customWidth="1"/>
    <col min="6" max="6" width="7.83203125" style="3" customWidth="1"/>
    <col min="7" max="12" width="7.1640625" style="3" customWidth="1"/>
    <col min="13" max="13" width="8.5" style="3" customWidth="1"/>
    <col min="14" max="14" width="7.83203125" style="3" customWidth="1"/>
    <col min="15" max="16384" width="11" style="3"/>
  </cols>
  <sheetData>
    <row r="1" spans="1:15" ht="15" x14ac:dyDescent="0.15">
      <c r="A1" s="1" t="s">
        <v>1512</v>
      </c>
    </row>
    <row r="2" spans="1:15" x14ac:dyDescent="0.15">
      <c r="A2" s="359"/>
      <c r="B2" s="369">
        <v>44286</v>
      </c>
      <c r="C2" s="369">
        <f>+B2+30</f>
        <v>44316</v>
      </c>
      <c r="D2" s="369">
        <f t="shared" ref="D2:N2" si="0">+C2+30</f>
        <v>44346</v>
      </c>
      <c r="E2" s="369">
        <f t="shared" si="0"/>
        <v>44376</v>
      </c>
      <c r="F2" s="369">
        <f t="shared" si="0"/>
        <v>44406</v>
      </c>
      <c r="G2" s="369">
        <f t="shared" si="0"/>
        <v>44436</v>
      </c>
      <c r="H2" s="369">
        <f t="shared" si="0"/>
        <v>44466</v>
      </c>
      <c r="I2" s="369">
        <f t="shared" si="0"/>
        <v>44496</v>
      </c>
      <c r="J2" s="369">
        <f t="shared" si="0"/>
        <v>44526</v>
      </c>
      <c r="K2" s="369">
        <f t="shared" si="0"/>
        <v>44556</v>
      </c>
      <c r="L2" s="369">
        <f t="shared" si="0"/>
        <v>44586</v>
      </c>
      <c r="M2" s="369">
        <f t="shared" si="0"/>
        <v>44616</v>
      </c>
      <c r="N2" s="369">
        <f t="shared" si="0"/>
        <v>44646</v>
      </c>
    </row>
    <row r="3" spans="1:15" x14ac:dyDescent="0.15">
      <c r="A3" s="3" t="s">
        <v>1511</v>
      </c>
      <c r="B3" s="478">
        <v>572</v>
      </c>
      <c r="C3" s="478">
        <v>626</v>
      </c>
      <c r="D3" s="478">
        <v>657</v>
      </c>
      <c r="E3" s="478">
        <v>664</v>
      </c>
      <c r="F3" s="478">
        <v>674</v>
      </c>
      <c r="G3" s="478">
        <v>647</v>
      </c>
      <c r="H3" s="478">
        <v>630</v>
      </c>
      <c r="I3" s="478">
        <v>683</v>
      </c>
      <c r="J3" s="478">
        <v>698</v>
      </c>
      <c r="K3" s="478">
        <v>727</v>
      </c>
      <c r="L3" s="478">
        <v>732</v>
      </c>
      <c r="M3" s="478">
        <v>626</v>
      </c>
      <c r="N3" s="478">
        <v>650</v>
      </c>
      <c r="O3" s="254"/>
    </row>
    <row r="4" spans="1:15" x14ac:dyDescent="0.15">
      <c r="A4" s="183" t="s">
        <v>1367</v>
      </c>
      <c r="B4" s="370">
        <v>6103</v>
      </c>
      <c r="C4" s="370">
        <v>6270</v>
      </c>
      <c r="D4" s="370">
        <v>6489</v>
      </c>
      <c r="E4" s="370">
        <v>6554</v>
      </c>
      <c r="F4" s="370">
        <v>6613</v>
      </c>
      <c r="G4" s="370">
        <v>6759</v>
      </c>
      <c r="H4" s="370">
        <v>6518</v>
      </c>
      <c r="I4" s="370">
        <v>6893</v>
      </c>
      <c r="J4" s="370">
        <v>6882</v>
      </c>
      <c r="K4" s="370">
        <v>7153</v>
      </c>
      <c r="L4" s="370">
        <v>7099</v>
      </c>
      <c r="M4" s="370">
        <v>6396</v>
      </c>
      <c r="N4" s="370">
        <v>6684</v>
      </c>
    </row>
    <row r="5" spans="1:15" x14ac:dyDescent="0.15">
      <c r="A5" s="3" t="s">
        <v>714</v>
      </c>
    </row>
    <row r="6" spans="1:15" x14ac:dyDescent="0.15">
      <c r="A6" s="3" t="s">
        <v>1513</v>
      </c>
      <c r="B6" s="67">
        <f>N3/B3-1</f>
        <v>0.13636363636363646</v>
      </c>
    </row>
    <row r="7" spans="1:15" x14ac:dyDescent="0.15">
      <c r="A7" s="3" t="s">
        <v>476</v>
      </c>
      <c r="B7" s="67">
        <f>N4/B4-1</f>
        <v>9.5199082418482739E-2</v>
      </c>
    </row>
    <row r="9" spans="1:15" x14ac:dyDescent="0.15">
      <c r="A9" s="3" t="s">
        <v>477</v>
      </c>
    </row>
    <row r="10" spans="1:15" x14ac:dyDescent="0.15">
      <c r="A10" s="255" t="s">
        <v>1511</v>
      </c>
      <c r="B10" s="50"/>
      <c r="C10" s="50">
        <f>(C3-B3)/B3</f>
        <v>9.4405594405594401E-2</v>
      </c>
      <c r="D10" s="50">
        <f t="shared" ref="D10:N11" si="1">(D3-C3)/C3</f>
        <v>4.9520766773162937E-2</v>
      </c>
      <c r="E10" s="50">
        <f t="shared" si="1"/>
        <v>1.06544901065449E-2</v>
      </c>
      <c r="F10" s="50">
        <f t="shared" si="1"/>
        <v>1.5060240963855422E-2</v>
      </c>
      <c r="G10" s="50">
        <f t="shared" si="1"/>
        <v>-4.0059347181008904E-2</v>
      </c>
      <c r="H10" s="50">
        <f t="shared" si="1"/>
        <v>-2.6275115919629059E-2</v>
      </c>
      <c r="I10" s="50">
        <f t="shared" si="1"/>
        <v>8.4126984126984133E-2</v>
      </c>
      <c r="J10" s="50">
        <f t="shared" si="1"/>
        <v>2.1961932650073207E-2</v>
      </c>
      <c r="K10" s="50">
        <f t="shared" si="1"/>
        <v>4.1547277936962751E-2</v>
      </c>
      <c r="L10" s="50">
        <f t="shared" si="1"/>
        <v>6.8775790921595595E-3</v>
      </c>
      <c r="M10" s="50">
        <f t="shared" si="1"/>
        <v>-0.1448087431693989</v>
      </c>
      <c r="N10" s="50">
        <f t="shared" si="1"/>
        <v>3.8338658146964855E-2</v>
      </c>
    </row>
    <row r="11" spans="1:15" x14ac:dyDescent="0.15">
      <c r="A11" s="255" t="s">
        <v>1367</v>
      </c>
      <c r="B11" s="50"/>
      <c r="C11" s="50">
        <f>(C4-B4)/B4</f>
        <v>2.7363591676224808E-2</v>
      </c>
      <c r="D11" s="50">
        <f t="shared" si="1"/>
        <v>3.4928229665071774E-2</v>
      </c>
      <c r="E11" s="50">
        <f t="shared" si="1"/>
        <v>1.001695176452458E-2</v>
      </c>
      <c r="F11" s="50">
        <f t="shared" si="1"/>
        <v>9.002136100091547E-3</v>
      </c>
      <c r="G11" s="50">
        <f t="shared" si="1"/>
        <v>2.2077725691819143E-2</v>
      </c>
      <c r="H11" s="50">
        <f t="shared" si="1"/>
        <v>-3.5656162154164818E-2</v>
      </c>
      <c r="I11" s="50">
        <f t="shared" si="1"/>
        <v>5.7532985578398282E-2</v>
      </c>
      <c r="J11" s="50">
        <f t="shared" si="1"/>
        <v>-1.5958218482518497E-3</v>
      </c>
      <c r="K11" s="50">
        <f t="shared" si="1"/>
        <v>3.937808776518454E-2</v>
      </c>
      <c r="L11" s="50">
        <f t="shared" si="1"/>
        <v>-7.5492800223682368E-3</v>
      </c>
      <c r="M11" s="50">
        <f t="shared" si="1"/>
        <v>-9.9028032117199599E-2</v>
      </c>
      <c r="N11" s="50">
        <f t="shared" si="1"/>
        <v>4.5028142589118199E-2</v>
      </c>
    </row>
    <row r="13" spans="1:15" x14ac:dyDescent="0.15">
      <c r="A13" s="3" t="s">
        <v>1514</v>
      </c>
      <c r="B13" s="256">
        <f>STDEV(C10:N10)</f>
        <v>6.3147628532081501E-2</v>
      </c>
    </row>
    <row r="14" spans="1:15" x14ac:dyDescent="0.15">
      <c r="A14" s="3" t="s">
        <v>486</v>
      </c>
      <c r="B14" s="68">
        <f>LINEST(C10:N10,C11:N11,TRUE,FALSE)</f>
        <v>1.3018690989096702</v>
      </c>
    </row>
    <row r="15" spans="1:15" x14ac:dyDescent="0.15">
      <c r="A15" s="257" t="s">
        <v>478</v>
      </c>
    </row>
    <row r="16" spans="1:15" x14ac:dyDescent="0.15">
      <c r="C16" s="3">
        <f>(C10-AVERAGE($C10:$N10))*(C$11-AVERAGE($C$11:$N$11))</f>
        <v>1.5463289308917973E-3</v>
      </c>
      <c r="D16" s="3">
        <f t="shared" ref="D16:N17" si="2">(D10-AVERAGE($C10:$N10))*(D$11-AVERAGE($C$11:$N$11))</f>
        <v>9.7696173929242951E-4</v>
      </c>
      <c r="E16" s="3">
        <f t="shared" si="2"/>
        <v>-3.0520674340354638E-6</v>
      </c>
      <c r="F16" s="3">
        <f t="shared" si="2"/>
        <v>1.3313687099146888E-6</v>
      </c>
      <c r="G16" s="3">
        <f t="shared" si="2"/>
        <v>-7.1736525778034283E-4</v>
      </c>
      <c r="H16" s="3">
        <f t="shared" si="2"/>
        <v>1.7155040420612612E-3</v>
      </c>
      <c r="I16" s="3">
        <f t="shared" si="2"/>
        <v>3.5095557522049942E-3</v>
      </c>
      <c r="J16" s="3">
        <f t="shared" si="2"/>
        <v>-9.3999254278194345E-5</v>
      </c>
      <c r="K16" s="3">
        <f t="shared" si="2"/>
        <v>8.9465889412961236E-4</v>
      </c>
      <c r="L16" s="3">
        <f t="shared" si="2"/>
        <v>9.180212989749284E-5</v>
      </c>
      <c r="M16" s="3">
        <f t="shared" si="2"/>
        <v>1.6920621160533569E-2</v>
      </c>
      <c r="N16" s="3">
        <f t="shared" si="2"/>
        <v>9.4080282594807363E-4</v>
      </c>
    </row>
    <row r="17" spans="1:14" x14ac:dyDescent="0.15">
      <c r="C17" s="3">
        <f>(C11-AVERAGE($C11:$N11))*(C$11-AVERAGE($C$11:$N$11))</f>
        <v>3.5741334702401906E-4</v>
      </c>
      <c r="D17" s="3">
        <f t="shared" si="2"/>
        <v>7.0066178803530963E-4</v>
      </c>
      <c r="E17" s="3">
        <f t="shared" si="2"/>
        <v>2.4296668767593548E-6</v>
      </c>
      <c r="F17" s="3">
        <f t="shared" si="2"/>
        <v>2.9585245771041554E-7</v>
      </c>
      <c r="G17" s="3">
        <f t="shared" si="2"/>
        <v>1.8549112893973839E-4</v>
      </c>
      <c r="H17" s="3">
        <f t="shared" si="2"/>
        <v>1.9460780855993474E-3</v>
      </c>
      <c r="I17" s="3">
        <f t="shared" si="2"/>
        <v>2.4083333143488615E-3</v>
      </c>
      <c r="J17" s="3">
        <f t="shared" si="2"/>
        <v>1.0108361453213165E-4</v>
      </c>
      <c r="K17" s="3">
        <f t="shared" si="2"/>
        <v>9.5603866225353108E-4</v>
      </c>
      <c r="L17" s="3">
        <f t="shared" si="2"/>
        <v>2.5623982936205891E-4</v>
      </c>
      <c r="M17" s="3">
        <f t="shared" si="2"/>
        <v>1.1553292865899088E-2</v>
      </c>
      <c r="N17" s="3">
        <f t="shared" si="2"/>
        <v>1.3373597581469545E-3</v>
      </c>
    </row>
    <row r="18" spans="1:14" x14ac:dyDescent="0.15">
      <c r="A18" s="3" t="s">
        <v>486</v>
      </c>
      <c r="B18" s="68">
        <f>SUM(C16:N16)/SUM(C17:N17)</f>
        <v>1.3018690989096706</v>
      </c>
    </row>
    <row r="20" spans="1:14" x14ac:dyDescent="0.15">
      <c r="A20" s="3" t="s">
        <v>1368</v>
      </c>
      <c r="B20" s="256">
        <f>STDEV(B11:N11)</f>
        <v>4.2431461219536691E-2</v>
      </c>
    </row>
    <row r="21" spans="1:14" x14ac:dyDescent="0.15">
      <c r="B21" s="50"/>
    </row>
    <row r="22" spans="1:14" x14ac:dyDescent="0.15">
      <c r="A22" s="3" t="s">
        <v>1515</v>
      </c>
      <c r="B22" s="50">
        <f>B18*B20</f>
        <v>5.5240208183298868E-2</v>
      </c>
      <c r="E22" s="258" t="s">
        <v>353</v>
      </c>
    </row>
    <row r="23" spans="1:14" x14ac:dyDescent="0.15">
      <c r="A23" s="3" t="s">
        <v>1516</v>
      </c>
      <c r="B23" s="50">
        <f>SQRT(B13*B13-B22*B22)</f>
        <v>3.0596444059588928E-2</v>
      </c>
      <c r="E23" s="258" t="s">
        <v>353</v>
      </c>
    </row>
    <row r="24" spans="1:14" x14ac:dyDescent="0.15">
      <c r="E24" s="3" t="s">
        <v>1541</v>
      </c>
    </row>
    <row r="25" spans="1:14" ht="15" x14ac:dyDescent="0.15">
      <c r="A25" s="6" t="s">
        <v>580</v>
      </c>
      <c r="B25" s="55">
        <f>B22/B13</f>
        <v>0.87477882332880719</v>
      </c>
    </row>
    <row r="27" spans="1:14" ht="15" x14ac:dyDescent="0.15">
      <c r="A27" s="8" t="s">
        <v>29</v>
      </c>
    </row>
    <row r="29" spans="1:14" s="7" customFormat="1" x14ac:dyDescent="0.15">
      <c r="A29" s="334" t="s">
        <v>30</v>
      </c>
      <c r="B29" s="334">
        <v>2010</v>
      </c>
      <c r="C29" s="334">
        <f t="shared" ref="C29:H29" si="3">B29+1</f>
        <v>2011</v>
      </c>
      <c r="D29" s="334">
        <f t="shared" si="3"/>
        <v>2012</v>
      </c>
      <c r="E29" s="334">
        <f t="shared" si="3"/>
        <v>2013</v>
      </c>
      <c r="F29" s="334">
        <f t="shared" si="3"/>
        <v>2014</v>
      </c>
      <c r="G29" s="334">
        <f t="shared" si="3"/>
        <v>2015</v>
      </c>
      <c r="H29" s="334">
        <f t="shared" si="3"/>
        <v>2016</v>
      </c>
      <c r="I29" s="334">
        <f>H29+1</f>
        <v>2017</v>
      </c>
      <c r="J29" s="334">
        <f>I29+1</f>
        <v>2018</v>
      </c>
      <c r="K29" s="334">
        <f>J29+1</f>
        <v>2019</v>
      </c>
      <c r="L29" s="334">
        <f>K29+1</f>
        <v>2020</v>
      </c>
    </row>
    <row r="30" spans="1:14" x14ac:dyDescent="0.15">
      <c r="A30" s="3" t="s">
        <v>982</v>
      </c>
      <c r="B30" s="3">
        <v>155</v>
      </c>
      <c r="C30" s="3">
        <v>255</v>
      </c>
      <c r="D30" s="3">
        <v>211</v>
      </c>
      <c r="E30" s="3">
        <v>139</v>
      </c>
      <c r="F30" s="3">
        <v>94</v>
      </c>
      <c r="G30" s="3">
        <v>117</v>
      </c>
      <c r="H30" s="3">
        <v>139</v>
      </c>
      <c r="I30" s="3">
        <v>145</v>
      </c>
      <c r="J30" s="3">
        <v>179</v>
      </c>
      <c r="K30" s="3">
        <v>181</v>
      </c>
      <c r="L30" s="3">
        <v>109</v>
      </c>
    </row>
    <row r="31" spans="1:14" x14ac:dyDescent="0.15">
      <c r="A31" s="3" t="s">
        <v>983</v>
      </c>
      <c r="B31" s="3">
        <v>61</v>
      </c>
      <c r="C31" s="3">
        <v>81</v>
      </c>
      <c r="D31" s="3">
        <v>79</v>
      </c>
      <c r="E31" s="3">
        <v>75</v>
      </c>
      <c r="F31" s="3">
        <v>71</v>
      </c>
      <c r="G31" s="3">
        <v>73</v>
      </c>
      <c r="H31" s="3">
        <v>77</v>
      </c>
      <c r="I31" s="3">
        <v>84</v>
      </c>
      <c r="J31" s="3">
        <v>95</v>
      </c>
      <c r="K31" s="3">
        <v>103</v>
      </c>
      <c r="L31" s="3">
        <v>82</v>
      </c>
    </row>
    <row r="32" spans="1:14" x14ac:dyDescent="0.15">
      <c r="A32" s="88" t="s">
        <v>984</v>
      </c>
      <c r="B32" s="88">
        <v>299</v>
      </c>
      <c r="C32" s="88">
        <v>412</v>
      </c>
      <c r="D32" s="88">
        <v>392</v>
      </c>
      <c r="E32" s="88">
        <v>315</v>
      </c>
      <c r="F32" s="88">
        <v>206</v>
      </c>
      <c r="G32" s="88">
        <v>243</v>
      </c>
      <c r="H32" s="88">
        <v>269</v>
      </c>
      <c r="I32" s="88">
        <v>329</v>
      </c>
      <c r="J32" s="88">
        <v>396</v>
      </c>
      <c r="K32" s="88">
        <v>415</v>
      </c>
      <c r="L32" s="88">
        <v>223</v>
      </c>
    </row>
    <row r="34" spans="1:12" x14ac:dyDescent="0.15">
      <c r="A34" s="7" t="s">
        <v>32</v>
      </c>
      <c r="B34" s="7" t="s">
        <v>1731</v>
      </c>
      <c r="D34" s="3" t="s">
        <v>477</v>
      </c>
    </row>
    <row r="35" spans="1:12" x14ac:dyDescent="0.15">
      <c r="A35" s="3" t="s">
        <v>982</v>
      </c>
      <c r="B35" s="116">
        <f>POWER(L30/B30,1/($L$29-$B$29))-1</f>
        <v>-3.4595141818162922E-2</v>
      </c>
      <c r="C35" s="3">
        <f t="shared" ref="C35:L35" si="4">(C30-B30)/B30</f>
        <v>0.64516129032258063</v>
      </c>
      <c r="D35" s="3">
        <f t="shared" si="4"/>
        <v>-0.17254901960784313</v>
      </c>
      <c r="E35" s="3">
        <f t="shared" si="4"/>
        <v>-0.34123222748815168</v>
      </c>
      <c r="F35" s="3">
        <f t="shared" si="4"/>
        <v>-0.32374100719424459</v>
      </c>
      <c r="G35" s="3">
        <f t="shared" si="4"/>
        <v>0.24468085106382978</v>
      </c>
      <c r="H35" s="3">
        <f t="shared" si="4"/>
        <v>0.18803418803418803</v>
      </c>
      <c r="I35" s="3">
        <f t="shared" si="4"/>
        <v>4.3165467625899283E-2</v>
      </c>
      <c r="J35" s="3">
        <f t="shared" si="4"/>
        <v>0.23448275862068965</v>
      </c>
      <c r="K35" s="3">
        <f t="shared" si="4"/>
        <v>1.11731843575419E-2</v>
      </c>
      <c r="L35" s="3">
        <f t="shared" si="4"/>
        <v>-0.39779005524861877</v>
      </c>
    </row>
    <row r="36" spans="1:12" x14ac:dyDescent="0.15">
      <c r="A36" s="3" t="s">
        <v>983</v>
      </c>
      <c r="B36" s="116">
        <f>POWER(L31/B31,1/($L$29-$B$29))-1</f>
        <v>3.0026508490686998E-2</v>
      </c>
      <c r="C36" s="3">
        <f t="shared" ref="C36:L36" si="5">C31/B31-1</f>
        <v>0.32786885245901631</v>
      </c>
      <c r="D36" s="3">
        <f t="shared" si="5"/>
        <v>-2.4691358024691357E-2</v>
      </c>
      <c r="E36" s="3">
        <f t="shared" si="5"/>
        <v>-5.0632911392405111E-2</v>
      </c>
      <c r="F36" s="3">
        <f t="shared" si="5"/>
        <v>-5.3333333333333344E-2</v>
      </c>
      <c r="G36" s="3">
        <f t="shared" si="5"/>
        <v>2.8169014084507005E-2</v>
      </c>
      <c r="H36" s="3">
        <f t="shared" si="5"/>
        <v>5.4794520547945202E-2</v>
      </c>
      <c r="I36" s="3">
        <f t="shared" si="5"/>
        <v>9.0909090909090828E-2</v>
      </c>
      <c r="J36" s="3">
        <f t="shared" si="5"/>
        <v>0.13095238095238093</v>
      </c>
      <c r="K36" s="3">
        <f t="shared" si="5"/>
        <v>8.4210526315789513E-2</v>
      </c>
      <c r="L36" s="3">
        <f t="shared" si="5"/>
        <v>-0.20388349514563109</v>
      </c>
    </row>
    <row r="37" spans="1:12" x14ac:dyDescent="0.15">
      <c r="A37" s="3" t="s">
        <v>984</v>
      </c>
      <c r="B37" s="116">
        <f>POWER(L32/B32,1/($L$29-$B$29))-1</f>
        <v>-2.8901311771897586E-2</v>
      </c>
      <c r="C37" s="3">
        <f t="shared" ref="C37:L37" si="6">C32/B32-1</f>
        <v>0.37792642140468224</v>
      </c>
      <c r="D37" s="3">
        <f t="shared" si="6"/>
        <v>-4.8543689320388328E-2</v>
      </c>
      <c r="E37" s="3">
        <f t="shared" si="6"/>
        <v>-0.1964285714285714</v>
      </c>
      <c r="F37" s="3">
        <f t="shared" si="6"/>
        <v>-0.34603174603174602</v>
      </c>
      <c r="G37" s="3">
        <f t="shared" si="6"/>
        <v>0.17961165048543681</v>
      </c>
      <c r="H37" s="3">
        <f t="shared" si="6"/>
        <v>0.10699588477366251</v>
      </c>
      <c r="I37" s="3">
        <f t="shared" si="6"/>
        <v>0.22304832713754652</v>
      </c>
      <c r="J37" s="3">
        <f t="shared" si="6"/>
        <v>0.20364741641337392</v>
      </c>
      <c r="K37" s="3">
        <f t="shared" si="6"/>
        <v>4.7979797979798011E-2</v>
      </c>
      <c r="L37" s="3">
        <f t="shared" si="6"/>
        <v>-0.46265060240963851</v>
      </c>
    </row>
    <row r="39" spans="1:12" x14ac:dyDescent="0.15">
      <c r="A39" s="7" t="s">
        <v>31</v>
      </c>
    </row>
    <row r="40" spans="1:12" x14ac:dyDescent="0.15">
      <c r="A40" s="3" t="s">
        <v>982</v>
      </c>
      <c r="B40" s="50">
        <f>STDEV(C35:L35)</f>
        <v>0.32930237353055475</v>
      </c>
    </row>
    <row r="41" spans="1:12" x14ac:dyDescent="0.15">
      <c r="A41" s="3" t="s">
        <v>983</v>
      </c>
      <c r="B41" s="50">
        <f>STDEV(C36:L36)</f>
        <v>0.14008373849839756</v>
      </c>
    </row>
    <row r="42" spans="1:12" x14ac:dyDescent="0.15">
      <c r="A42" s="3" t="s">
        <v>984</v>
      </c>
      <c r="B42" s="50">
        <f>STDEV(C37:L37)</f>
        <v>0.26957868167528587</v>
      </c>
    </row>
    <row r="43" spans="1:12" x14ac:dyDescent="0.15">
      <c r="B43" s="260"/>
    </row>
  </sheetData>
  <phoneticPr fontId="4" type="noConversion"/>
  <pageMargins left="0.78740157480314965" right="0.78740157480314965" top="0.98425196850393704" bottom="0.98425196850393704" header="0.51181102362204722" footer="0.51181102362204722"/>
  <pageSetup paperSize="9" scale="83" fitToHeight="4" orientation="landscape"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9">
    <pageSetUpPr fitToPage="1"/>
  </sheetPr>
  <dimension ref="A1:L74"/>
  <sheetViews>
    <sheetView showGridLines="0" workbookViewId="0">
      <selection activeCell="B2" sqref="B2"/>
    </sheetView>
  </sheetViews>
  <sheetFormatPr baseColWidth="10" defaultColWidth="11" defaultRowHeight="14" x14ac:dyDescent="0.15"/>
  <cols>
    <col min="1" max="1" width="26.1640625" style="3" customWidth="1"/>
    <col min="2" max="16384" width="11" style="3"/>
  </cols>
  <sheetData>
    <row r="1" spans="1:2" ht="15" x14ac:dyDescent="0.15">
      <c r="A1" s="1" t="s">
        <v>1235</v>
      </c>
    </row>
    <row r="2" spans="1:2" x14ac:dyDescent="0.15">
      <c r="A2" s="3" t="s">
        <v>479</v>
      </c>
      <c r="B2" s="104">
        <v>0.1</v>
      </c>
    </row>
    <row r="3" spans="1:2" x14ac:dyDescent="0.15">
      <c r="A3" s="3" t="s">
        <v>480</v>
      </c>
      <c r="B3" s="104">
        <v>0.18</v>
      </c>
    </row>
    <row r="6" spans="1:2" x14ac:dyDescent="0.15">
      <c r="A6" s="7" t="s">
        <v>1401</v>
      </c>
    </row>
    <row r="7" spans="1:2" ht="15" x14ac:dyDescent="0.15">
      <c r="A7" s="6" t="s">
        <v>487</v>
      </c>
      <c r="B7" s="104">
        <f>4/18</f>
        <v>0.22222222222222221</v>
      </c>
    </row>
    <row r="9" spans="1:2" x14ac:dyDescent="0.15">
      <c r="A9" s="3" t="s">
        <v>480</v>
      </c>
      <c r="B9" s="104">
        <f>(1-B7)*B3</f>
        <v>0.13999999999999999</v>
      </c>
    </row>
    <row r="10" spans="1:2" x14ac:dyDescent="0.15">
      <c r="B10" s="104"/>
    </row>
    <row r="12" spans="1:2" x14ac:dyDescent="0.15">
      <c r="A12" s="7" t="s">
        <v>1402</v>
      </c>
    </row>
    <row r="13" spans="1:2" ht="15" x14ac:dyDescent="0.15">
      <c r="A13" s="6" t="s">
        <v>488</v>
      </c>
      <c r="B13" s="104">
        <f>5/18</f>
        <v>0.27777777777777779</v>
      </c>
    </row>
    <row r="15" spans="1:2" x14ac:dyDescent="0.15">
      <c r="A15" s="3" t="s">
        <v>480</v>
      </c>
      <c r="B15" s="80">
        <f>B3*(1+B13)</f>
        <v>0.22999999999999998</v>
      </c>
    </row>
    <row r="17" spans="1:12" ht="15" x14ac:dyDescent="0.15">
      <c r="A17" s="8" t="s">
        <v>1237</v>
      </c>
    </row>
    <row r="18" spans="1:12" x14ac:dyDescent="0.15">
      <c r="A18" s="3" t="s">
        <v>1517</v>
      </c>
      <c r="B18" s="67">
        <v>0.13</v>
      </c>
    </row>
    <row r="19" spans="1:12" x14ac:dyDescent="0.15">
      <c r="A19" s="3" t="s">
        <v>33</v>
      </c>
      <c r="B19" s="67">
        <v>0.17</v>
      </c>
    </row>
    <row r="20" spans="1:12" x14ac:dyDescent="0.15">
      <c r="A20" s="3" t="s">
        <v>34</v>
      </c>
      <c r="B20" s="67">
        <v>0.06</v>
      </c>
    </row>
    <row r="21" spans="1:12" x14ac:dyDescent="0.15">
      <c r="A21" s="3" t="s">
        <v>35</v>
      </c>
      <c r="B21" s="67">
        <v>0.1</v>
      </c>
    </row>
    <row r="22" spans="1:12" x14ac:dyDescent="0.15">
      <c r="A22" s="3" t="s">
        <v>1518</v>
      </c>
      <c r="B22" s="102">
        <v>0.3</v>
      </c>
    </row>
    <row r="24" spans="1:12" x14ac:dyDescent="0.15">
      <c r="A24" s="3" t="s">
        <v>1519</v>
      </c>
      <c r="B24" s="67">
        <v>0</v>
      </c>
      <c r="C24" s="67">
        <v>0.1</v>
      </c>
      <c r="D24" s="252">
        <f>B30</f>
        <v>0.1707317073170731</v>
      </c>
      <c r="E24" s="67">
        <v>0.3</v>
      </c>
      <c r="F24" s="67">
        <v>0.4</v>
      </c>
      <c r="G24" s="67">
        <v>0.5</v>
      </c>
      <c r="H24" s="67">
        <v>0.6</v>
      </c>
      <c r="I24" s="67">
        <v>0.7</v>
      </c>
      <c r="J24" s="67">
        <v>0.8</v>
      </c>
      <c r="K24" s="67">
        <v>0.9</v>
      </c>
      <c r="L24" s="67">
        <v>1</v>
      </c>
    </row>
    <row r="25" spans="1:12" x14ac:dyDescent="0.15">
      <c r="A25" s="3" t="s">
        <v>36</v>
      </c>
      <c r="B25" s="67">
        <f>1-B24</f>
        <v>1</v>
      </c>
      <c r="C25" s="67">
        <f t="shared" ref="C25:L25" si="0">1-C24</f>
        <v>0.9</v>
      </c>
      <c r="D25" s="252">
        <f t="shared" si="0"/>
        <v>0.8292682926829269</v>
      </c>
      <c r="E25" s="67">
        <f t="shared" si="0"/>
        <v>0.7</v>
      </c>
      <c r="F25" s="67">
        <f t="shared" si="0"/>
        <v>0.6</v>
      </c>
      <c r="G25" s="67">
        <f t="shared" si="0"/>
        <v>0.5</v>
      </c>
      <c r="H25" s="67">
        <f t="shared" si="0"/>
        <v>0.4</v>
      </c>
      <c r="I25" s="67">
        <f t="shared" si="0"/>
        <v>0.30000000000000004</v>
      </c>
      <c r="J25" s="67">
        <f t="shared" si="0"/>
        <v>0.19999999999999996</v>
      </c>
      <c r="K25" s="67">
        <f t="shared" si="0"/>
        <v>9.9999999999999978E-2</v>
      </c>
      <c r="L25" s="67">
        <f t="shared" si="0"/>
        <v>0</v>
      </c>
    </row>
    <row r="26" spans="1:12" x14ac:dyDescent="0.15">
      <c r="A26" s="3" t="s">
        <v>1520</v>
      </c>
      <c r="B26" s="50">
        <f>SQRT(B25*B25*$B21*$B21+B24*B24*$B19*$B19+2*B24*B25*$B22*$B21*$B19)</f>
        <v>0.1</v>
      </c>
      <c r="C26" s="50">
        <f t="shared" ref="C26:L26" si="1">SQRT(C25*C25*$B21*$B21+C24*C24*$B19*$B19+2*C24*C25*$B22*$B21*$B19)</f>
        <v>9.6472794092427955E-2</v>
      </c>
      <c r="D26" s="253">
        <f t="shared" si="1"/>
        <v>9.57257260831504E-2</v>
      </c>
      <c r="E26" s="50">
        <f t="shared" si="1"/>
        <v>9.8198777996470005E-2</v>
      </c>
      <c r="F26" s="50">
        <f t="shared" si="1"/>
        <v>0.10330537256115968</v>
      </c>
      <c r="G26" s="50">
        <f t="shared" si="1"/>
        <v>0.1107925990308017</v>
      </c>
      <c r="H26" s="50">
        <f t="shared" si="1"/>
        <v>0.12021647141718976</v>
      </c>
      <c r="I26" s="50">
        <f t="shared" si="1"/>
        <v>0.13116020738013492</v>
      </c>
      <c r="J26" s="50">
        <f t="shared" si="1"/>
        <v>0.14327595750857858</v>
      </c>
      <c r="K26" s="50">
        <f t="shared" si="1"/>
        <v>0.15629139451678076</v>
      </c>
      <c r="L26" s="50">
        <f t="shared" si="1"/>
        <v>0.17</v>
      </c>
    </row>
    <row r="27" spans="1:12" x14ac:dyDescent="0.15">
      <c r="A27" s="3" t="s">
        <v>1521</v>
      </c>
      <c r="B27" s="50">
        <f>B25*$B20+B24*$B18</f>
        <v>0.06</v>
      </c>
      <c r="C27" s="50">
        <f t="shared" ref="C27:L27" si="2">C25*$B20+C24*$B18</f>
        <v>6.7000000000000004E-2</v>
      </c>
      <c r="D27" s="253">
        <f t="shared" si="2"/>
        <v>7.1951219512195116E-2</v>
      </c>
      <c r="E27" s="50">
        <f t="shared" si="2"/>
        <v>8.0999999999999989E-2</v>
      </c>
      <c r="F27" s="50">
        <f t="shared" si="2"/>
        <v>8.7999999999999995E-2</v>
      </c>
      <c r="G27" s="50">
        <f t="shared" si="2"/>
        <v>9.5000000000000001E-2</v>
      </c>
      <c r="H27" s="50">
        <f t="shared" si="2"/>
        <v>0.10200000000000001</v>
      </c>
      <c r="I27" s="50">
        <f t="shared" si="2"/>
        <v>0.109</v>
      </c>
      <c r="J27" s="50">
        <f t="shared" si="2"/>
        <v>0.11600000000000001</v>
      </c>
      <c r="K27" s="50">
        <f t="shared" si="2"/>
        <v>0.123</v>
      </c>
      <c r="L27" s="50">
        <f t="shared" si="2"/>
        <v>0.13</v>
      </c>
    </row>
    <row r="29" spans="1:12" x14ac:dyDescent="0.15">
      <c r="A29" s="3" t="s">
        <v>37</v>
      </c>
      <c r="B29" s="67">
        <f>(B19*B19-B22*B21*B19)/(B21*B21+B19*B19-2*B22*B21*B19)</f>
        <v>0.8292682926829269</v>
      </c>
    </row>
    <row r="30" spans="1:12" x14ac:dyDescent="0.15">
      <c r="A30" s="3" t="s">
        <v>1522</v>
      </c>
      <c r="B30" s="104">
        <f>1-B29</f>
        <v>0.1707317073170731</v>
      </c>
    </row>
    <row r="45" spans="1:3" ht="15" x14ac:dyDescent="0.15">
      <c r="A45" s="8" t="s">
        <v>196</v>
      </c>
    </row>
    <row r="46" spans="1:3" x14ac:dyDescent="0.15">
      <c r="A46" s="3" t="s">
        <v>481</v>
      </c>
      <c r="B46" s="5" t="s">
        <v>76</v>
      </c>
      <c r="C46" s="5" t="s">
        <v>77</v>
      </c>
    </row>
    <row r="47" spans="1:3" x14ac:dyDescent="0.15">
      <c r="A47" s="3" t="s">
        <v>482</v>
      </c>
      <c r="B47" s="80">
        <v>0.1</v>
      </c>
      <c r="C47" s="80">
        <v>0.2</v>
      </c>
    </row>
    <row r="48" spans="1:3" x14ac:dyDescent="0.15">
      <c r="A48" s="3" t="s">
        <v>483</v>
      </c>
      <c r="B48" s="80">
        <v>0.15</v>
      </c>
      <c r="C48" s="80">
        <v>0.3</v>
      </c>
    </row>
    <row r="49" spans="1:8" x14ac:dyDescent="0.15">
      <c r="B49" s="80"/>
      <c r="C49" s="80"/>
    </row>
    <row r="50" spans="1:8" x14ac:dyDescent="0.15">
      <c r="A50" s="3" t="s">
        <v>484</v>
      </c>
      <c r="B50" s="80">
        <v>0.25</v>
      </c>
    </row>
    <row r="52" spans="1:8" x14ac:dyDescent="0.15">
      <c r="A52" s="3" t="s">
        <v>485</v>
      </c>
      <c r="C52" s="5" t="s">
        <v>1454</v>
      </c>
      <c r="D52" s="5" t="s">
        <v>94</v>
      </c>
      <c r="E52" s="5" t="s">
        <v>1455</v>
      </c>
      <c r="F52" s="5" t="s">
        <v>1456</v>
      </c>
      <c r="G52" s="5" t="s">
        <v>1457</v>
      </c>
      <c r="H52" s="5" t="s">
        <v>1458</v>
      </c>
    </row>
    <row r="53" spans="1:8" x14ac:dyDescent="0.15">
      <c r="A53" s="3" t="s">
        <v>76</v>
      </c>
      <c r="B53" s="104">
        <v>2</v>
      </c>
      <c r="C53" s="104">
        <v>1</v>
      </c>
      <c r="D53" s="104">
        <f>(C48*C48-B50*B48*C48)/(B48*B48+C48*C48-2*B50*B48*C48)</f>
        <v>0.875</v>
      </c>
      <c r="E53" s="104">
        <v>0.75</v>
      </c>
      <c r="F53" s="104">
        <v>0.5</v>
      </c>
      <c r="G53" s="104">
        <v>0.25</v>
      </c>
      <c r="H53" s="104">
        <v>0</v>
      </c>
    </row>
    <row r="54" spans="1:8" x14ac:dyDescent="0.15">
      <c r="A54" s="3" t="s">
        <v>77</v>
      </c>
      <c r="B54" s="104">
        <f t="shared" ref="B54:H54" si="3">1-B53</f>
        <v>-1</v>
      </c>
      <c r="C54" s="104">
        <f t="shared" si="3"/>
        <v>0</v>
      </c>
      <c r="D54" s="104">
        <f t="shared" si="3"/>
        <v>0.125</v>
      </c>
      <c r="E54" s="104">
        <f t="shared" si="3"/>
        <v>0.25</v>
      </c>
      <c r="F54" s="104">
        <f t="shared" si="3"/>
        <v>0.5</v>
      </c>
      <c r="G54" s="104">
        <f t="shared" si="3"/>
        <v>0.75</v>
      </c>
      <c r="H54" s="104">
        <f t="shared" si="3"/>
        <v>1</v>
      </c>
    </row>
    <row r="55" spans="1:8" x14ac:dyDescent="0.15">
      <c r="A55" s="3" t="s">
        <v>483</v>
      </c>
      <c r="B55" s="50">
        <f t="shared" ref="B55:H55" si="4">SQRT(B53*B53*$B$48*$B$48+B54*B54*$C$48*$C$48+2*B53*B54*$B$50*$B$48*$C$48)</f>
        <v>0.36742346141747673</v>
      </c>
      <c r="C55" s="50">
        <f t="shared" si="4"/>
        <v>0.15</v>
      </c>
      <c r="D55" s="50">
        <f t="shared" si="4"/>
        <v>0.14523687548277814</v>
      </c>
      <c r="E55" s="50">
        <f t="shared" si="4"/>
        <v>0.15</v>
      </c>
      <c r="F55" s="50">
        <f t="shared" si="4"/>
        <v>0.18371173070873834</v>
      </c>
      <c r="G55" s="50">
        <f t="shared" si="4"/>
        <v>0.23717082451262844</v>
      </c>
      <c r="H55" s="50">
        <f t="shared" si="4"/>
        <v>0.3</v>
      </c>
    </row>
    <row r="56" spans="1:8" x14ac:dyDescent="0.15">
      <c r="A56" s="3" t="s">
        <v>482</v>
      </c>
      <c r="B56" s="55">
        <f>$B$47*B53+$C$47*B54</f>
        <v>0</v>
      </c>
      <c r="C56" s="55">
        <f t="shared" ref="C56:H56" si="5">$B$47*C53+$C$47*C54</f>
        <v>0.1</v>
      </c>
      <c r="D56" s="55">
        <f t="shared" si="5"/>
        <v>0.11250000000000002</v>
      </c>
      <c r="E56" s="55">
        <f t="shared" si="5"/>
        <v>0.125</v>
      </c>
      <c r="F56" s="55">
        <f t="shared" si="5"/>
        <v>0.15000000000000002</v>
      </c>
      <c r="G56" s="55">
        <f t="shared" si="5"/>
        <v>0.17500000000000002</v>
      </c>
      <c r="H56" s="55">
        <f t="shared" si="5"/>
        <v>0.2</v>
      </c>
    </row>
    <row r="74" spans="1:1" x14ac:dyDescent="0.15">
      <c r="A74" s="149"/>
    </row>
  </sheetData>
  <phoneticPr fontId="4" type="noConversion"/>
  <pageMargins left="0.78740157480314965" right="0.78740157480314965" top="0.98425196850393704" bottom="0.98425196850393704" header="0.51181102362204722" footer="0.51181102362204722"/>
  <pageSetup paperSize="9" scale="77" fitToHeight="5"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20">
    <pageSetUpPr fitToPage="1"/>
  </sheetPr>
  <dimension ref="A1:F57"/>
  <sheetViews>
    <sheetView showGridLines="0" workbookViewId="0">
      <selection activeCell="D1" sqref="D1"/>
    </sheetView>
  </sheetViews>
  <sheetFormatPr baseColWidth="10" defaultColWidth="11" defaultRowHeight="14" x14ac:dyDescent="0.15"/>
  <cols>
    <col min="1" max="1" width="19.1640625" style="3" bestFit="1" customWidth="1"/>
    <col min="2" max="6" width="13" style="3" customWidth="1"/>
    <col min="7" max="16384" width="11" style="3"/>
  </cols>
  <sheetData>
    <row r="1" spans="1:6" ht="15" x14ac:dyDescent="0.15">
      <c r="A1" s="1" t="s">
        <v>1235</v>
      </c>
    </row>
    <row r="2" spans="1:6" x14ac:dyDescent="0.15">
      <c r="A2" s="3" t="s">
        <v>38</v>
      </c>
      <c r="B2" s="3">
        <v>0.7</v>
      </c>
    </row>
    <row r="3" spans="1:6" x14ac:dyDescent="0.15">
      <c r="A3" s="3" t="s">
        <v>39</v>
      </c>
      <c r="B3" s="3">
        <v>1.1000000000000001</v>
      </c>
    </row>
    <row r="4" spans="1:6" x14ac:dyDescent="0.15">
      <c r="A4" s="3" t="s">
        <v>40</v>
      </c>
      <c r="B4" s="104">
        <v>0.1</v>
      </c>
    </row>
    <row r="5" spans="1:6" x14ac:dyDescent="0.15">
      <c r="A5" s="3" t="s">
        <v>489</v>
      </c>
      <c r="B5" s="104">
        <v>0.05</v>
      </c>
    </row>
    <row r="7" spans="1:6" x14ac:dyDescent="0.15">
      <c r="A7" s="3" t="s">
        <v>41</v>
      </c>
      <c r="B7" s="67">
        <f>B5+B2*(B4-B5)/B3</f>
        <v>8.1818181818181818E-2</v>
      </c>
    </row>
    <row r="9" spans="1:6" ht="15" x14ac:dyDescent="0.15">
      <c r="A9" s="8" t="s">
        <v>1237</v>
      </c>
    </row>
    <row r="10" spans="1:6" x14ac:dyDescent="0.15">
      <c r="A10" s="3" t="s">
        <v>489</v>
      </c>
      <c r="B10" s="55">
        <v>4.0000000000000001E-3</v>
      </c>
    </row>
    <row r="11" spans="1:6" x14ac:dyDescent="0.15">
      <c r="A11" s="3" t="s">
        <v>492</v>
      </c>
      <c r="B11" s="80">
        <v>6.5000000000000002E-2</v>
      </c>
    </row>
    <row r="13" spans="1:6" x14ac:dyDescent="0.15">
      <c r="A13" s="334" t="s">
        <v>490</v>
      </c>
      <c r="B13" s="360" t="s">
        <v>1542</v>
      </c>
      <c r="C13" s="360" t="s">
        <v>1543</v>
      </c>
      <c r="D13" s="360" t="s">
        <v>1673</v>
      </c>
      <c r="E13" s="360" t="s">
        <v>1674</v>
      </c>
      <c r="F13" s="360" t="s">
        <v>1544</v>
      </c>
    </row>
    <row r="14" spans="1:6" x14ac:dyDescent="0.15">
      <c r="A14" s="3" t="s">
        <v>486</v>
      </c>
      <c r="B14" s="372">
        <v>0.34</v>
      </c>
      <c r="C14" s="102">
        <v>0.77</v>
      </c>
      <c r="D14" s="102">
        <v>0.93</v>
      </c>
      <c r="E14" s="102">
        <v>1.47</v>
      </c>
      <c r="F14" s="102">
        <v>1.8</v>
      </c>
    </row>
    <row r="15" spans="1:6" x14ac:dyDescent="0.15">
      <c r="A15" s="3" t="s">
        <v>491</v>
      </c>
      <c r="B15" s="104">
        <v>3.5000000000000003E-2</v>
      </c>
      <c r="C15" s="104">
        <v>5.3999999999999999E-2</v>
      </c>
      <c r="D15" s="104">
        <v>0.05</v>
      </c>
      <c r="E15" s="104">
        <v>9.1999999999999998E-2</v>
      </c>
      <c r="F15" s="104">
        <v>0.14000000000000001</v>
      </c>
    </row>
    <row r="16" spans="1:6" x14ac:dyDescent="0.15">
      <c r="A16" s="3" t="s">
        <v>1675</v>
      </c>
      <c r="B16" s="104">
        <f>$B10+B14*$B11</f>
        <v>2.6100000000000002E-2</v>
      </c>
      <c r="C16" s="104">
        <f t="shared" ref="C16:F16" si="0">$B10+C14*$B11</f>
        <v>5.4050000000000001E-2</v>
      </c>
      <c r="D16" s="104">
        <f t="shared" si="0"/>
        <v>6.4450000000000007E-2</v>
      </c>
      <c r="E16" s="104">
        <f t="shared" si="0"/>
        <v>9.955E-2</v>
      </c>
      <c r="F16" s="104">
        <f t="shared" si="0"/>
        <v>0.12100000000000001</v>
      </c>
    </row>
    <row r="17" spans="1:6" x14ac:dyDescent="0.15">
      <c r="A17" s="3" t="s">
        <v>493</v>
      </c>
      <c r="B17" s="82" t="str">
        <f>IF(ROUND(B16,2)&gt;ROUND(B15,2),"sur-évalué",IF(ROUND(B16,2)=ROUND(B15,2),"correctement évalué","sous-évalué"))</f>
        <v>sous-évalué</v>
      </c>
      <c r="C17" s="82" t="str">
        <f t="shared" ref="C17:F17" si="1">IF(ROUND(C16,2)&gt;ROUND(C15,2),"sur-évalué",IF(ROUND(C16,2)=ROUND(C15,2),"correctement évalué","sous-évalué"))</f>
        <v>correctement évalué</v>
      </c>
      <c r="D17" s="82" t="str">
        <f t="shared" si="1"/>
        <v>sur-évalué</v>
      </c>
      <c r="E17" s="82" t="str">
        <f t="shared" si="1"/>
        <v>sur-évalué</v>
      </c>
      <c r="F17" s="82" t="str">
        <f t="shared" si="1"/>
        <v>sous-évalué</v>
      </c>
    </row>
    <row r="20" spans="1:6" ht="15" x14ac:dyDescent="0.15">
      <c r="A20" s="8" t="s">
        <v>196</v>
      </c>
    </row>
    <row r="21" spans="1:6" x14ac:dyDescent="0.15">
      <c r="A21" s="3" t="s">
        <v>42</v>
      </c>
      <c r="B21" s="29">
        <v>40</v>
      </c>
      <c r="C21" s="3" t="s">
        <v>494</v>
      </c>
    </row>
    <row r="22" spans="1:6" x14ac:dyDescent="0.15">
      <c r="A22" s="3" t="s">
        <v>495</v>
      </c>
      <c r="B22" s="3">
        <v>2.7</v>
      </c>
    </row>
    <row r="23" spans="1:6" x14ac:dyDescent="0.15">
      <c r="A23" s="3" t="s">
        <v>503</v>
      </c>
      <c r="B23" s="80">
        <v>0.09</v>
      </c>
    </row>
    <row r="24" spans="1:6" x14ac:dyDescent="0.15">
      <c r="A24" s="3" t="s">
        <v>489</v>
      </c>
      <c r="B24" s="80">
        <v>0.05</v>
      </c>
    </row>
    <row r="26" spans="1:6" x14ac:dyDescent="0.15">
      <c r="A26" s="3" t="s">
        <v>497</v>
      </c>
      <c r="B26" s="80">
        <f>B24+(B23-B24)*B22</f>
        <v>0.15799999999999997</v>
      </c>
    </row>
    <row r="27" spans="1:6" x14ac:dyDescent="0.15">
      <c r="A27" s="7" t="s">
        <v>496</v>
      </c>
      <c r="B27" s="98">
        <f>B21/(1+B26)</f>
        <v>34.542314335060453</v>
      </c>
      <c r="C27" s="7" t="s">
        <v>494</v>
      </c>
    </row>
    <row r="29" spans="1:6" ht="15" x14ac:dyDescent="0.15">
      <c r="A29" s="8" t="s">
        <v>160</v>
      </c>
    </row>
    <row r="30" spans="1:6" x14ac:dyDescent="0.15">
      <c r="A30" s="3" t="s">
        <v>486</v>
      </c>
      <c r="B30" s="3">
        <v>1.2</v>
      </c>
    </row>
    <row r="31" spans="1:6" x14ac:dyDescent="0.15">
      <c r="A31" s="3" t="s">
        <v>489</v>
      </c>
      <c r="B31" s="55">
        <v>5.6000000000000001E-2</v>
      </c>
    </row>
    <row r="32" spans="1:6" x14ac:dyDescent="0.15">
      <c r="A32" s="3" t="s">
        <v>492</v>
      </c>
      <c r="B32" s="80">
        <v>0.03</v>
      </c>
    </row>
    <row r="34" spans="1:6" x14ac:dyDescent="0.15">
      <c r="A34" s="3" t="s">
        <v>498</v>
      </c>
      <c r="B34" s="3">
        <v>-0.4</v>
      </c>
      <c r="C34" s="3">
        <v>0</v>
      </c>
    </row>
    <row r="35" spans="1:6" x14ac:dyDescent="0.15">
      <c r="A35" s="3" t="s">
        <v>499</v>
      </c>
      <c r="B35" s="55">
        <f>$B31+B34*2%+B40*5%</f>
        <v>9.1999999999999998E-2</v>
      </c>
      <c r="C35" s="55">
        <f>$B31+C34*2%+C40*5%</f>
        <v>9.1999999999999998E-2</v>
      </c>
    </row>
    <row r="37" spans="1:6" x14ac:dyDescent="0.15">
      <c r="A37" s="3" t="s">
        <v>502</v>
      </c>
      <c r="B37" s="55">
        <f>$B31+$B32*$B30</f>
        <v>9.1999999999999998E-2</v>
      </c>
      <c r="C37" s="55">
        <f>$B31+$B32*$B30</f>
        <v>9.1999999999999998E-2</v>
      </c>
    </row>
    <row r="38" spans="1:6" x14ac:dyDescent="0.15">
      <c r="A38" s="3" t="s">
        <v>501</v>
      </c>
      <c r="B38" s="55">
        <f>B35-B37</f>
        <v>0</v>
      </c>
      <c r="C38" s="55">
        <f>C35-C37</f>
        <v>0</v>
      </c>
    </row>
    <row r="40" spans="1:6" x14ac:dyDescent="0.15">
      <c r="A40" s="7" t="s">
        <v>500</v>
      </c>
      <c r="B40" s="7">
        <v>0.88</v>
      </c>
      <c r="C40" s="7">
        <v>0.72</v>
      </c>
    </row>
    <row r="44" spans="1:6" ht="15" x14ac:dyDescent="0.15">
      <c r="A44" s="8" t="s">
        <v>174</v>
      </c>
    </row>
    <row r="46" spans="1:6" x14ac:dyDescent="0.15">
      <c r="A46" s="101" t="s">
        <v>95</v>
      </c>
      <c r="B46" s="101" t="s">
        <v>96</v>
      </c>
      <c r="C46" s="101" t="s">
        <v>97</v>
      </c>
      <c r="D46" s="101" t="s">
        <v>118</v>
      </c>
      <c r="E46" s="101" t="s">
        <v>894</v>
      </c>
      <c r="F46" s="101" t="s">
        <v>119</v>
      </c>
    </row>
    <row r="47" spans="1:6" x14ac:dyDescent="0.15">
      <c r="A47" s="82">
        <v>1</v>
      </c>
      <c r="B47" s="82">
        <v>1</v>
      </c>
      <c r="C47" s="234">
        <v>7.0000000000000007E-2</v>
      </c>
      <c r="D47" s="250">
        <v>8.0813384828465978E-2</v>
      </c>
      <c r="E47" s="92">
        <f>100*C47*((1-1/POWER((1+D47),B47))/D47)+100/POWER((1+D47),B47)</f>
        <v>98.999514164030998</v>
      </c>
      <c r="F47" s="250">
        <f>D47</f>
        <v>8.0813384828465978E-2</v>
      </c>
    </row>
    <row r="48" spans="1:6" x14ac:dyDescent="0.15">
      <c r="A48" s="82">
        <v>2</v>
      </c>
      <c r="B48" s="82">
        <v>2</v>
      </c>
      <c r="C48" s="234">
        <v>0.09</v>
      </c>
      <c r="D48" s="250">
        <v>9.5728902878471578E-2</v>
      </c>
      <c r="E48" s="92">
        <f>100*C48*((1-1/POWER((1+D48),B48))/D48)+100/POWER((1+D48),B48)</f>
        <v>98.999999245543947</v>
      </c>
      <c r="F48" s="251">
        <f>(SQRT((100+C48*100)/(E48-(100*C48/(1+F47))))-1)</f>
        <v>9.6413581536787474E-2</v>
      </c>
    </row>
    <row r="49" spans="1:6" x14ac:dyDescent="0.15">
      <c r="A49" s="82">
        <v>3</v>
      </c>
      <c r="B49" s="82">
        <v>3</v>
      </c>
      <c r="C49" s="234">
        <v>0.08</v>
      </c>
      <c r="D49" s="250">
        <v>0.10011081197224735</v>
      </c>
      <c r="E49" s="92">
        <f>100*C49*((1-1/POWER((1+D49),B49))/D49)+100/POWER((1+D49),B49)</f>
        <v>94.999714230930252</v>
      </c>
      <c r="F49" s="250">
        <f>POWER((100*C49+100)/(E49-(100*C49/(1+F47))-(100*C49/(1+F48)/(1+F48))),1/3)-1</f>
        <v>0.10090077218810833</v>
      </c>
    </row>
    <row r="50" spans="1:6" x14ac:dyDescent="0.15">
      <c r="A50" s="82">
        <v>4</v>
      </c>
      <c r="B50" s="82">
        <v>4</v>
      </c>
      <c r="C50" s="234">
        <v>7.0000000000000007E-2</v>
      </c>
      <c r="D50" s="250">
        <v>0.10508453890480668</v>
      </c>
      <c r="E50" s="92">
        <f>100*C50*((1-1/POWER((1+D50),B50))/D50)+100/POWER((1+D50),B50)</f>
        <v>88.999984858012269</v>
      </c>
      <c r="F50" s="250">
        <f>POWER((100*C50+100)/(E50-(100*C50/(1+F47))-(100*C50/(1+F48)/(1+F48))-100*C50/(1+F49)/(1+F49)/(1+F49)),1/4)-1</f>
        <v>0.1062142318701591</v>
      </c>
    </row>
    <row r="51" spans="1:6" x14ac:dyDescent="0.15">
      <c r="A51" s="82">
        <v>5</v>
      </c>
      <c r="B51" s="82">
        <v>5</v>
      </c>
      <c r="C51" s="234">
        <v>0.1</v>
      </c>
      <c r="D51" s="250">
        <v>0.10807789243563648</v>
      </c>
      <c r="E51" s="92">
        <f>100*C51*((1-1/POWER((1+D51),B51))/D51)+100/POWER((1+D51),B51)</f>
        <v>97.000002346964536</v>
      </c>
      <c r="F51" s="250">
        <f>POWER((100*C51+100)/(E51-(100*C51/(1+F47))-(100*C51/(1+F48)/(1+F48))-100*C51/(1+F49)/(1+F49)/(1+F49)-100*C51/(1+F50)/(1+F50)/(1+F50)/(1+F50)),1/5)-1</f>
        <v>0.11007898885350897</v>
      </c>
    </row>
    <row r="53" spans="1:6" x14ac:dyDescent="0.15">
      <c r="A53" s="3" t="s">
        <v>215</v>
      </c>
    </row>
    <row r="55" spans="1:6" x14ac:dyDescent="0.15">
      <c r="A55" s="3" t="s">
        <v>214</v>
      </c>
    </row>
    <row r="57" spans="1:6" x14ac:dyDescent="0.15">
      <c r="A57" s="3" t="s">
        <v>216</v>
      </c>
    </row>
  </sheetData>
  <phoneticPr fontId="4" type="noConversion"/>
  <pageMargins left="0.78740157480314965" right="0.78740157480314965" top="0.98425196850393704" bottom="0.98425196850393704" header="0.51181102362204722" footer="0.51181102362204722"/>
  <pageSetup paperSize="9" scale="96"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76"/>
  <sheetViews>
    <sheetView showGridLines="0" workbookViewId="0">
      <selection activeCell="A26" sqref="A26"/>
    </sheetView>
  </sheetViews>
  <sheetFormatPr baseColWidth="10" defaultColWidth="11" defaultRowHeight="14" x14ac:dyDescent="0.15"/>
  <cols>
    <col min="1" max="1" width="25" style="3" customWidth="1"/>
    <col min="2" max="2" width="11.83203125" style="3" bestFit="1" customWidth="1"/>
    <col min="3" max="16384" width="11" style="3"/>
  </cols>
  <sheetData>
    <row r="1" spans="1:9" ht="15" x14ac:dyDescent="0.15">
      <c r="A1" s="1" t="s">
        <v>544</v>
      </c>
    </row>
    <row r="2" spans="1:9" ht="15" x14ac:dyDescent="0.15">
      <c r="A2" s="8"/>
    </row>
    <row r="3" spans="1:9" x14ac:dyDescent="0.15">
      <c r="A3" s="3" t="s">
        <v>504</v>
      </c>
      <c r="B3" s="3">
        <v>125</v>
      </c>
      <c r="C3" s="3" t="s">
        <v>505</v>
      </c>
    </row>
    <row r="4" spans="1:9" x14ac:dyDescent="0.15">
      <c r="A4" s="3" t="s">
        <v>506</v>
      </c>
      <c r="B4" s="56">
        <v>0.99731000000000003</v>
      </c>
    </row>
    <row r="5" spans="1:9" x14ac:dyDescent="0.15">
      <c r="A5" s="3" t="s">
        <v>507</v>
      </c>
      <c r="B5" s="240">
        <v>44612</v>
      </c>
    </row>
    <row r="6" spans="1:9" x14ac:dyDescent="0.15">
      <c r="A6" s="3" t="s">
        <v>508</v>
      </c>
      <c r="B6" s="240">
        <v>44612</v>
      </c>
    </row>
    <row r="7" spans="1:9" x14ac:dyDescent="0.15">
      <c r="A7" s="3" t="s">
        <v>362</v>
      </c>
      <c r="B7" s="3">
        <v>7</v>
      </c>
      <c r="C7" s="3" t="s">
        <v>509</v>
      </c>
    </row>
    <row r="8" spans="1:9" x14ac:dyDescent="0.15">
      <c r="A8" s="3" t="s">
        <v>510</v>
      </c>
      <c r="B8" s="104">
        <v>5.5E-2</v>
      </c>
    </row>
    <row r="10" spans="1:9" x14ac:dyDescent="0.15">
      <c r="A10" s="3" t="s">
        <v>511</v>
      </c>
    </row>
    <row r="11" spans="1:9" x14ac:dyDescent="0.15">
      <c r="A11" s="359" t="s">
        <v>404</v>
      </c>
      <c r="B11" s="359">
        <v>0</v>
      </c>
      <c r="C11" s="359">
        <v>1</v>
      </c>
      <c r="D11" s="359">
        <v>2</v>
      </c>
      <c r="E11" s="359">
        <v>3</v>
      </c>
      <c r="F11" s="359">
        <v>4</v>
      </c>
      <c r="G11" s="359">
        <v>5</v>
      </c>
      <c r="H11" s="359">
        <v>6</v>
      </c>
      <c r="I11" s="359">
        <v>7</v>
      </c>
    </row>
    <row r="12" spans="1:9" x14ac:dyDescent="0.15">
      <c r="A12" s="3" t="s">
        <v>398</v>
      </c>
      <c r="B12" s="56">
        <f>-B4</f>
        <v>-0.99731000000000003</v>
      </c>
      <c r="C12" s="56">
        <f t="shared" ref="C12:H12" si="0">$B8</f>
        <v>5.5E-2</v>
      </c>
      <c r="D12" s="56">
        <f t="shared" si="0"/>
        <v>5.5E-2</v>
      </c>
      <c r="E12" s="56">
        <f t="shared" si="0"/>
        <v>5.5E-2</v>
      </c>
      <c r="F12" s="56">
        <f t="shared" si="0"/>
        <v>5.5E-2</v>
      </c>
      <c r="G12" s="56">
        <f t="shared" si="0"/>
        <v>5.5E-2</v>
      </c>
      <c r="H12" s="56">
        <f t="shared" si="0"/>
        <v>5.5E-2</v>
      </c>
      <c r="I12" s="56">
        <f>1+H12</f>
        <v>1.0549999999999999</v>
      </c>
    </row>
    <row r="13" spans="1:9" x14ac:dyDescent="0.15">
      <c r="A13" s="3" t="s">
        <v>512</v>
      </c>
      <c r="B13" s="49">
        <f t="shared" ref="B13:I13" si="1">B12/POWER(1+$B14,B11)</f>
        <v>-0.99731000000000003</v>
      </c>
      <c r="C13" s="49">
        <f t="shared" si="1"/>
        <v>5.2109486768927592E-2</v>
      </c>
      <c r="D13" s="49">
        <f t="shared" si="1"/>
        <v>4.9370883842200723E-2</v>
      </c>
      <c r="E13" s="49">
        <f t="shared" si="1"/>
        <v>4.6776207606280353E-2</v>
      </c>
      <c r="F13" s="49">
        <f t="shared" si="1"/>
        <v>4.4317894024728667E-2</v>
      </c>
      <c r="G13" s="49">
        <f t="shared" si="1"/>
        <v>4.1988776587424254E-2</v>
      </c>
      <c r="H13" s="49">
        <f t="shared" si="1"/>
        <v>3.9782065418651653E-2</v>
      </c>
      <c r="I13" s="49">
        <f t="shared" si="1"/>
        <v>0.72298819081335564</v>
      </c>
    </row>
    <row r="14" spans="1:9" ht="15" x14ac:dyDescent="0.15">
      <c r="A14" s="4" t="s">
        <v>513</v>
      </c>
      <c r="B14" s="57">
        <v>5.5469999999999998E-2</v>
      </c>
    </row>
    <row r="15" spans="1:9" ht="15" x14ac:dyDescent="0.15">
      <c r="A15" s="6" t="s">
        <v>516</v>
      </c>
      <c r="B15" s="49">
        <f>SUM(C13:I13)</f>
        <v>0.99733350506156881</v>
      </c>
    </row>
    <row r="16" spans="1:9" x14ac:dyDescent="0.15">
      <c r="A16" s="3" t="s">
        <v>399</v>
      </c>
      <c r="B16" s="80">
        <f>SUM(B13:I13)</f>
        <v>2.3505061568784846E-5</v>
      </c>
    </row>
    <row r="18" spans="1:9" x14ac:dyDescent="0.15">
      <c r="B18" s="68">
        <f t="shared" ref="B18:I18" si="2">B11*B12/POWER(1+$B14,B11+1)</f>
        <v>0</v>
      </c>
      <c r="C18" s="68">
        <f t="shared" si="2"/>
        <v>4.9370883842200723E-2</v>
      </c>
      <c r="D18" s="68">
        <f t="shared" si="2"/>
        <v>9.3552415212560705E-2</v>
      </c>
      <c r="E18" s="68">
        <f t="shared" si="2"/>
        <v>0.13295368207418601</v>
      </c>
      <c r="F18" s="68">
        <f t="shared" si="2"/>
        <v>0.16795510634969701</v>
      </c>
      <c r="G18" s="68">
        <f t="shared" si="2"/>
        <v>0.19891032709325829</v>
      </c>
      <c r="H18" s="68">
        <f t="shared" si="2"/>
        <v>0.22614796489896435</v>
      </c>
      <c r="I18" s="68">
        <f t="shared" si="2"/>
        <v>4.7949419080537501</v>
      </c>
    </row>
    <row r="19" spans="1:9" x14ac:dyDescent="0.15">
      <c r="A19" s="7" t="s">
        <v>514</v>
      </c>
      <c r="B19" s="98">
        <f>SUM(B18:I18)/B15</f>
        <v>5.6789752462742831</v>
      </c>
    </row>
    <row r="20" spans="1:9" x14ac:dyDescent="0.15">
      <c r="A20" s="7"/>
      <c r="B20" s="7"/>
    </row>
    <row r="21" spans="1:9" x14ac:dyDescent="0.15">
      <c r="A21" s="7"/>
      <c r="B21" s="68">
        <f t="shared" ref="B21:I21" si="3">B11*B12/POWER(1+$B14,B11)</f>
        <v>0</v>
      </c>
      <c r="C21" s="68">
        <f t="shared" si="3"/>
        <v>5.2109486768927592E-2</v>
      </c>
      <c r="D21" s="68">
        <f t="shared" si="3"/>
        <v>9.8741767684401446E-2</v>
      </c>
      <c r="E21" s="68">
        <f t="shared" si="3"/>
        <v>0.14032862281884106</v>
      </c>
      <c r="F21" s="68">
        <f t="shared" si="3"/>
        <v>0.17727157609891467</v>
      </c>
      <c r="G21" s="68">
        <f t="shared" si="3"/>
        <v>0.2099438829371213</v>
      </c>
      <c r="H21" s="68">
        <f t="shared" si="3"/>
        <v>0.23869239251190993</v>
      </c>
      <c r="I21" s="68">
        <f t="shared" si="3"/>
        <v>5.0609173356934898</v>
      </c>
    </row>
    <row r="22" spans="1:9" x14ac:dyDescent="0.15">
      <c r="A22" s="7" t="s">
        <v>515</v>
      </c>
      <c r="B22" s="133">
        <f>SUM(B21:I21)/B15</f>
        <v>5.993988003185116</v>
      </c>
    </row>
    <row r="23" spans="1:9" x14ac:dyDescent="0.15">
      <c r="B23" s="133">
        <f>B19*(1+B14)</f>
        <v>5.9939880031851169</v>
      </c>
    </row>
    <row r="25" spans="1:9" x14ac:dyDescent="0.15">
      <c r="A25" s="149" t="s">
        <v>1765</v>
      </c>
    </row>
    <row r="26" spans="1:9" x14ac:dyDescent="0.15">
      <c r="A26" s="3" t="s">
        <v>512</v>
      </c>
      <c r="B26" s="49"/>
      <c r="C26" s="49"/>
      <c r="D26" s="49">
        <f t="shared" ref="D26:I26" si="4">D12/POWER(1+$B27,D11-1)</f>
        <v>5.2380952380952382E-2</v>
      </c>
      <c r="E26" s="49">
        <f t="shared" si="4"/>
        <v>4.9886621315192739E-2</v>
      </c>
      <c r="F26" s="49">
        <f t="shared" si="4"/>
        <v>4.7511067919231181E-2</v>
      </c>
      <c r="G26" s="49">
        <f t="shared" si="4"/>
        <v>4.5248636113553509E-2</v>
      </c>
      <c r="H26" s="49">
        <f t="shared" si="4"/>
        <v>4.3093939155765246E-2</v>
      </c>
      <c r="I26" s="49">
        <f t="shared" si="4"/>
        <v>0.78725724345164216</v>
      </c>
    </row>
    <row r="27" spans="1:9" ht="15" x14ac:dyDescent="0.15">
      <c r="A27" s="6" t="s">
        <v>517</v>
      </c>
      <c r="B27" s="67">
        <v>0.05</v>
      </c>
    </row>
    <row r="28" spans="1:9" ht="15" x14ac:dyDescent="0.15">
      <c r="A28" s="4" t="s">
        <v>516</v>
      </c>
      <c r="B28" s="110">
        <f>SUM(C26:I26)</f>
        <v>1.0253784603363372</v>
      </c>
    </row>
    <row r="30" spans="1:9" x14ac:dyDescent="0.15">
      <c r="C30" s="3">
        <f t="shared" ref="C30:I30" si="5">(C11-1)*C12/POWER(1+$B27,C11)</f>
        <v>0</v>
      </c>
      <c r="D30" s="3">
        <f t="shared" si="5"/>
        <v>4.9886621315192739E-2</v>
      </c>
      <c r="E30" s="3">
        <f t="shared" si="5"/>
        <v>9.5022135838462363E-2</v>
      </c>
      <c r="F30" s="3">
        <f t="shared" si="5"/>
        <v>0.13574590834066053</v>
      </c>
      <c r="G30" s="3">
        <f t="shared" si="5"/>
        <v>0.17237575662306098</v>
      </c>
      <c r="H30" s="3">
        <f t="shared" si="5"/>
        <v>0.20520923407507263</v>
      </c>
      <c r="I30" s="3">
        <f t="shared" si="5"/>
        <v>4.498612819723669</v>
      </c>
    </row>
    <row r="31" spans="1:9" x14ac:dyDescent="0.15">
      <c r="A31" s="7" t="s">
        <v>514</v>
      </c>
      <c r="B31" s="98">
        <f>SUM(B30:I30)/B28</f>
        <v>5.0292186498871887</v>
      </c>
    </row>
    <row r="33" spans="1:10" x14ac:dyDescent="0.15">
      <c r="A33" s="7"/>
      <c r="C33" s="3">
        <f t="shared" ref="C33:I33" si="6">(C11-1)*C12/POWER(1+$B27,C11-1)</f>
        <v>0</v>
      </c>
      <c r="D33" s="3">
        <f t="shared" si="6"/>
        <v>5.2380952380952382E-2</v>
      </c>
      <c r="E33" s="3">
        <f t="shared" si="6"/>
        <v>9.9773242630385478E-2</v>
      </c>
      <c r="F33" s="3">
        <f t="shared" si="6"/>
        <v>0.14253320375769354</v>
      </c>
      <c r="G33" s="3">
        <f t="shared" si="6"/>
        <v>0.18099454445421403</v>
      </c>
      <c r="H33" s="3">
        <f t="shared" si="6"/>
        <v>0.21546969577882624</v>
      </c>
      <c r="I33" s="3">
        <f t="shared" si="6"/>
        <v>4.7235434607098528</v>
      </c>
    </row>
    <row r="34" spans="1:10" x14ac:dyDescent="0.15">
      <c r="A34" s="7" t="s">
        <v>515</v>
      </c>
      <c r="B34" s="98">
        <f>SUM(B33:I33)/B28</f>
        <v>5.2806795823815484</v>
      </c>
    </row>
    <row r="35" spans="1:10" x14ac:dyDescent="0.15">
      <c r="B35" s="98">
        <f>B31*(1+B27)</f>
        <v>5.2806795823815484</v>
      </c>
    </row>
    <row r="37" spans="1:10" ht="15" x14ac:dyDescent="0.15">
      <c r="A37" s="8" t="s">
        <v>279</v>
      </c>
    </row>
    <row r="38" spans="1:10" x14ac:dyDescent="0.15">
      <c r="A38" s="3" t="s">
        <v>519</v>
      </c>
      <c r="B38" s="3">
        <v>10</v>
      </c>
      <c r="C38" s="3" t="s">
        <v>509</v>
      </c>
    </row>
    <row r="39" spans="1:10" x14ac:dyDescent="0.15">
      <c r="A39" s="3" t="s">
        <v>359</v>
      </c>
      <c r="B39" s="80">
        <v>0.08</v>
      </c>
    </row>
    <row r="40" spans="1:10" x14ac:dyDescent="0.15">
      <c r="B40" s="80"/>
    </row>
    <row r="41" spans="1:10" x14ac:dyDescent="0.15">
      <c r="A41" s="3" t="s">
        <v>67</v>
      </c>
      <c r="F41" s="241"/>
    </row>
    <row r="42" spans="1:10" x14ac:dyDescent="0.15">
      <c r="A42" s="3" t="s">
        <v>520</v>
      </c>
      <c r="B42" s="55">
        <v>7.9000000000000001E-2</v>
      </c>
      <c r="C42" s="55">
        <v>0.08</v>
      </c>
      <c r="D42" s="55">
        <v>8.1000000000000003E-2</v>
      </c>
      <c r="E42" s="55">
        <v>8.2000000000000003E-2</v>
      </c>
      <c r="F42" s="242">
        <v>8.3000000000000004E-2</v>
      </c>
      <c r="G42" s="55">
        <v>8.4000000000000005E-2</v>
      </c>
      <c r="H42" s="55">
        <v>8.5000000000000006E-2</v>
      </c>
      <c r="I42" s="55">
        <v>8.5999999999999993E-2</v>
      </c>
      <c r="J42" s="55">
        <v>8.6999999999999994E-2</v>
      </c>
    </row>
    <row r="43" spans="1:10" x14ac:dyDescent="0.15">
      <c r="B43" s="55"/>
      <c r="C43" s="55"/>
      <c r="D43" s="55"/>
      <c r="E43" s="55"/>
      <c r="F43" s="242"/>
      <c r="G43" s="55"/>
      <c r="H43" s="55"/>
      <c r="I43" s="55"/>
      <c r="J43" s="55"/>
    </row>
    <row r="44" spans="1:10" x14ac:dyDescent="0.15">
      <c r="A44" s="3" t="s">
        <v>521</v>
      </c>
      <c r="B44" s="55">
        <f t="shared" ref="B44:J44" si="7">$B39+1.5*(B42-8.3%)</f>
        <v>7.3999999999999996E-2</v>
      </c>
      <c r="C44" s="55">
        <f t="shared" si="7"/>
        <v>7.5499999999999998E-2</v>
      </c>
      <c r="D44" s="55">
        <f t="shared" si="7"/>
        <v>7.6999999999999999E-2</v>
      </c>
      <c r="E44" s="55">
        <f t="shared" si="7"/>
        <v>7.85E-2</v>
      </c>
      <c r="F44" s="242">
        <f t="shared" si="7"/>
        <v>0.08</v>
      </c>
      <c r="G44" s="55">
        <f t="shared" si="7"/>
        <v>8.1500000000000003E-2</v>
      </c>
      <c r="H44" s="55">
        <f t="shared" si="7"/>
        <v>8.3000000000000004E-2</v>
      </c>
      <c r="I44" s="55">
        <f t="shared" si="7"/>
        <v>8.4499999999999992E-2</v>
      </c>
      <c r="J44" s="55">
        <f t="shared" si="7"/>
        <v>8.5999999999999993E-2</v>
      </c>
    </row>
    <row r="45" spans="1:10" x14ac:dyDescent="0.15">
      <c r="A45" s="3" t="s">
        <v>218</v>
      </c>
      <c r="B45" s="231" t="s">
        <v>226</v>
      </c>
      <c r="C45" s="231" t="s">
        <v>225</v>
      </c>
      <c r="D45" s="231" t="s">
        <v>224</v>
      </c>
      <c r="E45" s="231" t="s">
        <v>220</v>
      </c>
      <c r="F45" s="241"/>
      <c r="G45" s="231" t="s">
        <v>219</v>
      </c>
      <c r="H45" s="231" t="s">
        <v>221</v>
      </c>
      <c r="I45" s="231" t="s">
        <v>222</v>
      </c>
      <c r="J45" s="231" t="s">
        <v>223</v>
      </c>
    </row>
    <row r="46" spans="1:10" x14ac:dyDescent="0.15">
      <c r="F46" s="241"/>
    </row>
    <row r="47" spans="1:10" x14ac:dyDescent="0.15">
      <c r="A47" s="3" t="s">
        <v>522</v>
      </c>
      <c r="B47" s="50">
        <f t="shared" ref="B47:J47" si="8">$B39-1.5*(B42-8.3%)</f>
        <v>8.6000000000000007E-2</v>
      </c>
      <c r="C47" s="50">
        <f t="shared" si="8"/>
        <v>8.4500000000000006E-2</v>
      </c>
      <c r="D47" s="50">
        <f t="shared" si="8"/>
        <v>8.3000000000000004E-2</v>
      </c>
      <c r="E47" s="50">
        <f t="shared" si="8"/>
        <v>8.1500000000000003E-2</v>
      </c>
      <c r="F47" s="243">
        <f t="shared" si="8"/>
        <v>0.08</v>
      </c>
      <c r="G47" s="50">
        <f t="shared" si="8"/>
        <v>7.85E-2</v>
      </c>
      <c r="H47" s="50">
        <f t="shared" si="8"/>
        <v>7.6999999999999999E-2</v>
      </c>
      <c r="I47" s="50">
        <f t="shared" si="8"/>
        <v>7.5500000000000012E-2</v>
      </c>
      <c r="J47" s="50">
        <f t="shared" si="8"/>
        <v>7.400000000000001E-2</v>
      </c>
    </row>
    <row r="48" spans="1:10" x14ac:dyDescent="0.15">
      <c r="A48" s="3" t="s">
        <v>218</v>
      </c>
      <c r="B48" s="231" t="s">
        <v>223</v>
      </c>
      <c r="C48" s="231" t="s">
        <v>222</v>
      </c>
      <c r="D48" s="231" t="s">
        <v>221</v>
      </c>
      <c r="E48" s="231" t="s">
        <v>219</v>
      </c>
      <c r="F48" s="241"/>
      <c r="G48" s="231" t="s">
        <v>220</v>
      </c>
      <c r="H48" s="231" t="s">
        <v>224</v>
      </c>
      <c r="I48" s="231" t="s">
        <v>225</v>
      </c>
      <c r="J48" s="231" t="s">
        <v>226</v>
      </c>
    </row>
    <row r="50" spans="1:6" x14ac:dyDescent="0.15">
      <c r="A50" s="3" t="s">
        <v>68</v>
      </c>
    </row>
    <row r="51" spans="1:6" x14ac:dyDescent="0.15">
      <c r="A51" s="3" t="s">
        <v>227</v>
      </c>
    </row>
    <row r="53" spans="1:6" x14ac:dyDescent="0.15">
      <c r="A53" s="3" t="s">
        <v>228</v>
      </c>
    </row>
    <row r="54" spans="1:6" x14ac:dyDescent="0.15">
      <c r="A54" s="3" t="s">
        <v>280</v>
      </c>
    </row>
    <row r="56" spans="1:6" x14ac:dyDescent="0.15">
      <c r="A56" s="3" t="s">
        <v>229</v>
      </c>
    </row>
    <row r="57" spans="1:6" x14ac:dyDescent="0.15">
      <c r="A57" s="3" t="s">
        <v>230</v>
      </c>
    </row>
    <row r="59" spans="1:6" ht="15" x14ac:dyDescent="0.15">
      <c r="A59" s="8" t="s">
        <v>1063</v>
      </c>
    </row>
    <row r="60" spans="1:6" ht="15" x14ac:dyDescent="0.15">
      <c r="A60" s="8"/>
    </row>
    <row r="61" spans="1:6" ht="30" x14ac:dyDescent="0.15">
      <c r="A61" s="373" t="s">
        <v>523</v>
      </c>
      <c r="B61" s="373" t="s">
        <v>941</v>
      </c>
      <c r="C61" s="373" t="s">
        <v>524</v>
      </c>
      <c r="D61" s="373"/>
      <c r="E61" s="374" t="s">
        <v>525</v>
      </c>
      <c r="F61" s="374" t="s">
        <v>1059</v>
      </c>
    </row>
    <row r="62" spans="1:6" x14ac:dyDescent="0.15">
      <c r="A62" s="244">
        <v>44612</v>
      </c>
      <c r="B62" s="245">
        <v>1</v>
      </c>
      <c r="C62" s="68">
        <v>96.25</v>
      </c>
      <c r="D62" s="82" t="s">
        <v>526</v>
      </c>
      <c r="E62" s="246">
        <f t="shared" ref="E62:E68" si="9">POWER(100/C62,1/B62)-1</f>
        <v>3.8961038961038863E-2</v>
      </c>
      <c r="F62" s="140">
        <f t="shared" ref="F62:F68" si="10">E62+B$71</f>
        <v>4.4761038961038863E-2</v>
      </c>
    </row>
    <row r="63" spans="1:6" x14ac:dyDescent="0.15">
      <c r="A63" s="244">
        <f>A62+365</f>
        <v>44977</v>
      </c>
      <c r="B63" s="245">
        <f t="shared" ref="B63:B68" si="11">B62+1</f>
        <v>2</v>
      </c>
      <c r="C63" s="68">
        <v>91.92</v>
      </c>
      <c r="D63" s="82" t="s">
        <v>527</v>
      </c>
      <c r="E63" s="246">
        <f t="shared" si="9"/>
        <v>4.302565832958094E-2</v>
      </c>
      <c r="F63" s="140">
        <f t="shared" si="10"/>
        <v>4.882565832958094E-2</v>
      </c>
    </row>
    <row r="64" spans="1:6" x14ac:dyDescent="0.15">
      <c r="A64" s="244">
        <f>A63+366</f>
        <v>45343</v>
      </c>
      <c r="B64" s="245">
        <f t="shared" si="11"/>
        <v>3</v>
      </c>
      <c r="C64" s="68">
        <v>87.38</v>
      </c>
      <c r="D64" s="82" t="s">
        <v>528</v>
      </c>
      <c r="E64" s="246">
        <f t="shared" si="9"/>
        <v>4.5994304732602354E-2</v>
      </c>
      <c r="F64" s="140">
        <f t="shared" si="10"/>
        <v>5.1794304732602353E-2</v>
      </c>
    </row>
    <row r="65" spans="1:9" x14ac:dyDescent="0.15">
      <c r="A65" s="244">
        <f>A64+365</f>
        <v>45708</v>
      </c>
      <c r="B65" s="245">
        <f t="shared" si="11"/>
        <v>4</v>
      </c>
      <c r="C65" s="68">
        <v>82.9</v>
      </c>
      <c r="D65" s="82" t="s">
        <v>529</v>
      </c>
      <c r="E65" s="246">
        <f t="shared" si="9"/>
        <v>4.8000204425897364E-2</v>
      </c>
      <c r="F65" s="140">
        <f t="shared" si="10"/>
        <v>5.3800204425897363E-2</v>
      </c>
    </row>
    <row r="66" spans="1:9" x14ac:dyDescent="0.15">
      <c r="A66" s="244">
        <f>A65+365</f>
        <v>46073</v>
      </c>
      <c r="B66" s="245">
        <f t="shared" si="11"/>
        <v>5</v>
      </c>
      <c r="C66" s="68">
        <v>78.349999999999994</v>
      </c>
      <c r="D66" s="82" t="s">
        <v>530</v>
      </c>
      <c r="E66" s="246">
        <f t="shared" si="9"/>
        <v>5.0007013254590893E-2</v>
      </c>
      <c r="F66" s="140">
        <f t="shared" si="10"/>
        <v>5.5807013254590893E-2</v>
      </c>
    </row>
    <row r="67" spans="1:9" x14ac:dyDescent="0.15">
      <c r="A67" s="244">
        <f>A66+365</f>
        <v>46438</v>
      </c>
      <c r="B67" s="245">
        <f t="shared" si="11"/>
        <v>6</v>
      </c>
      <c r="C67" s="68">
        <v>74.2</v>
      </c>
      <c r="D67" s="82" t="s">
        <v>531</v>
      </c>
      <c r="E67" s="246">
        <f t="shared" si="9"/>
        <v>5.0991852057019171E-2</v>
      </c>
      <c r="F67" s="140">
        <f t="shared" si="10"/>
        <v>5.6791852057019171E-2</v>
      </c>
    </row>
    <row r="68" spans="1:9" x14ac:dyDescent="0.15">
      <c r="A68" s="244">
        <f>A67+366</f>
        <v>46804</v>
      </c>
      <c r="B68" s="245">
        <f t="shared" si="11"/>
        <v>7</v>
      </c>
      <c r="C68" s="3">
        <v>70.13</v>
      </c>
      <c r="D68" s="82" t="s">
        <v>418</v>
      </c>
      <c r="E68" s="246">
        <f t="shared" si="9"/>
        <v>5.1995149273845964E-2</v>
      </c>
      <c r="F68" s="140">
        <f t="shared" si="10"/>
        <v>5.7795149273845964E-2</v>
      </c>
    </row>
    <row r="69" spans="1:9" x14ac:dyDescent="0.15">
      <c r="A69" s="247" t="s">
        <v>1062</v>
      </c>
      <c r="B69" s="245"/>
      <c r="D69" s="82"/>
      <c r="E69" s="248"/>
      <c r="F69" s="55"/>
    </row>
    <row r="71" spans="1:9" x14ac:dyDescent="0.15">
      <c r="A71" s="249" t="s">
        <v>1058</v>
      </c>
      <c r="B71" s="55">
        <v>5.7999999999999996E-3</v>
      </c>
    </row>
    <row r="72" spans="1:9" x14ac:dyDescent="0.15">
      <c r="B72" s="55"/>
    </row>
    <row r="73" spans="1:9" x14ac:dyDescent="0.15">
      <c r="A73" s="3" t="s">
        <v>404</v>
      </c>
      <c r="B73" s="3">
        <f t="shared" ref="B73:I73" si="12">B11</f>
        <v>0</v>
      </c>
      <c r="C73" s="3">
        <f t="shared" si="12"/>
        <v>1</v>
      </c>
      <c r="D73" s="3">
        <f t="shared" si="12"/>
        <v>2</v>
      </c>
      <c r="E73" s="3">
        <f t="shared" si="12"/>
        <v>3</v>
      </c>
      <c r="F73" s="3">
        <f t="shared" si="12"/>
        <v>4</v>
      </c>
      <c r="G73" s="3">
        <f t="shared" si="12"/>
        <v>5</v>
      </c>
      <c r="H73" s="3">
        <f t="shared" si="12"/>
        <v>6</v>
      </c>
      <c r="I73" s="3">
        <f t="shared" si="12"/>
        <v>7</v>
      </c>
    </row>
    <row r="74" spans="1:9" x14ac:dyDescent="0.15">
      <c r="A74" s="3" t="s">
        <v>1060</v>
      </c>
      <c r="B74" s="56"/>
      <c r="C74" s="56">
        <f t="shared" ref="C74:I74" si="13">C12</f>
        <v>5.5E-2</v>
      </c>
      <c r="D74" s="56">
        <f t="shared" si="13"/>
        <v>5.5E-2</v>
      </c>
      <c r="E74" s="56">
        <f t="shared" si="13"/>
        <v>5.5E-2</v>
      </c>
      <c r="F74" s="56">
        <f t="shared" si="13"/>
        <v>5.5E-2</v>
      </c>
      <c r="G74" s="56">
        <f t="shared" si="13"/>
        <v>5.5E-2</v>
      </c>
      <c r="H74" s="56">
        <f t="shared" si="13"/>
        <v>5.5E-2</v>
      </c>
      <c r="I74" s="56">
        <f t="shared" si="13"/>
        <v>1.0549999999999999</v>
      </c>
    </row>
    <row r="75" spans="1:9" x14ac:dyDescent="0.15">
      <c r="A75" s="3" t="s">
        <v>512</v>
      </c>
      <c r="B75" s="56"/>
      <c r="C75" s="56">
        <f t="shared" ref="C75:I75" si="14">C74/POWER(1+VLOOKUP(C73,$B62:$E68,4,FALSE)+$B$71,C73)</f>
        <v>5.2643617008052548E-2</v>
      </c>
      <c r="D75" s="56">
        <f t="shared" si="14"/>
        <v>4.9998397252719491E-2</v>
      </c>
      <c r="E75" s="56">
        <f t="shared" si="14"/>
        <v>4.7268328481858024E-2</v>
      </c>
      <c r="F75" s="56">
        <f t="shared" si="14"/>
        <v>4.4599457447744822E-2</v>
      </c>
      <c r="G75" s="56">
        <f t="shared" si="14"/>
        <v>4.1921805336454294E-2</v>
      </c>
      <c r="H75" s="56">
        <f t="shared" si="14"/>
        <v>3.948443723182516E-2</v>
      </c>
      <c r="I75" s="56">
        <f t="shared" si="14"/>
        <v>0.71193683184322532</v>
      </c>
    </row>
    <row r="76" spans="1:9" x14ac:dyDescent="0.15">
      <c r="A76" s="7" t="s">
        <v>1061</v>
      </c>
      <c r="B76" s="152">
        <f>SUM(B75:I75)</f>
        <v>0.98785287460187965</v>
      </c>
    </row>
  </sheetData>
  <phoneticPr fontId="4" type="noConversion"/>
  <pageMargins left="0.78740157480314965" right="0.78740157480314965" top="0.98425196850393704" bottom="0.98425196850393704" header="0.51181102362204722" footer="0.51181102362204722"/>
  <pageSetup paperSize="9" scale="91"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euil24">
    <pageSetUpPr fitToPage="1"/>
  </sheetPr>
  <dimension ref="A1:L55"/>
  <sheetViews>
    <sheetView showGridLines="0" workbookViewId="0">
      <selection activeCell="E21" sqref="E21"/>
    </sheetView>
  </sheetViews>
  <sheetFormatPr baseColWidth="10" defaultColWidth="11" defaultRowHeight="14" x14ac:dyDescent="0.15"/>
  <cols>
    <col min="1" max="1" width="18.83203125" style="3" bestFit="1" customWidth="1"/>
    <col min="2" max="8" width="12.5" style="3" customWidth="1"/>
    <col min="9" max="9" width="11.1640625" style="3" bestFit="1" customWidth="1"/>
    <col min="10" max="16384" width="11" style="3"/>
  </cols>
  <sheetData>
    <row r="1" spans="1:6" ht="15" x14ac:dyDescent="0.15">
      <c r="A1" s="1" t="s">
        <v>1235</v>
      </c>
    </row>
    <row r="2" spans="1:6" ht="15" x14ac:dyDescent="0.15">
      <c r="A2" s="8"/>
    </row>
    <row r="3" spans="1:6" x14ac:dyDescent="0.15">
      <c r="A3" s="3" t="s">
        <v>534</v>
      </c>
      <c r="B3" s="3">
        <v>500</v>
      </c>
      <c r="C3" s="3" t="s">
        <v>494</v>
      </c>
    </row>
    <row r="4" spans="1:6" x14ac:dyDescent="0.15">
      <c r="A4" s="3" t="s">
        <v>535</v>
      </c>
      <c r="B4" s="3">
        <v>33.299999999999997</v>
      </c>
      <c r="C4" s="3" t="s">
        <v>494</v>
      </c>
    </row>
    <row r="5" spans="1:6" x14ac:dyDescent="0.15">
      <c r="A5" s="3" t="s">
        <v>536</v>
      </c>
      <c r="B5" s="80">
        <v>0.25</v>
      </c>
    </row>
    <row r="6" spans="1:6" x14ac:dyDescent="0.15">
      <c r="A6" s="3" t="s">
        <v>532</v>
      </c>
      <c r="B6" s="80">
        <v>0.15</v>
      </c>
    </row>
    <row r="8" spans="1:6" x14ac:dyDescent="0.15">
      <c r="A8" s="3" t="s">
        <v>404</v>
      </c>
      <c r="B8" s="3">
        <v>0</v>
      </c>
      <c r="C8" s="3">
        <v>1</v>
      </c>
      <c r="D8" s="3">
        <v>2</v>
      </c>
      <c r="E8" s="3">
        <v>3</v>
      </c>
      <c r="F8" s="3">
        <v>3</v>
      </c>
    </row>
    <row r="9" spans="1:6" x14ac:dyDescent="0.15">
      <c r="A9" s="3" t="s">
        <v>511</v>
      </c>
      <c r="B9" s="68">
        <f>-B3</f>
        <v>-500</v>
      </c>
      <c r="C9" s="68">
        <f>$B4*$B5*POWER(1+$B6,C8)</f>
        <v>9.5737499999999986</v>
      </c>
      <c r="D9" s="68">
        <f>$B4*$B5*POWER(1+$B6,D8)</f>
        <v>11.009812499999997</v>
      </c>
      <c r="E9" s="68">
        <f>$B4*$B5*POWER(1+$B6,E8)</f>
        <v>12.661284374999996</v>
      </c>
      <c r="F9" s="68">
        <f>B14</f>
        <v>665.46241362500018</v>
      </c>
    </row>
    <row r="10" spans="1:6" x14ac:dyDescent="0.15">
      <c r="A10" s="3" t="s">
        <v>367</v>
      </c>
      <c r="B10" s="80">
        <v>0.12</v>
      </c>
    </row>
    <row r="11" spans="1:6" x14ac:dyDescent="0.15">
      <c r="A11" s="3" t="s">
        <v>512</v>
      </c>
      <c r="B11" s="68">
        <f>B9/POWER(1+$B10,B8)</f>
        <v>-500</v>
      </c>
      <c r="C11" s="68">
        <f>C9/POWER(1+$B10,C8)</f>
        <v>8.5479910714285694</v>
      </c>
      <c r="D11" s="68">
        <f>D9/POWER(1+$B10,D8)</f>
        <v>8.7769551179846896</v>
      </c>
      <c r="E11" s="68">
        <f>E9/POWER(1+$B10,E8)</f>
        <v>9.0120521300735632</v>
      </c>
      <c r="F11" s="68">
        <f>F9/POWER(1+$B10,F8)</f>
        <v>473.66300168051316</v>
      </c>
    </row>
    <row r="12" spans="1:6" x14ac:dyDescent="0.15">
      <c r="A12" s="3" t="s">
        <v>399</v>
      </c>
      <c r="B12" s="3">
        <f>SUM(B11:F11)</f>
        <v>0</v>
      </c>
    </row>
    <row r="14" spans="1:6" ht="15" x14ac:dyDescent="0.15">
      <c r="A14" s="4" t="s">
        <v>540</v>
      </c>
      <c r="B14" s="98">
        <v>665.46241362500018</v>
      </c>
    </row>
    <row r="15" spans="1:6" ht="30" x14ac:dyDescent="0.15">
      <c r="A15" s="6" t="s">
        <v>539</v>
      </c>
      <c r="B15" s="68">
        <f>E9/B5</f>
        <v>50.645137499999983</v>
      </c>
    </row>
    <row r="16" spans="1:6" x14ac:dyDescent="0.15">
      <c r="A16" s="7" t="s">
        <v>538</v>
      </c>
      <c r="B16" s="98">
        <f>B14/B15</f>
        <v>13.139709880835063</v>
      </c>
    </row>
    <row r="18" spans="1:11" ht="15" x14ac:dyDescent="0.15">
      <c r="A18" s="8" t="s">
        <v>1237</v>
      </c>
    </row>
    <row r="19" spans="1:11" ht="45" x14ac:dyDescent="0.15">
      <c r="A19" s="375" t="s">
        <v>602</v>
      </c>
      <c r="B19" s="376" t="s">
        <v>891</v>
      </c>
      <c r="C19" s="377" t="s">
        <v>1616</v>
      </c>
      <c r="D19" s="377"/>
      <c r="E19" s="377"/>
      <c r="F19" s="376" t="s">
        <v>1714</v>
      </c>
      <c r="G19" s="376" t="s">
        <v>1715</v>
      </c>
      <c r="H19" s="376" t="s">
        <v>1716</v>
      </c>
      <c r="I19" s="376" t="s">
        <v>1089</v>
      </c>
      <c r="J19" s="376" t="s">
        <v>1717</v>
      </c>
      <c r="K19" s="376" t="s">
        <v>1090</v>
      </c>
    </row>
    <row r="20" spans="1:11" x14ac:dyDescent="0.15">
      <c r="A20" s="378"/>
      <c r="B20" s="379"/>
      <c r="C20" s="379">
        <v>2021</v>
      </c>
      <c r="D20" s="379" t="s">
        <v>1713</v>
      </c>
      <c r="E20" s="379" t="s">
        <v>1784</v>
      </c>
      <c r="F20" s="379"/>
      <c r="G20" s="379"/>
      <c r="H20" s="379"/>
      <c r="I20" s="379"/>
      <c r="J20" s="379"/>
      <c r="K20" s="379"/>
    </row>
    <row r="21" spans="1:11" x14ac:dyDescent="0.15">
      <c r="A21" s="216" t="s">
        <v>1614</v>
      </c>
      <c r="B21" s="219">
        <v>4.46</v>
      </c>
      <c r="C21" s="219">
        <v>0.68</v>
      </c>
      <c r="D21" s="219">
        <v>1.47</v>
      </c>
      <c r="E21" s="219">
        <v>1.27</v>
      </c>
      <c r="F21" s="220">
        <v>0.15</v>
      </c>
      <c r="G21" s="474">
        <v>4.8000000000000001E-2</v>
      </c>
      <c r="H21" s="222">
        <f>(E21/C21)^0.5-1</f>
        <v>0.36661884182222848</v>
      </c>
      <c r="I21" s="219">
        <v>3</v>
      </c>
      <c r="J21" s="217">
        <f>B21/D21</f>
        <v>3.0340136054421767</v>
      </c>
      <c r="K21" s="219">
        <v>1.55</v>
      </c>
    </row>
    <row r="22" spans="1:11" x14ac:dyDescent="0.15">
      <c r="A22" s="216" t="s">
        <v>1766</v>
      </c>
      <c r="B22" s="219">
        <v>7.58</v>
      </c>
      <c r="C22" s="219">
        <v>1.01</v>
      </c>
      <c r="D22" s="218">
        <v>1.08</v>
      </c>
      <c r="E22" s="219">
        <v>1.02</v>
      </c>
      <c r="F22" s="220">
        <v>0.42</v>
      </c>
      <c r="G22" s="221">
        <v>5.7000000000000002E-2</v>
      </c>
      <c r="H22" s="222">
        <f>(E22/C22)^0.5-1</f>
        <v>4.9383016379711542E-3</v>
      </c>
      <c r="I22" s="217">
        <v>8.4</v>
      </c>
      <c r="J22" s="217">
        <f>B22/D22</f>
        <v>7.0185185185185182</v>
      </c>
      <c r="K22" s="218">
        <v>0.81</v>
      </c>
    </row>
    <row r="23" spans="1:11" x14ac:dyDescent="0.15">
      <c r="A23" s="223" t="s">
        <v>1681</v>
      </c>
      <c r="B23" s="224">
        <v>734</v>
      </c>
      <c r="C23" s="225">
        <v>4.88</v>
      </c>
      <c r="D23" s="226">
        <v>12.1</v>
      </c>
      <c r="E23" s="226">
        <v>14.4</v>
      </c>
      <c r="F23" s="227">
        <v>0</v>
      </c>
      <c r="G23" s="228">
        <f>F23*D23/B23</f>
        <v>0</v>
      </c>
      <c r="H23" s="229">
        <f>(E23/C23)^0.5-1</f>
        <v>0.7177950029416047</v>
      </c>
      <c r="I23" s="230">
        <v>28.3</v>
      </c>
      <c r="J23" s="224">
        <f>B23/D23</f>
        <v>60.66115702479339</v>
      </c>
      <c r="K23" s="225">
        <v>2.02</v>
      </c>
    </row>
    <row r="24" spans="1:11" x14ac:dyDescent="0.15">
      <c r="A24" s="216" t="s">
        <v>1718</v>
      </c>
      <c r="B24" s="216"/>
      <c r="C24" s="216"/>
      <c r="D24" s="216"/>
      <c r="E24" s="216"/>
      <c r="F24" s="216"/>
      <c r="G24" s="216"/>
      <c r="H24" s="216"/>
      <c r="I24" s="216"/>
      <c r="J24" s="216"/>
      <c r="K24" s="216"/>
    </row>
    <row r="25" spans="1:11" x14ac:dyDescent="0.15">
      <c r="B25" s="68"/>
    </row>
    <row r="26" spans="1:11" x14ac:dyDescent="0.15">
      <c r="A26" s="3" t="s">
        <v>231</v>
      </c>
      <c r="B26" s="104">
        <v>-5.0000000000000001E-3</v>
      </c>
    </row>
    <row r="27" spans="1:11" x14ac:dyDescent="0.15">
      <c r="A27" s="3" t="s">
        <v>232</v>
      </c>
      <c r="B27" s="104">
        <v>0.08</v>
      </c>
    </row>
    <row r="28" spans="1:11" x14ac:dyDescent="0.15">
      <c r="B28" s="68"/>
    </row>
    <row r="29" spans="1:11" ht="30" x14ac:dyDescent="0.15">
      <c r="A29" s="359"/>
      <c r="B29" s="476" t="s">
        <v>236</v>
      </c>
      <c r="C29" s="371" t="s">
        <v>233</v>
      </c>
      <c r="D29" s="371" t="s">
        <v>589</v>
      </c>
      <c r="E29" s="371" t="s">
        <v>548</v>
      </c>
      <c r="F29" s="371" t="s">
        <v>591</v>
      </c>
      <c r="G29" s="371" t="s">
        <v>1662</v>
      </c>
      <c r="H29" s="371" t="s">
        <v>1669</v>
      </c>
    </row>
    <row r="30" spans="1:11" x14ac:dyDescent="0.15">
      <c r="A30" s="16" t="str">
        <f>A21</f>
        <v>Glencore (£)</v>
      </c>
      <c r="B30" s="82" t="s">
        <v>1369</v>
      </c>
      <c r="C30" s="82" t="s">
        <v>1781</v>
      </c>
      <c r="D30" s="82" t="s">
        <v>1782</v>
      </c>
      <c r="E30" s="92">
        <f>B21/I21</f>
        <v>1.4866666666666666</v>
      </c>
      <c r="F30" s="231" t="s">
        <v>219</v>
      </c>
      <c r="G30" s="232">
        <f>$B$26+K21*$B$27</f>
        <v>0.11900000000000001</v>
      </c>
      <c r="H30" s="233">
        <f>D21/I21</f>
        <v>0.49</v>
      </c>
    </row>
    <row r="31" spans="1:11" x14ac:dyDescent="0.15">
      <c r="A31" s="16" t="str">
        <f>A22</f>
        <v>TF1 (€)</v>
      </c>
      <c r="B31" s="82" t="s">
        <v>1064</v>
      </c>
      <c r="C31" s="82" t="s">
        <v>1064</v>
      </c>
      <c r="D31" s="82" t="s">
        <v>1783</v>
      </c>
      <c r="E31" s="92">
        <f>B22/I22</f>
        <v>0.90238095238095239</v>
      </c>
      <c r="F31" s="82" t="s">
        <v>219</v>
      </c>
      <c r="G31" s="232">
        <f>$B$26+K22*$B$27</f>
        <v>5.9800000000000013E-2</v>
      </c>
      <c r="H31" s="233">
        <f>D22/I22</f>
        <v>0.12857142857142859</v>
      </c>
    </row>
    <row r="32" spans="1:11" x14ac:dyDescent="0.15">
      <c r="A32" s="16" t="str">
        <f>A23</f>
        <v>Tesla ($)</v>
      </c>
      <c r="B32" s="82" t="s">
        <v>1468</v>
      </c>
      <c r="C32" s="82" t="s">
        <v>1615</v>
      </c>
      <c r="D32" s="82" t="s">
        <v>1545</v>
      </c>
      <c r="E32" s="92">
        <f>B23/I23</f>
        <v>25.936395759717314</v>
      </c>
      <c r="F32" s="231" t="s">
        <v>222</v>
      </c>
      <c r="G32" s="232">
        <f>$B$26+K23*$B$27</f>
        <v>0.15659999999999999</v>
      </c>
      <c r="H32" s="233">
        <f>D23/I23</f>
        <v>0.42756183745583037</v>
      </c>
    </row>
    <row r="34" spans="1:5" ht="15" x14ac:dyDescent="0.15">
      <c r="A34" s="8" t="s">
        <v>196</v>
      </c>
    </row>
    <row r="35" spans="1:5" ht="15" x14ac:dyDescent="0.15">
      <c r="A35" s="8"/>
    </row>
    <row r="36" spans="1:5" x14ac:dyDescent="0.15">
      <c r="A36" s="359" t="s">
        <v>490</v>
      </c>
      <c r="B36" s="371" t="s">
        <v>74</v>
      </c>
      <c r="C36" s="371" t="s">
        <v>75</v>
      </c>
      <c r="D36" s="371" t="s">
        <v>76</v>
      </c>
      <c r="E36" s="371" t="s">
        <v>77</v>
      </c>
    </row>
    <row r="37" spans="1:5" x14ac:dyDescent="0.15">
      <c r="A37" s="16" t="s">
        <v>537</v>
      </c>
      <c r="B37" s="82">
        <v>10</v>
      </c>
      <c r="C37" s="82">
        <v>25</v>
      </c>
      <c r="D37" s="82">
        <v>7</v>
      </c>
      <c r="E37" s="82">
        <v>50</v>
      </c>
    </row>
    <row r="38" spans="1:5" x14ac:dyDescent="0.15">
      <c r="A38" s="16" t="s">
        <v>536</v>
      </c>
      <c r="B38" s="234">
        <v>0.95</v>
      </c>
      <c r="C38" s="234">
        <v>0.2</v>
      </c>
      <c r="D38" s="234">
        <v>0.2</v>
      </c>
      <c r="E38" s="235" t="s">
        <v>237</v>
      </c>
    </row>
    <row r="39" spans="1:5" x14ac:dyDescent="0.15">
      <c r="A39" s="16" t="s">
        <v>532</v>
      </c>
      <c r="B39" s="235" t="s">
        <v>234</v>
      </c>
      <c r="C39" s="234">
        <v>0.3</v>
      </c>
      <c r="D39" s="234">
        <v>0.05</v>
      </c>
      <c r="E39" s="234">
        <v>0.3</v>
      </c>
    </row>
    <row r="40" spans="1:5" x14ac:dyDescent="0.15">
      <c r="A40" s="16" t="s">
        <v>541</v>
      </c>
      <c r="B40" s="236">
        <v>0.15</v>
      </c>
      <c r="C40" s="236">
        <v>0.2</v>
      </c>
      <c r="D40" s="236">
        <v>0.25</v>
      </c>
      <c r="E40" s="236">
        <v>8</v>
      </c>
    </row>
    <row r="41" spans="1:5" ht="16" x14ac:dyDescent="0.15">
      <c r="A41" s="237" t="s">
        <v>1669</v>
      </c>
      <c r="B41" s="234">
        <v>0.1</v>
      </c>
      <c r="C41" s="234">
        <v>0.3</v>
      </c>
      <c r="D41" s="238">
        <f>D42/D37</f>
        <v>5.7142857142857148E-2</v>
      </c>
      <c r="E41" s="234">
        <v>0.9</v>
      </c>
    </row>
    <row r="42" spans="1:5" x14ac:dyDescent="0.15">
      <c r="A42" s="16" t="s">
        <v>548</v>
      </c>
      <c r="B42" s="82">
        <v>1</v>
      </c>
      <c r="C42" s="235">
        <f>C37*C41</f>
        <v>7.5</v>
      </c>
      <c r="D42" s="82">
        <v>0.4</v>
      </c>
      <c r="E42" s="82">
        <v>45</v>
      </c>
    </row>
    <row r="44" spans="1:5" x14ac:dyDescent="0.15">
      <c r="A44" s="3" t="s">
        <v>548</v>
      </c>
      <c r="B44" s="3">
        <f>B37*B41</f>
        <v>1</v>
      </c>
      <c r="C44" s="3">
        <f>C37*C41</f>
        <v>7.5</v>
      </c>
      <c r="D44" s="3">
        <f>D37*D41</f>
        <v>0.4</v>
      </c>
      <c r="E44" s="3">
        <f>E37*E41</f>
        <v>45</v>
      </c>
    </row>
    <row r="45" spans="1:5" x14ac:dyDescent="0.15">
      <c r="A45" s="3" t="s">
        <v>547</v>
      </c>
      <c r="B45" s="50">
        <f>B42/B37</f>
        <v>0.1</v>
      </c>
      <c r="C45" s="50">
        <f>C42/C37</f>
        <v>0.3</v>
      </c>
      <c r="D45" s="50">
        <f>D42/D37</f>
        <v>5.7142857142857148E-2</v>
      </c>
      <c r="E45" s="50">
        <f>E42/E37</f>
        <v>0.9</v>
      </c>
    </row>
    <row r="48" spans="1:5" ht="15" x14ac:dyDescent="0.15">
      <c r="A48" s="8" t="s">
        <v>1768</v>
      </c>
    </row>
    <row r="49" spans="1:12" s="6" customFormat="1" ht="48.5" customHeight="1" x14ac:dyDescent="0.15">
      <c r="A49" s="475"/>
      <c r="B49" s="476" t="s">
        <v>1769</v>
      </c>
      <c r="C49" s="476" t="s">
        <v>1772</v>
      </c>
      <c r="D49" s="476" t="s">
        <v>1770</v>
      </c>
      <c r="E49" s="476" t="s">
        <v>1771</v>
      </c>
      <c r="F49" s="476" t="s">
        <v>1773</v>
      </c>
      <c r="G49" s="476" t="s">
        <v>1774</v>
      </c>
      <c r="H49" s="476" t="s">
        <v>1775</v>
      </c>
      <c r="I49" s="476" t="s">
        <v>1776</v>
      </c>
      <c r="J49" s="476" t="s">
        <v>1777</v>
      </c>
      <c r="K49" s="476" t="s">
        <v>1778</v>
      </c>
      <c r="L49" s="476" t="s">
        <v>1779</v>
      </c>
    </row>
    <row r="50" spans="1:12" x14ac:dyDescent="0.15">
      <c r="A50" s="3" t="s">
        <v>74</v>
      </c>
      <c r="B50" s="500">
        <v>106</v>
      </c>
      <c r="C50" s="512">
        <f>B50/D50</f>
        <v>4.0151515151515156</v>
      </c>
      <c r="D50" s="502">
        <v>26.4</v>
      </c>
      <c r="E50" s="501">
        <v>0.68</v>
      </c>
      <c r="F50" s="501">
        <v>0.75</v>
      </c>
      <c r="G50" s="504">
        <v>0.19</v>
      </c>
      <c r="H50" s="506">
        <f>F50/B50</f>
        <v>7.0754716981132077E-3</v>
      </c>
      <c r="I50" s="510">
        <f>J50/B50</f>
        <v>188.67924528301887</v>
      </c>
      <c r="J50" s="507">
        <v>20000</v>
      </c>
      <c r="K50" s="507">
        <v>3716</v>
      </c>
      <c r="L50" s="29">
        <f>J50/K50</f>
        <v>5.3821313240043054</v>
      </c>
    </row>
    <row r="51" spans="1:12" x14ac:dyDescent="0.15">
      <c r="A51" s="3" t="s">
        <v>1767</v>
      </c>
      <c r="B51" s="500">
        <v>22.7</v>
      </c>
      <c r="C51" s="501">
        <v>1.56</v>
      </c>
      <c r="D51" s="513">
        <f>B51/C51</f>
        <v>14.551282051282051</v>
      </c>
      <c r="E51" s="501">
        <v>0</v>
      </c>
      <c r="F51" s="512">
        <f>C51*G51</f>
        <v>1.9032</v>
      </c>
      <c r="G51" s="504">
        <v>1.22</v>
      </c>
      <c r="H51" s="506">
        <v>8.4000000000000005E-2</v>
      </c>
      <c r="I51" s="503">
        <v>5.8</v>
      </c>
      <c r="J51" s="508">
        <f>I51*B51</f>
        <v>131.66</v>
      </c>
      <c r="K51" s="511">
        <v>72.900000000000006</v>
      </c>
      <c r="L51" s="509">
        <f>J51/K51</f>
        <v>1.8060356652949243</v>
      </c>
    </row>
    <row r="52" spans="1:12" x14ac:dyDescent="0.15">
      <c r="A52" s="3" t="s">
        <v>1780</v>
      </c>
      <c r="B52" s="500">
        <v>16.3</v>
      </c>
      <c r="C52" s="501">
        <v>3.46</v>
      </c>
      <c r="D52" s="499">
        <f>B52/C52</f>
        <v>4.710982658959538</v>
      </c>
      <c r="E52" s="501">
        <v>0.32</v>
      </c>
      <c r="F52" s="501">
        <v>1.03</v>
      </c>
      <c r="G52" s="81">
        <f t="shared" ref="G52:G53" si="0">F52/C52</f>
        <v>0.29768786127167629</v>
      </c>
      <c r="H52" s="515">
        <f>F52/B52</f>
        <v>6.3190184049079751E-2</v>
      </c>
      <c r="I52" s="507">
        <v>3129</v>
      </c>
      <c r="J52" s="105">
        <f>I52*B52</f>
        <v>51002.700000000004</v>
      </c>
      <c r="K52" s="508">
        <f>J52/L52</f>
        <v>39232.846153846156</v>
      </c>
      <c r="L52" s="503">
        <v>1.3</v>
      </c>
    </row>
    <row r="53" spans="1:12" x14ac:dyDescent="0.15">
      <c r="A53" s="3" t="s">
        <v>77</v>
      </c>
      <c r="B53" s="514">
        <f>J53/I53</f>
        <v>41.002108963093143</v>
      </c>
      <c r="C53" s="501">
        <v>5.58</v>
      </c>
      <c r="D53" s="513">
        <f>B53/C53</f>
        <v>7.3480482012711725</v>
      </c>
      <c r="E53" s="501">
        <v>3.23</v>
      </c>
      <c r="F53" s="501">
        <v>3.1</v>
      </c>
      <c r="G53" s="505">
        <f t="shared" si="0"/>
        <v>0.55555555555555558</v>
      </c>
      <c r="H53" s="506">
        <v>7.9000000000000001E-2</v>
      </c>
      <c r="I53" s="507">
        <v>2845</v>
      </c>
      <c r="J53" s="507">
        <v>116651</v>
      </c>
      <c r="K53" s="507">
        <v>117083</v>
      </c>
      <c r="L53" s="29">
        <f>J53/K53</f>
        <v>0.99631030978024138</v>
      </c>
    </row>
    <row r="55" spans="1:12" x14ac:dyDescent="0.15">
      <c r="C55" s="477"/>
    </row>
  </sheetData>
  <phoneticPr fontId="4" type="noConversion"/>
  <pageMargins left="0.78740157480314965" right="0.78740157480314965" top="0.98425196850393704" bottom="0.98425196850393704" header="0.51181102362204722" footer="0.51181102362204722"/>
  <pageSetup paperSize="9" scale="62" fitToHeight="3" orientation="landscape"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BZ114"/>
  <sheetViews>
    <sheetView showGridLines="0" workbookViewId="0">
      <selection sqref="A1:XFD1048576"/>
    </sheetView>
  </sheetViews>
  <sheetFormatPr baseColWidth="10" defaultColWidth="11" defaultRowHeight="14" x14ac:dyDescent="0.15"/>
  <cols>
    <col min="1" max="1" width="39" style="3" bestFit="1" customWidth="1"/>
    <col min="2" max="2" width="12.83203125" style="74" bestFit="1" customWidth="1"/>
    <col min="3" max="3" width="11.83203125" style="3" bestFit="1" customWidth="1"/>
    <col min="4" max="6" width="11" style="3"/>
    <col min="7" max="7" width="13.1640625" style="3" bestFit="1" customWidth="1"/>
    <col min="8" max="9" width="11" style="3"/>
    <col min="10" max="10" width="11.83203125" style="3" bestFit="1" customWidth="1"/>
    <col min="11" max="16384" width="11" style="3"/>
  </cols>
  <sheetData>
    <row r="1" spans="1:9" ht="15" x14ac:dyDescent="0.15">
      <c r="A1" s="1" t="s">
        <v>1719</v>
      </c>
      <c r="B1" s="346" t="s">
        <v>353</v>
      </c>
      <c r="C1" s="6" t="s">
        <v>353</v>
      </c>
    </row>
    <row r="2" spans="1:9" x14ac:dyDescent="0.15">
      <c r="A2" s="347" t="s">
        <v>942</v>
      </c>
      <c r="E2" s="347" t="s">
        <v>794</v>
      </c>
    </row>
    <row r="3" spans="1:9" x14ac:dyDescent="0.15">
      <c r="A3" s="3" t="s">
        <v>945</v>
      </c>
      <c r="B3" s="166">
        <f>J30</f>
        <v>340500</v>
      </c>
      <c r="C3" s="74"/>
      <c r="E3" s="7" t="s">
        <v>1181</v>
      </c>
      <c r="F3" s="7"/>
      <c r="G3" s="348">
        <f>I30*B43</f>
        <v>340500</v>
      </c>
    </row>
    <row r="4" spans="1:9" x14ac:dyDescent="0.15">
      <c r="A4" s="3" t="s">
        <v>946</v>
      </c>
      <c r="B4" s="166">
        <f>B5+B6</f>
        <v>19175</v>
      </c>
      <c r="C4" s="74"/>
      <c r="G4" s="145"/>
    </row>
    <row r="5" spans="1:9" s="352" customFormat="1" x14ac:dyDescent="0.15">
      <c r="A5" s="349" t="s">
        <v>1144</v>
      </c>
      <c r="B5" s="350">
        <f>G30*B30</f>
        <v>14300</v>
      </c>
      <c r="C5" s="351"/>
      <c r="G5" s="353"/>
      <c r="I5" s="3"/>
    </row>
    <row r="6" spans="1:9" s="352" customFormat="1" ht="11" x14ac:dyDescent="0.15">
      <c r="A6" s="349" t="s">
        <v>1142</v>
      </c>
      <c r="B6" s="350">
        <f>G30/B42*B44</f>
        <v>4875</v>
      </c>
      <c r="C6" s="354"/>
      <c r="G6" s="353"/>
    </row>
    <row r="7" spans="1:9" x14ac:dyDescent="0.15">
      <c r="A7" s="7" t="s">
        <v>947</v>
      </c>
      <c r="B7" s="147">
        <f>B3+B4</f>
        <v>359675</v>
      </c>
      <c r="C7" s="74"/>
      <c r="G7" s="145"/>
      <c r="H7" s="3" t="s">
        <v>353</v>
      </c>
      <c r="I7" s="3" t="s">
        <v>353</v>
      </c>
    </row>
    <row r="8" spans="1:9" x14ac:dyDescent="0.15">
      <c r="A8" s="3" t="s">
        <v>948</v>
      </c>
      <c r="B8" s="166">
        <f>B9+B10+B11</f>
        <v>354000</v>
      </c>
      <c r="C8" s="74"/>
      <c r="E8" s="3" t="s">
        <v>795</v>
      </c>
      <c r="G8" s="87">
        <f>G9+G10+G11</f>
        <v>339825</v>
      </c>
    </row>
    <row r="9" spans="1:9" s="352" customFormat="1" ht="11" x14ac:dyDescent="0.15">
      <c r="A9" s="349" t="s">
        <v>936</v>
      </c>
      <c r="B9" s="350">
        <f>B44</f>
        <v>90000</v>
      </c>
      <c r="C9" s="351"/>
      <c r="E9" s="349" t="s">
        <v>1146</v>
      </c>
      <c r="G9" s="355">
        <f>B9*I30/(I30+G30)</f>
        <v>85125</v>
      </c>
    </row>
    <row r="10" spans="1:9" s="352" customFormat="1" ht="11" x14ac:dyDescent="0.15">
      <c r="A10" s="349" t="s">
        <v>1031</v>
      </c>
      <c r="B10" s="350">
        <f>J31</f>
        <v>267050</v>
      </c>
      <c r="C10" s="351"/>
      <c r="E10" s="349" t="s">
        <v>1395</v>
      </c>
      <c r="G10" s="355">
        <f>I30*SUM(B32:B39)</f>
        <v>249700</v>
      </c>
    </row>
    <row r="11" spans="1:9" s="352" customFormat="1" ht="11" x14ac:dyDescent="0.15">
      <c r="A11" s="349" t="s">
        <v>1032</v>
      </c>
      <c r="B11" s="350">
        <f>-H31</f>
        <v>-3050</v>
      </c>
      <c r="C11" s="351"/>
      <c r="E11" s="349" t="s">
        <v>1040</v>
      </c>
      <c r="G11" s="355">
        <f>B15</f>
        <v>5000</v>
      </c>
    </row>
    <row r="12" spans="1:9" s="352" customFormat="1" ht="11" x14ac:dyDescent="0.15">
      <c r="A12" s="349" t="s">
        <v>353</v>
      </c>
      <c r="B12" s="350" t="s">
        <v>353</v>
      </c>
      <c r="C12" s="351"/>
      <c r="G12" s="353"/>
    </row>
    <row r="13" spans="1:9" x14ac:dyDescent="0.15">
      <c r="A13" s="7" t="s">
        <v>985</v>
      </c>
      <c r="B13" s="147">
        <f>B7-B8</f>
        <v>5675</v>
      </c>
      <c r="C13" s="74"/>
      <c r="G13" s="145"/>
    </row>
    <row r="14" spans="1:9" x14ac:dyDescent="0.15">
      <c r="A14" s="3" t="s">
        <v>986</v>
      </c>
      <c r="B14" s="166">
        <f>B15</f>
        <v>5000</v>
      </c>
      <c r="C14" s="74"/>
      <c r="G14" s="145"/>
    </row>
    <row r="15" spans="1:9" s="352" customFormat="1" ht="11" x14ac:dyDescent="0.15">
      <c r="A15" s="349" t="s">
        <v>1040</v>
      </c>
      <c r="B15" s="350">
        <f>B48/B51*(12-B55)/12</f>
        <v>5000</v>
      </c>
      <c r="C15" s="351"/>
      <c r="G15" s="353"/>
    </row>
    <row r="16" spans="1:9" x14ac:dyDescent="0.15">
      <c r="A16" s="3" t="s">
        <v>1013</v>
      </c>
      <c r="B16" s="166">
        <v>0</v>
      </c>
      <c r="C16" s="74"/>
      <c r="G16" s="145"/>
    </row>
    <row r="17" spans="1:10" x14ac:dyDescent="0.15">
      <c r="A17" s="7" t="s">
        <v>1014</v>
      </c>
      <c r="B17" s="147"/>
      <c r="C17" s="74"/>
      <c r="D17" s="356">
        <f>G3-G8</f>
        <v>675</v>
      </c>
      <c r="E17" s="7"/>
    </row>
    <row r="18" spans="1:10" x14ac:dyDescent="0.15">
      <c r="A18" s="3" t="s">
        <v>1015</v>
      </c>
      <c r="C18" s="74"/>
      <c r="D18" s="166">
        <f>D19</f>
        <v>600</v>
      </c>
    </row>
    <row r="19" spans="1:10" s="352" customFormat="1" ht="11" x14ac:dyDescent="0.15">
      <c r="A19" s="349" t="s">
        <v>1042</v>
      </c>
      <c r="C19" s="351"/>
      <c r="D19" s="350">
        <f>$B57*$B58*B59/12</f>
        <v>600</v>
      </c>
    </row>
    <row r="20" spans="1:10" x14ac:dyDescent="0.15">
      <c r="A20" s="7" t="s">
        <v>1016</v>
      </c>
      <c r="C20" s="74"/>
      <c r="D20" s="166">
        <f>D17-D18</f>
        <v>75</v>
      </c>
    </row>
    <row r="21" spans="1:10" x14ac:dyDescent="0.15">
      <c r="A21" s="3" t="s">
        <v>1017</v>
      </c>
      <c r="C21" s="74"/>
      <c r="D21" s="147">
        <v>45000</v>
      </c>
    </row>
    <row r="22" spans="1:10" s="352" customFormat="1" ht="11" x14ac:dyDescent="0.15">
      <c r="A22" s="349" t="s">
        <v>1035</v>
      </c>
      <c r="D22" s="350">
        <f>B53</f>
        <v>45000</v>
      </c>
    </row>
    <row r="23" spans="1:10" x14ac:dyDescent="0.15">
      <c r="A23" s="3" t="s">
        <v>1018</v>
      </c>
      <c r="C23" s="74"/>
      <c r="D23" s="166">
        <f>(D20+D21)*$B61</f>
        <v>15776.249999999998</v>
      </c>
    </row>
    <row r="24" spans="1:10" x14ac:dyDescent="0.15">
      <c r="A24" s="7" t="s">
        <v>1019</v>
      </c>
      <c r="C24" s="74"/>
      <c r="D24" s="147">
        <f>D20+D21-D23</f>
        <v>29298.75</v>
      </c>
    </row>
    <row r="25" spans="1:10" x14ac:dyDescent="0.15">
      <c r="A25" s="3" t="s">
        <v>1020</v>
      </c>
      <c r="D25" s="166">
        <v>0</v>
      </c>
    </row>
    <row r="26" spans="1:10" x14ac:dyDescent="0.15">
      <c r="A26" s="7" t="s">
        <v>1021</v>
      </c>
      <c r="C26" s="74"/>
      <c r="D26" s="147">
        <f>D24-D25</f>
        <v>29298.75</v>
      </c>
    </row>
    <row r="29" spans="1:10" x14ac:dyDescent="0.15">
      <c r="A29" s="334" t="s">
        <v>935</v>
      </c>
      <c r="B29" s="334" t="s">
        <v>1023</v>
      </c>
      <c r="C29" s="397" t="s">
        <v>1136</v>
      </c>
      <c r="D29" s="334" t="s">
        <v>1138</v>
      </c>
      <c r="E29" s="334" t="s">
        <v>1137</v>
      </c>
      <c r="F29" s="334" t="s">
        <v>1139</v>
      </c>
      <c r="G29" s="334" t="s">
        <v>1140</v>
      </c>
      <c r="H29" s="334"/>
      <c r="I29" s="334" t="s">
        <v>1145</v>
      </c>
      <c r="J29" s="334"/>
    </row>
    <row r="30" spans="1:10" s="22" customFormat="1" ht="11" x14ac:dyDescent="0.15">
      <c r="A30" s="100" t="s">
        <v>1022</v>
      </c>
      <c r="B30" s="167">
        <f>SUM(B32:B39)</f>
        <v>1100</v>
      </c>
      <c r="C30" s="22">
        <v>14</v>
      </c>
      <c r="D30" s="167">
        <f>B30*C30</f>
        <v>15400</v>
      </c>
      <c r="E30" s="22">
        <v>27</v>
      </c>
      <c r="F30" s="167">
        <f>B30*E30</f>
        <v>29700</v>
      </c>
      <c r="G30" s="22">
        <f>E30-C30</f>
        <v>13</v>
      </c>
      <c r="H30" s="167">
        <f t="shared" ref="H30:H39" si="0">F30-D30</f>
        <v>14300</v>
      </c>
      <c r="I30" s="22">
        <f>B42+C30-E30</f>
        <v>227</v>
      </c>
      <c r="J30" s="167">
        <f>I30*B43</f>
        <v>340500</v>
      </c>
    </row>
    <row r="31" spans="1:10" x14ac:dyDescent="0.15">
      <c r="A31" s="3" t="s">
        <v>1033</v>
      </c>
      <c r="B31" s="166"/>
      <c r="C31" s="74"/>
      <c r="D31" s="166">
        <f>SUM(D32:D39)</f>
        <v>5400</v>
      </c>
      <c r="F31" s="166">
        <f>SUM(F32:F39)</f>
        <v>8450</v>
      </c>
      <c r="G31" s="192"/>
      <c r="H31" s="166">
        <f t="shared" si="0"/>
        <v>3050</v>
      </c>
      <c r="I31" s="3" t="s">
        <v>1141</v>
      </c>
      <c r="J31" s="166">
        <f>SUM(J32:J39)</f>
        <v>267050</v>
      </c>
    </row>
    <row r="32" spans="1:10" s="22" customFormat="1" ht="11" x14ac:dyDescent="0.15">
      <c r="A32" s="100" t="s">
        <v>1024</v>
      </c>
      <c r="B32" s="167">
        <v>50</v>
      </c>
      <c r="C32" s="22">
        <v>5</v>
      </c>
      <c r="D32" s="167">
        <f>B32*C32</f>
        <v>250</v>
      </c>
      <c r="E32" s="22">
        <v>13</v>
      </c>
      <c r="F32" s="167">
        <f>B32*E32</f>
        <v>650</v>
      </c>
      <c r="G32" s="22">
        <f t="shared" ref="G32:G39" si="1">E32-C32</f>
        <v>8</v>
      </c>
      <c r="H32" s="167">
        <f t="shared" si="0"/>
        <v>400</v>
      </c>
      <c r="I32" s="22">
        <f>B$42+G32</f>
        <v>248</v>
      </c>
      <c r="J32" s="167">
        <f>I32*B32</f>
        <v>12400</v>
      </c>
    </row>
    <row r="33" spans="1:10" s="22" customFormat="1" ht="11" x14ac:dyDescent="0.15">
      <c r="A33" s="100" t="s">
        <v>1025</v>
      </c>
      <c r="B33" s="167">
        <v>200</v>
      </c>
      <c r="C33" s="22">
        <v>8</v>
      </c>
      <c r="D33" s="167">
        <f t="shared" ref="D33:D39" si="2">B33*C33</f>
        <v>1600</v>
      </c>
      <c r="E33" s="22">
        <v>2</v>
      </c>
      <c r="F33" s="167">
        <f t="shared" ref="F33:F39" si="3">B33*E33</f>
        <v>400</v>
      </c>
      <c r="G33" s="22">
        <f t="shared" si="1"/>
        <v>-6</v>
      </c>
      <c r="H33" s="167">
        <f t="shared" si="0"/>
        <v>-1200</v>
      </c>
      <c r="I33" s="22">
        <f t="shared" ref="I33:I39" si="4">B$42+G33</f>
        <v>234</v>
      </c>
      <c r="J33" s="167">
        <f t="shared" ref="J33:J39" si="5">I33*B33</f>
        <v>46800</v>
      </c>
    </row>
    <row r="34" spans="1:10" s="22" customFormat="1" ht="11" x14ac:dyDescent="0.15">
      <c r="A34" s="100" t="s">
        <v>1026</v>
      </c>
      <c r="B34" s="167">
        <v>300</v>
      </c>
      <c r="C34" s="22">
        <v>4</v>
      </c>
      <c r="D34" s="167">
        <f t="shared" si="2"/>
        <v>1200</v>
      </c>
      <c r="E34" s="22">
        <v>11</v>
      </c>
      <c r="F34" s="167">
        <f t="shared" si="3"/>
        <v>3300</v>
      </c>
      <c r="G34" s="22">
        <f t="shared" si="1"/>
        <v>7</v>
      </c>
      <c r="H34" s="167">
        <f t="shared" si="0"/>
        <v>2100</v>
      </c>
      <c r="I34" s="22">
        <f t="shared" si="4"/>
        <v>247</v>
      </c>
      <c r="J34" s="167">
        <f t="shared" si="5"/>
        <v>74100</v>
      </c>
    </row>
    <row r="35" spans="1:10" s="22" customFormat="1" ht="11" x14ac:dyDescent="0.15">
      <c r="A35" s="100" t="s">
        <v>1027</v>
      </c>
      <c r="B35" s="167">
        <v>100</v>
      </c>
      <c r="C35" s="22">
        <v>6</v>
      </c>
      <c r="D35" s="167">
        <f t="shared" si="2"/>
        <v>600</v>
      </c>
      <c r="E35" s="22">
        <v>4</v>
      </c>
      <c r="F35" s="167">
        <f t="shared" si="3"/>
        <v>400</v>
      </c>
      <c r="G35" s="22">
        <f t="shared" si="1"/>
        <v>-2</v>
      </c>
      <c r="H35" s="167">
        <f t="shared" si="0"/>
        <v>-200</v>
      </c>
      <c r="I35" s="22">
        <f t="shared" si="4"/>
        <v>238</v>
      </c>
      <c r="J35" s="167">
        <f t="shared" si="5"/>
        <v>23800</v>
      </c>
    </row>
    <row r="36" spans="1:10" s="22" customFormat="1" ht="11" x14ac:dyDescent="0.15">
      <c r="A36" s="100" t="s">
        <v>1028</v>
      </c>
      <c r="B36" s="167">
        <v>50</v>
      </c>
      <c r="C36" s="22">
        <v>1</v>
      </c>
      <c r="D36" s="167">
        <f t="shared" si="2"/>
        <v>50</v>
      </c>
      <c r="E36" s="22">
        <v>13</v>
      </c>
      <c r="F36" s="167">
        <f t="shared" si="3"/>
        <v>650</v>
      </c>
      <c r="G36" s="22">
        <f t="shared" si="1"/>
        <v>12</v>
      </c>
      <c r="H36" s="167">
        <f t="shared" si="0"/>
        <v>600</v>
      </c>
      <c r="I36" s="22">
        <f t="shared" si="4"/>
        <v>252</v>
      </c>
      <c r="J36" s="167">
        <f t="shared" si="5"/>
        <v>12600</v>
      </c>
    </row>
    <row r="37" spans="1:10" s="22" customFormat="1" ht="11" x14ac:dyDescent="0.15">
      <c r="A37" s="100" t="s">
        <v>1029</v>
      </c>
      <c r="B37" s="167">
        <v>150</v>
      </c>
      <c r="C37" s="22">
        <v>5</v>
      </c>
      <c r="D37" s="167">
        <f t="shared" si="2"/>
        <v>750</v>
      </c>
      <c r="E37" s="22">
        <v>10</v>
      </c>
      <c r="F37" s="167">
        <f t="shared" si="3"/>
        <v>1500</v>
      </c>
      <c r="G37" s="22">
        <f t="shared" si="1"/>
        <v>5</v>
      </c>
      <c r="H37" s="167">
        <f t="shared" si="0"/>
        <v>750</v>
      </c>
      <c r="I37" s="22">
        <f t="shared" si="4"/>
        <v>245</v>
      </c>
      <c r="J37" s="167">
        <f t="shared" si="5"/>
        <v>36750</v>
      </c>
    </row>
    <row r="38" spans="1:10" s="22" customFormat="1" ht="11" x14ac:dyDescent="0.15">
      <c r="A38" s="100" t="s">
        <v>1030</v>
      </c>
      <c r="B38" s="167">
        <v>200</v>
      </c>
      <c r="C38" s="22">
        <v>3</v>
      </c>
      <c r="D38" s="167">
        <f t="shared" si="2"/>
        <v>600</v>
      </c>
      <c r="E38" s="22">
        <v>3</v>
      </c>
      <c r="F38" s="167">
        <f t="shared" si="3"/>
        <v>600</v>
      </c>
      <c r="G38" s="22">
        <f t="shared" si="1"/>
        <v>0</v>
      </c>
      <c r="H38" s="167">
        <f t="shared" si="0"/>
        <v>0</v>
      </c>
      <c r="I38" s="22">
        <f t="shared" si="4"/>
        <v>240</v>
      </c>
      <c r="J38" s="167">
        <f t="shared" si="5"/>
        <v>48000</v>
      </c>
    </row>
    <row r="39" spans="1:10" s="22" customFormat="1" ht="11" x14ac:dyDescent="0.15">
      <c r="A39" s="100" t="s">
        <v>1658</v>
      </c>
      <c r="B39" s="167">
        <v>50</v>
      </c>
      <c r="C39" s="22">
        <v>7</v>
      </c>
      <c r="D39" s="167">
        <f t="shared" si="2"/>
        <v>350</v>
      </c>
      <c r="E39" s="22">
        <v>19</v>
      </c>
      <c r="F39" s="167">
        <f t="shared" si="3"/>
        <v>950</v>
      </c>
      <c r="G39" s="22">
        <f t="shared" si="1"/>
        <v>12</v>
      </c>
      <c r="H39" s="167">
        <f t="shared" si="0"/>
        <v>600</v>
      </c>
      <c r="I39" s="22">
        <f t="shared" si="4"/>
        <v>252</v>
      </c>
      <c r="J39" s="167">
        <f t="shared" si="5"/>
        <v>12600</v>
      </c>
    </row>
    <row r="42" spans="1:10" x14ac:dyDescent="0.15">
      <c r="A42" s="3" t="s">
        <v>28</v>
      </c>
      <c r="B42" s="166">
        <v>240</v>
      </c>
    </row>
    <row r="43" spans="1:10" x14ac:dyDescent="0.15">
      <c r="A43" s="3" t="s">
        <v>1034</v>
      </c>
      <c r="B43" s="166">
        <v>1500</v>
      </c>
    </row>
    <row r="44" spans="1:10" x14ac:dyDescent="0.15">
      <c r="A44" s="3" t="s">
        <v>1143</v>
      </c>
      <c r="B44" s="166">
        <f>B45+B46</f>
        <v>90000</v>
      </c>
    </row>
    <row r="45" spans="1:10" s="352" customFormat="1" ht="11" x14ac:dyDescent="0.15">
      <c r="A45" s="349" t="s">
        <v>1146</v>
      </c>
      <c r="B45" s="350">
        <v>60000</v>
      </c>
    </row>
    <row r="46" spans="1:10" s="352" customFormat="1" ht="11" x14ac:dyDescent="0.15">
      <c r="A46" s="349" t="s">
        <v>1147</v>
      </c>
      <c r="B46" s="350">
        <f>B45*0.5</f>
        <v>30000</v>
      </c>
    </row>
    <row r="47" spans="1:10" x14ac:dyDescent="0.15">
      <c r="B47" s="166"/>
    </row>
    <row r="48" spans="1:10" x14ac:dyDescent="0.15">
      <c r="A48" s="3" t="s">
        <v>1036</v>
      </c>
      <c r="B48" s="166">
        <v>200000</v>
      </c>
    </row>
    <row r="49" spans="1:3" x14ac:dyDescent="0.15">
      <c r="A49" s="3" t="s">
        <v>1148</v>
      </c>
      <c r="B49" s="166">
        <f>B48*(1-B52/B51)</f>
        <v>185000</v>
      </c>
    </row>
    <row r="50" spans="1:3" x14ac:dyDescent="0.15">
      <c r="A50" s="3" t="s">
        <v>1037</v>
      </c>
      <c r="B50" s="166">
        <v>230000</v>
      </c>
    </row>
    <row r="51" spans="1:3" x14ac:dyDescent="0.15">
      <c r="A51" s="3" t="s">
        <v>1038</v>
      </c>
      <c r="B51" s="166">
        <v>40</v>
      </c>
    </row>
    <row r="52" spans="1:3" x14ac:dyDescent="0.15">
      <c r="A52" s="3" t="s">
        <v>1039</v>
      </c>
      <c r="B52" s="166">
        <v>3</v>
      </c>
    </row>
    <row r="53" spans="1:3" x14ac:dyDescent="0.15">
      <c r="A53" s="3" t="s">
        <v>1149</v>
      </c>
      <c r="B53" s="166">
        <f>B50-B49</f>
        <v>45000</v>
      </c>
    </row>
    <row r="55" spans="1:3" x14ac:dyDescent="0.15">
      <c r="A55" s="3" t="s">
        <v>1041</v>
      </c>
      <c r="B55" s="166">
        <v>0</v>
      </c>
      <c r="C55" s="166">
        <v>12</v>
      </c>
    </row>
    <row r="57" spans="1:3" x14ac:dyDescent="0.15">
      <c r="A57" s="3" t="s">
        <v>1043</v>
      </c>
      <c r="B57" s="166">
        <v>12000</v>
      </c>
    </row>
    <row r="58" spans="1:3" x14ac:dyDescent="0.15">
      <c r="A58" s="3" t="s">
        <v>1044</v>
      </c>
      <c r="B58" s="81">
        <v>0.05</v>
      </c>
    </row>
    <row r="59" spans="1:3" x14ac:dyDescent="0.15">
      <c r="A59" s="3" t="s">
        <v>1045</v>
      </c>
      <c r="B59" s="166">
        <v>12</v>
      </c>
      <c r="C59" s="166">
        <v>0</v>
      </c>
    </row>
    <row r="61" spans="1:3" x14ac:dyDescent="0.15">
      <c r="A61" s="3" t="s">
        <v>1046</v>
      </c>
      <c r="B61" s="81">
        <v>0.35</v>
      </c>
    </row>
    <row r="64" spans="1:3" ht="15" x14ac:dyDescent="0.15">
      <c r="A64" s="8" t="s">
        <v>1720</v>
      </c>
    </row>
    <row r="65" spans="1:78" ht="15" x14ac:dyDescent="0.15">
      <c r="A65" s="380" t="s">
        <v>941</v>
      </c>
      <c r="B65" s="398">
        <v>1</v>
      </c>
      <c r="C65" s="398">
        <v>2</v>
      </c>
      <c r="D65" s="398">
        <v>3</v>
      </c>
    </row>
    <row r="66" spans="1:78" ht="15" x14ac:dyDescent="0.15">
      <c r="A66" s="6" t="s">
        <v>947</v>
      </c>
      <c r="B66" s="166">
        <f>B67+B68</f>
        <v>142</v>
      </c>
      <c r="C66" s="166">
        <f>C67+C68</f>
        <v>144</v>
      </c>
      <c r="D66" s="166">
        <f>D67+D68</f>
        <v>144</v>
      </c>
    </row>
    <row r="67" spans="1:78" s="192" customFormat="1" ht="12" x14ac:dyDescent="0.15">
      <c r="A67" s="357" t="s">
        <v>945</v>
      </c>
      <c r="B67" s="481">
        <v>132</v>
      </c>
      <c r="C67" s="481">
        <f>'[1]Chapitre 2'!D28</f>
        <v>144</v>
      </c>
      <c r="D67" s="481">
        <f>'[1]Chapitre 2'!E28</f>
        <v>144</v>
      </c>
    </row>
    <row r="68" spans="1:78" s="192" customFormat="1" ht="12" x14ac:dyDescent="0.15">
      <c r="A68" s="357" t="s">
        <v>946</v>
      </c>
      <c r="B68" s="481">
        <f>4+4+2</f>
        <v>10</v>
      </c>
      <c r="C68" s="167"/>
      <c r="D68" s="167"/>
    </row>
    <row r="69" spans="1:78" ht="15" x14ac:dyDescent="0.15">
      <c r="A69" s="6" t="s">
        <v>948</v>
      </c>
      <c r="B69" s="166">
        <f>SUM(B70:B72)</f>
        <v>120</v>
      </c>
      <c r="C69" s="166">
        <f>SUM(C70:C72)</f>
        <v>120</v>
      </c>
      <c r="D69" s="166">
        <f>SUM(D70:D72)</f>
        <v>120</v>
      </c>
    </row>
    <row r="70" spans="1:78" s="22" customFormat="1" ht="12" x14ac:dyDescent="0.15">
      <c r="A70" s="17" t="s">
        <v>1158</v>
      </c>
      <c r="B70" s="481">
        <f>52-4</f>
        <v>48</v>
      </c>
      <c r="C70" s="481">
        <v>48</v>
      </c>
      <c r="D70" s="481">
        <v>48</v>
      </c>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row>
    <row r="71" spans="1:78" s="22" customFormat="1" ht="12" x14ac:dyDescent="0.15">
      <c r="A71" s="17" t="s">
        <v>937</v>
      </c>
      <c r="B71" s="481">
        <v>24</v>
      </c>
      <c r="C71" s="481">
        <v>24</v>
      </c>
      <c r="D71" s="481">
        <v>24</v>
      </c>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row>
    <row r="72" spans="1:78" s="22" customFormat="1" ht="12" x14ac:dyDescent="0.15">
      <c r="A72" s="17" t="s">
        <v>936</v>
      </c>
      <c r="B72" s="481">
        <v>48</v>
      </c>
      <c r="C72" s="481">
        <v>48</v>
      </c>
      <c r="D72" s="481">
        <v>48</v>
      </c>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row>
    <row r="73" spans="1:78" ht="15" x14ac:dyDescent="0.15">
      <c r="A73" s="4" t="s">
        <v>1047</v>
      </c>
      <c r="B73" s="166">
        <f>B66-B69</f>
        <v>22</v>
      </c>
      <c r="C73" s="166">
        <f>C66-C69</f>
        <v>24</v>
      </c>
      <c r="D73" s="166">
        <f>D66-D69</f>
        <v>24</v>
      </c>
    </row>
    <row r="74" spans="1:78" ht="15" x14ac:dyDescent="0.15">
      <c r="A74" s="6" t="s">
        <v>1048</v>
      </c>
      <c r="B74" s="166">
        <v>6</v>
      </c>
      <c r="C74" s="166">
        <f>B74</f>
        <v>6</v>
      </c>
      <c r="D74" s="166">
        <f>B74</f>
        <v>6</v>
      </c>
    </row>
    <row r="75" spans="1:78" ht="15" x14ac:dyDescent="0.15">
      <c r="A75" s="4" t="s">
        <v>1014</v>
      </c>
      <c r="B75" s="166">
        <f>B73-B74</f>
        <v>16</v>
      </c>
      <c r="C75" s="166">
        <f>C73-C74</f>
        <v>18</v>
      </c>
      <c r="D75" s="166">
        <f>D73-D74</f>
        <v>18</v>
      </c>
    </row>
    <row r="76" spans="1:78" ht="15" x14ac:dyDescent="0.15">
      <c r="A76" s="6" t="s">
        <v>1049</v>
      </c>
      <c r="B76" s="264" t="e">
        <f>SUMIF('[1]Chapitre 2'!$F$12:$CB$12,B65,'[1]Chapitre 2'!$F$24:$CB$24)</f>
        <v>#VALUE!</v>
      </c>
      <c r="C76" s="264" t="e">
        <f>SUMIF('[1]Chapitre 2'!$F$12:$CB$12,C65,'[1]Chapitre 2'!$F$24:$CB$24)</f>
        <v>#VALUE!</v>
      </c>
      <c r="D76" s="264" t="e">
        <f>SUMIF('[1]Chapitre 2'!$F$12:$CB$12,D65,'[1]Chapitre 2'!$F$24:$CB$24)</f>
        <v>#VALUE!</v>
      </c>
    </row>
    <row r="77" spans="1:78" ht="15" x14ac:dyDescent="0.15">
      <c r="A77" s="4" t="s">
        <v>1050</v>
      </c>
      <c r="B77" s="264" t="e">
        <f>B75-B76</f>
        <v>#VALUE!</v>
      </c>
      <c r="C77" s="264" t="e">
        <f>C75-C76</f>
        <v>#VALUE!</v>
      </c>
      <c r="D77" s="264" t="e">
        <f>D75-D76</f>
        <v>#VALUE!</v>
      </c>
    </row>
    <row r="78" spans="1:78" ht="15" x14ac:dyDescent="0.15">
      <c r="A78" s="6" t="s">
        <v>1018</v>
      </c>
      <c r="B78" s="264">
        <v>0</v>
      </c>
      <c r="C78" s="264">
        <v>0</v>
      </c>
      <c r="D78" s="264">
        <v>0</v>
      </c>
    </row>
    <row r="79" spans="1:78" ht="15" x14ac:dyDescent="0.15">
      <c r="A79" s="4" t="s">
        <v>1051</v>
      </c>
      <c r="B79" s="264" t="e">
        <f>B77-B78</f>
        <v>#VALUE!</v>
      </c>
      <c r="C79" s="264" t="e">
        <f>C77-C78</f>
        <v>#VALUE!</v>
      </c>
      <c r="D79" s="264" t="e">
        <f>D77-D78</f>
        <v>#VALUE!</v>
      </c>
    </row>
    <row r="80" spans="1:78" ht="15" x14ac:dyDescent="0.15">
      <c r="A80" s="6" t="s">
        <v>1020</v>
      </c>
    </row>
    <row r="81" spans="1:4" ht="15" x14ac:dyDescent="0.15">
      <c r="A81" s="6" t="s">
        <v>1021</v>
      </c>
    </row>
    <row r="83" spans="1:4" ht="15" x14ac:dyDescent="0.15">
      <c r="A83" s="8" t="s">
        <v>901</v>
      </c>
    </row>
    <row r="84" spans="1:4" ht="15" x14ac:dyDescent="0.15">
      <c r="A84" s="4" t="s">
        <v>941</v>
      </c>
    </row>
    <row r="85" spans="1:4" x14ac:dyDescent="0.15">
      <c r="A85" s="3" t="s">
        <v>1159</v>
      </c>
      <c r="B85" s="166">
        <f>B67</f>
        <v>132</v>
      </c>
      <c r="C85" s="166">
        <f>C67</f>
        <v>144</v>
      </c>
      <c r="D85" s="166">
        <f>D67</f>
        <v>144</v>
      </c>
    </row>
    <row r="86" spans="1:4" x14ac:dyDescent="0.15">
      <c r="A86" s="86" t="s">
        <v>1162</v>
      </c>
      <c r="B86" s="166">
        <f>B69+B74-B68</f>
        <v>116</v>
      </c>
      <c r="C86" s="166">
        <f>C69+C74-C68</f>
        <v>126</v>
      </c>
      <c r="D86" s="166">
        <f>D69+D74-D68</f>
        <v>126</v>
      </c>
    </row>
    <row r="87" spans="1:4" x14ac:dyDescent="0.15">
      <c r="A87" s="86" t="s">
        <v>1160</v>
      </c>
      <c r="B87" s="166">
        <v>0</v>
      </c>
      <c r="C87" s="166">
        <v>0</v>
      </c>
      <c r="D87" s="166">
        <v>0</v>
      </c>
    </row>
    <row r="88" spans="1:4" x14ac:dyDescent="0.15">
      <c r="A88" s="86" t="s">
        <v>1161</v>
      </c>
      <c r="B88" s="166">
        <v>0</v>
      </c>
      <c r="C88" s="166">
        <v>0</v>
      </c>
      <c r="D88" s="166">
        <v>0</v>
      </c>
    </row>
    <row r="89" spans="1:4" ht="15" x14ac:dyDescent="0.15">
      <c r="A89" s="4" t="s">
        <v>1014</v>
      </c>
      <c r="B89" s="166">
        <f>B85-B86-B87-B88</f>
        <v>16</v>
      </c>
      <c r="C89" s="166">
        <f>C85-C86-C87-C88</f>
        <v>18</v>
      </c>
      <c r="D89" s="166">
        <f>D85-D86-D87-D88</f>
        <v>18</v>
      </c>
    </row>
    <row r="90" spans="1:4" ht="15" x14ac:dyDescent="0.15">
      <c r="A90" s="6" t="s">
        <v>1049</v>
      </c>
      <c r="B90" s="264" t="e">
        <f>B76</f>
        <v>#VALUE!</v>
      </c>
      <c r="C90" s="264" t="e">
        <f>C76</f>
        <v>#VALUE!</v>
      </c>
      <c r="D90" s="264" t="e">
        <f>D76</f>
        <v>#VALUE!</v>
      </c>
    </row>
    <row r="91" spans="1:4" ht="15" x14ac:dyDescent="0.15">
      <c r="A91" s="4" t="s">
        <v>1050</v>
      </c>
      <c r="B91" s="264" t="e">
        <f>B89-B90</f>
        <v>#VALUE!</v>
      </c>
      <c r="C91" s="264" t="e">
        <f>C89-C90</f>
        <v>#VALUE!</v>
      </c>
      <c r="D91" s="264" t="e">
        <f>D89-D90</f>
        <v>#VALUE!</v>
      </c>
    </row>
    <row r="92" spans="1:4" ht="15" x14ac:dyDescent="0.15">
      <c r="A92" s="6" t="s">
        <v>1018</v>
      </c>
      <c r="B92" s="264">
        <v>0</v>
      </c>
      <c r="C92" s="264">
        <v>0</v>
      </c>
      <c r="D92" s="264">
        <v>0</v>
      </c>
    </row>
    <row r="93" spans="1:4" ht="15" x14ac:dyDescent="0.15">
      <c r="A93" s="4" t="s">
        <v>1051</v>
      </c>
      <c r="B93" s="264" t="e">
        <f>B91-B92</f>
        <v>#VALUE!</v>
      </c>
      <c r="C93" s="264" t="e">
        <f>C91-C92</f>
        <v>#VALUE!</v>
      </c>
      <c r="D93" s="264" t="e">
        <f>D91-D92</f>
        <v>#VALUE!</v>
      </c>
    </row>
    <row r="94" spans="1:4" x14ac:dyDescent="0.15">
      <c r="A94" s="6"/>
    </row>
    <row r="95" spans="1:4" x14ac:dyDescent="0.15">
      <c r="A95" s="6"/>
    </row>
    <row r="96" spans="1:4" ht="15" x14ac:dyDescent="0.15">
      <c r="A96" s="8" t="s">
        <v>1721</v>
      </c>
    </row>
    <row r="97" spans="1:3" ht="15" x14ac:dyDescent="0.15">
      <c r="A97" s="4" t="s">
        <v>1303</v>
      </c>
    </row>
    <row r="98" spans="1:3" ht="15" x14ac:dyDescent="0.15">
      <c r="A98" s="380" t="s">
        <v>941</v>
      </c>
      <c r="B98" s="398">
        <v>1</v>
      </c>
      <c r="C98" s="398">
        <v>2</v>
      </c>
    </row>
    <row r="99" spans="1:3" x14ac:dyDescent="0.15">
      <c r="A99" s="3" t="s">
        <v>1181</v>
      </c>
      <c r="B99" s="166">
        <f>+$B$110*$B$111*B112/12</f>
        <v>25000</v>
      </c>
      <c r="C99" s="166">
        <f>+$B$110*$B$111*C112/12</f>
        <v>75000</v>
      </c>
    </row>
    <row r="100" spans="1:3" x14ac:dyDescent="0.15">
      <c r="A100" s="3" t="s">
        <v>936</v>
      </c>
      <c r="B100" s="166">
        <f>-B112*$B$113</f>
        <v>-8000</v>
      </c>
      <c r="C100" s="166">
        <f>-C112*$B$113</f>
        <v>-24000</v>
      </c>
    </row>
    <row r="101" spans="1:3" x14ac:dyDescent="0.15">
      <c r="A101" s="3" t="s">
        <v>1304</v>
      </c>
      <c r="B101" s="166">
        <f>-B112*$B$111*$B$114</f>
        <v>-12000</v>
      </c>
      <c r="C101" s="166">
        <f>-C112*$B$111*$B$114</f>
        <v>-36000</v>
      </c>
    </row>
    <row r="102" spans="1:3" x14ac:dyDescent="0.15">
      <c r="A102" s="7" t="s">
        <v>1051</v>
      </c>
      <c r="B102" s="166">
        <f>+B99+B100+B101</f>
        <v>5000</v>
      </c>
      <c r="C102" s="166">
        <f>+C99+C100+C101</f>
        <v>15000</v>
      </c>
    </row>
    <row r="104" spans="1:3" x14ac:dyDescent="0.15">
      <c r="A104" s="358" t="s">
        <v>181</v>
      </c>
    </row>
    <row r="105" spans="1:3" ht="15" x14ac:dyDescent="0.15">
      <c r="A105" s="380" t="s">
        <v>941</v>
      </c>
      <c r="B105" s="398">
        <v>1</v>
      </c>
      <c r="C105" s="398">
        <v>2</v>
      </c>
    </row>
    <row r="106" spans="1:3" x14ac:dyDescent="0.15">
      <c r="A106" s="3" t="s">
        <v>1305</v>
      </c>
      <c r="B106" s="166">
        <f>+$B$110*$B$111</f>
        <v>75000</v>
      </c>
      <c r="C106" s="166">
        <f>+$B$110*$B$111</f>
        <v>75000</v>
      </c>
    </row>
    <row r="107" spans="1:3" x14ac:dyDescent="0.15">
      <c r="A107" s="3" t="s">
        <v>1306</v>
      </c>
      <c r="B107" s="166">
        <f>-B112*$B$113-$B$111*$B$114*B112</f>
        <v>-20000</v>
      </c>
      <c r="C107" s="166">
        <f>-C112*$B$113-$B$111*$B$114*C112</f>
        <v>-60000</v>
      </c>
    </row>
    <row r="108" spans="1:3" x14ac:dyDescent="0.15">
      <c r="A108" s="7" t="s">
        <v>1307</v>
      </c>
      <c r="B108" s="166">
        <f>+B107+B106</f>
        <v>55000</v>
      </c>
      <c r="C108" s="166">
        <f>+C107+C106</f>
        <v>15000</v>
      </c>
    </row>
    <row r="110" spans="1:3" x14ac:dyDescent="0.15">
      <c r="A110" s="3" t="s">
        <v>1308</v>
      </c>
      <c r="B110" s="166">
        <v>50</v>
      </c>
    </row>
    <row r="111" spans="1:3" x14ac:dyDescent="0.15">
      <c r="A111" s="3" t="s">
        <v>1309</v>
      </c>
      <c r="B111" s="166">
        <v>1500</v>
      </c>
    </row>
    <row r="112" spans="1:3" x14ac:dyDescent="0.15">
      <c r="A112" s="3" t="s">
        <v>1310</v>
      </c>
      <c r="B112" s="166">
        <v>4</v>
      </c>
      <c r="C112" s="3">
        <v>12</v>
      </c>
    </row>
    <row r="113" spans="1:2" x14ac:dyDescent="0.15">
      <c r="A113" s="3" t="s">
        <v>1312</v>
      </c>
      <c r="B113" s="166">
        <v>2000</v>
      </c>
    </row>
    <row r="114" spans="1:2" x14ac:dyDescent="0.15">
      <c r="A114" s="3" t="s">
        <v>1311</v>
      </c>
      <c r="B114" s="166">
        <v>2</v>
      </c>
    </row>
  </sheetData>
  <phoneticPr fontId="4" type="noConversion"/>
  <pageMargins left="0.78740157480314965" right="0.78740157480314965" top="0.98425196850393704" bottom="0.98425196850393704" header="0.51181102362204722" footer="0.51181102362204722"/>
  <pageSetup paperSize="9" scale="31"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25">
    <pageSetUpPr fitToPage="1"/>
  </sheetPr>
  <dimension ref="A1:D53"/>
  <sheetViews>
    <sheetView showGridLines="0" workbookViewId="0">
      <selection activeCell="C7" sqref="C7"/>
    </sheetView>
  </sheetViews>
  <sheetFormatPr baseColWidth="10" defaultColWidth="11" defaultRowHeight="14" x14ac:dyDescent="0.15"/>
  <cols>
    <col min="1" max="1" width="19.83203125" style="3" customWidth="1"/>
    <col min="2" max="2" width="11" style="3"/>
    <col min="3" max="3" width="11.1640625" style="3" customWidth="1"/>
    <col min="4" max="16384" width="11" style="3"/>
  </cols>
  <sheetData>
    <row r="1" spans="1:4" ht="15" x14ac:dyDescent="0.15">
      <c r="A1" s="1" t="s">
        <v>1235</v>
      </c>
    </row>
    <row r="3" spans="1:4" x14ac:dyDescent="0.15">
      <c r="A3" s="516" t="s">
        <v>1677</v>
      </c>
      <c r="B3" s="516"/>
      <c r="C3" s="516"/>
      <c r="D3" s="516"/>
    </row>
    <row r="4" spans="1:4" x14ac:dyDescent="0.15">
      <c r="A4" s="516"/>
      <c r="B4" s="516"/>
      <c r="C4" s="516"/>
      <c r="D4" s="516"/>
    </row>
    <row r="5" spans="1:4" x14ac:dyDescent="0.15">
      <c r="A5" s="516"/>
      <c r="B5" s="516"/>
      <c r="C5" s="516"/>
      <c r="D5" s="516"/>
    </row>
    <row r="6" spans="1:4" x14ac:dyDescent="0.15">
      <c r="A6" s="516"/>
      <c r="B6" s="516"/>
      <c r="C6" s="516"/>
      <c r="D6" s="516"/>
    </row>
    <row r="9" spans="1:4" ht="15" x14ac:dyDescent="0.15">
      <c r="A9" s="8" t="s">
        <v>1676</v>
      </c>
    </row>
    <row r="10" spans="1:4" ht="15" x14ac:dyDescent="0.15">
      <c r="A10" s="8"/>
    </row>
    <row r="11" spans="1:4" x14ac:dyDescent="0.15">
      <c r="A11" s="334" t="s">
        <v>560</v>
      </c>
      <c r="B11" s="335" t="s">
        <v>576</v>
      </c>
      <c r="C11" s="335" t="s">
        <v>575</v>
      </c>
      <c r="D11" s="334"/>
    </row>
    <row r="12" spans="1:4" x14ac:dyDescent="0.15">
      <c r="A12" s="3" t="s">
        <v>561</v>
      </c>
      <c r="B12" s="3">
        <v>4</v>
      </c>
      <c r="C12" s="3">
        <v>6</v>
      </c>
      <c r="D12" s="3" t="s">
        <v>134</v>
      </c>
    </row>
    <row r="13" spans="1:4" x14ac:dyDescent="0.15">
      <c r="A13" s="3" t="s">
        <v>569</v>
      </c>
      <c r="B13" s="3">
        <v>5</v>
      </c>
      <c r="C13" s="3">
        <v>6</v>
      </c>
      <c r="D13" s="3" t="s">
        <v>494</v>
      </c>
    </row>
    <row r="14" spans="1:4" x14ac:dyDescent="0.15">
      <c r="A14" s="3" t="s">
        <v>238</v>
      </c>
      <c r="B14" s="3">
        <v>5</v>
      </c>
      <c r="C14" s="3">
        <v>5</v>
      </c>
      <c r="D14" s="3" t="s">
        <v>494</v>
      </c>
    </row>
    <row r="15" spans="1:4" ht="16" x14ac:dyDescent="0.15">
      <c r="A15" s="3" t="s">
        <v>1667</v>
      </c>
      <c r="B15" s="80">
        <v>0.01</v>
      </c>
      <c r="C15" s="80">
        <f>B15</f>
        <v>0.01</v>
      </c>
    </row>
    <row r="16" spans="1:4" x14ac:dyDescent="0.15">
      <c r="B16" s="80"/>
    </row>
    <row r="17" spans="1:4" x14ac:dyDescent="0.15">
      <c r="A17" s="149" t="s">
        <v>1065</v>
      </c>
      <c r="B17" s="80"/>
      <c r="C17" s="149"/>
    </row>
    <row r="18" spans="1:4" x14ac:dyDescent="0.15">
      <c r="A18" s="3" t="s">
        <v>565</v>
      </c>
      <c r="B18" s="68">
        <f>B12/12</f>
        <v>0.33333333333333331</v>
      </c>
      <c r="C18" s="3">
        <f>C12/12</f>
        <v>0.5</v>
      </c>
    </row>
    <row r="19" spans="1:4" x14ac:dyDescent="0.15">
      <c r="A19" s="3" t="s">
        <v>568</v>
      </c>
      <c r="B19" s="67">
        <f>LN(B14/B13)</f>
        <v>0</v>
      </c>
      <c r="C19" s="67">
        <f>LN(C14/C13)</f>
        <v>-0.18232155679395459</v>
      </c>
    </row>
    <row r="20" spans="1:4" ht="16" x14ac:dyDescent="0.15">
      <c r="A20" s="3" t="s">
        <v>1668</v>
      </c>
      <c r="B20" s="104">
        <f>(B15+B29*B29/2)*B18</f>
        <v>6.3333333333333325E-2</v>
      </c>
      <c r="C20" s="104">
        <f>(C15+C29*C29/2)*C18</f>
        <v>9.5000000000000001E-2</v>
      </c>
    </row>
    <row r="21" spans="1:4" x14ac:dyDescent="0.15">
      <c r="A21" s="3" t="s">
        <v>571</v>
      </c>
      <c r="B21" s="104">
        <f>B29*SQRT(B18)</f>
        <v>0.34641016151377541</v>
      </c>
      <c r="C21" s="104">
        <f>C29*SQRT(C18)</f>
        <v>0.42426406871192851</v>
      </c>
    </row>
    <row r="23" spans="1:4" x14ac:dyDescent="0.15">
      <c r="A23" s="3" t="s">
        <v>566</v>
      </c>
      <c r="B23" s="81">
        <f>(B19+B20)/B21</f>
        <v>0.1828275852433815</v>
      </c>
      <c r="C23" s="81">
        <f>(C19+C20)/C21</f>
        <v>-0.2058188831759051</v>
      </c>
    </row>
    <row r="24" spans="1:4" x14ac:dyDescent="0.15">
      <c r="A24" s="3" t="s">
        <v>567</v>
      </c>
      <c r="B24" s="80">
        <f>B23-B21</f>
        <v>-0.16358257627039391</v>
      </c>
      <c r="C24" s="80">
        <f>C23-C21</f>
        <v>-0.63008295188783359</v>
      </c>
    </row>
    <row r="25" spans="1:4" x14ac:dyDescent="0.15">
      <c r="A25" s="3" t="s">
        <v>563</v>
      </c>
      <c r="B25" s="68">
        <f>NORMDIST(B23,0,1,TRUE)</f>
        <v>0.57253334824515967</v>
      </c>
      <c r="C25" s="68">
        <f>NORMDIST(C23,0,1,TRUE)</f>
        <v>0.41846619517105987</v>
      </c>
    </row>
    <row r="26" spans="1:4" x14ac:dyDescent="0.15">
      <c r="A26" s="3" t="s">
        <v>562</v>
      </c>
      <c r="B26" s="68">
        <f>NORMDIST(B24,0,1,TRUE)</f>
        <v>0.43502988102204654</v>
      </c>
      <c r="C26" s="68">
        <f>NORMDIST(C24,0,1,TRUE)</f>
        <v>0.2643201565267474</v>
      </c>
    </row>
    <row r="27" spans="1:4" x14ac:dyDescent="0.15">
      <c r="A27" s="3" t="s">
        <v>572</v>
      </c>
      <c r="B27" s="68">
        <f>EXP(-B18*B15)</f>
        <v>0.99667221605452327</v>
      </c>
      <c r="C27" s="68">
        <f>EXP(-C18*C15)</f>
        <v>0.99501247919268232</v>
      </c>
    </row>
    <row r="28" spans="1:4" x14ac:dyDescent="0.15">
      <c r="A28" s="7" t="s">
        <v>574</v>
      </c>
      <c r="B28" s="102">
        <f>B25*B14-B26*B13*B27</f>
        <v>0.69475576338490486</v>
      </c>
      <c r="C28" s="213">
        <f>C25*C14-C26*C13*C27</f>
        <v>0.51431985037763872</v>
      </c>
      <c r="D28" s="214"/>
    </row>
    <row r="29" spans="1:4" x14ac:dyDescent="0.15">
      <c r="A29" s="7" t="s">
        <v>573</v>
      </c>
      <c r="B29" s="215">
        <v>0.6</v>
      </c>
      <c r="C29" s="104">
        <f>B29</f>
        <v>0.6</v>
      </c>
      <c r="D29" s="80"/>
    </row>
    <row r="31" spans="1:4" ht="15" x14ac:dyDescent="0.15">
      <c r="A31" s="8" t="s">
        <v>1678</v>
      </c>
    </row>
    <row r="32" spans="1:4" ht="15" x14ac:dyDescent="0.15">
      <c r="A32" s="8"/>
    </row>
    <row r="33" spans="1:4" ht="24" x14ac:dyDescent="0.15">
      <c r="A33" s="380" t="s">
        <v>577</v>
      </c>
      <c r="B33" s="364" t="s">
        <v>1546</v>
      </c>
      <c r="C33" s="364" t="s">
        <v>1403</v>
      </c>
      <c r="D33" s="334"/>
    </row>
    <row r="34" spans="1:4" x14ac:dyDescent="0.15">
      <c r="A34" s="3" t="s">
        <v>561</v>
      </c>
      <c r="B34" s="3">
        <v>6</v>
      </c>
      <c r="C34" s="3">
        <v>6</v>
      </c>
      <c r="D34" s="3" t="s">
        <v>134</v>
      </c>
    </row>
    <row r="35" spans="1:4" x14ac:dyDescent="0.15">
      <c r="A35" s="3" t="s">
        <v>569</v>
      </c>
      <c r="B35" s="3">
        <v>6</v>
      </c>
      <c r="C35" s="3">
        <v>6</v>
      </c>
      <c r="D35" s="3" t="s">
        <v>494</v>
      </c>
    </row>
    <row r="36" spans="1:4" x14ac:dyDescent="0.15">
      <c r="A36" s="3" t="s">
        <v>564</v>
      </c>
      <c r="B36" s="3">
        <f>B14*1.5</f>
        <v>7.5</v>
      </c>
      <c r="C36" s="3">
        <f>C14*0.5</f>
        <v>2.5</v>
      </c>
      <c r="D36" s="3" t="s">
        <v>494</v>
      </c>
    </row>
    <row r="37" spans="1:4" ht="16" x14ac:dyDescent="0.15">
      <c r="A37" s="3" t="s">
        <v>1667</v>
      </c>
      <c r="B37" s="80">
        <v>0.01</v>
      </c>
      <c r="C37" s="80">
        <v>0.01</v>
      </c>
    </row>
    <row r="38" spans="1:4" x14ac:dyDescent="0.15">
      <c r="B38" s="80"/>
    </row>
    <row r="39" spans="1:4" x14ac:dyDescent="0.15">
      <c r="A39" s="149" t="s">
        <v>239</v>
      </c>
      <c r="B39" s="80"/>
      <c r="C39" s="149"/>
    </row>
    <row r="40" spans="1:4" x14ac:dyDescent="0.15">
      <c r="A40" s="3" t="s">
        <v>565</v>
      </c>
      <c r="B40" s="3">
        <f>B34/12</f>
        <v>0.5</v>
      </c>
      <c r="C40" s="3">
        <f>C34/12</f>
        <v>0.5</v>
      </c>
    </row>
    <row r="41" spans="1:4" x14ac:dyDescent="0.15">
      <c r="A41" s="3" t="s">
        <v>568</v>
      </c>
      <c r="B41" s="67">
        <f>LN(B36/B35)</f>
        <v>0.22314355131420976</v>
      </c>
      <c r="C41" s="67">
        <f>LN(C36/C35)</f>
        <v>-0.87546873735389985</v>
      </c>
    </row>
    <row r="42" spans="1:4" x14ac:dyDescent="0.15">
      <c r="A42" s="3" t="s">
        <v>570</v>
      </c>
      <c r="B42" s="104">
        <f>(B37+B51*B51/2)*B40</f>
        <v>9.5000000000000001E-2</v>
      </c>
      <c r="C42" s="104">
        <f>(C37+C51*C51/2)*C40</f>
        <v>9.5000000000000001E-2</v>
      </c>
    </row>
    <row r="43" spans="1:4" x14ac:dyDescent="0.15">
      <c r="A43" s="3" t="s">
        <v>571</v>
      </c>
      <c r="B43" s="104">
        <f>B51*SQRT(B40)</f>
        <v>0.42426406871192851</v>
      </c>
      <c r="C43" s="104">
        <f>C51*SQRT(C40)</f>
        <v>0.42426406871192851</v>
      </c>
    </row>
    <row r="45" spans="1:4" x14ac:dyDescent="0.15">
      <c r="A45" s="3" t="s">
        <v>566</v>
      </c>
      <c r="B45" s="81">
        <f>(B41+B42)/B43</f>
        <v>0.74987154175016035</v>
      </c>
      <c r="C45" s="81">
        <f>(C41+C42)/C43</f>
        <v>-1.8395824556234837</v>
      </c>
    </row>
    <row r="46" spans="1:4" x14ac:dyDescent="0.15">
      <c r="A46" s="3" t="s">
        <v>567</v>
      </c>
      <c r="B46" s="80">
        <f>B45-B43</f>
        <v>0.32560747303823184</v>
      </c>
      <c r="C46" s="80">
        <f>C45-C43</f>
        <v>-2.263846524335412</v>
      </c>
    </row>
    <row r="47" spans="1:4" x14ac:dyDescent="0.15">
      <c r="A47" s="3" t="s">
        <v>563</v>
      </c>
      <c r="B47" s="68">
        <f>NORMDIST(B45,0,1,TRUE)</f>
        <v>0.77333396217222283</v>
      </c>
      <c r="C47" s="68">
        <f>NORMDIST(C45,0,1,TRUE)</f>
        <v>3.2914781037227558E-2</v>
      </c>
    </row>
    <row r="48" spans="1:4" x14ac:dyDescent="0.15">
      <c r="A48" s="3" t="s">
        <v>562</v>
      </c>
      <c r="B48" s="68">
        <f>NORMDIST(B46,0,1,TRUE)</f>
        <v>0.62763932129322919</v>
      </c>
      <c r="C48" s="68">
        <f>NORMDIST(C46,0,1,TRUE)</f>
        <v>1.1791777957371205E-2</v>
      </c>
    </row>
    <row r="49" spans="1:4" x14ac:dyDescent="0.15">
      <c r="A49" s="3" t="s">
        <v>572</v>
      </c>
      <c r="B49" s="68">
        <f>EXP(-B40*B37)</f>
        <v>0.99501247919268232</v>
      </c>
      <c r="C49" s="68">
        <f>EXP(-C40*C37)</f>
        <v>0.99501247919268232</v>
      </c>
    </row>
    <row r="50" spans="1:4" x14ac:dyDescent="0.15">
      <c r="A50" s="7" t="s">
        <v>574</v>
      </c>
      <c r="B50" s="213">
        <f>B47*B36-B48*B35*B49</f>
        <v>2.0529509735789402</v>
      </c>
      <c r="C50" s="213">
        <f>C47*C36-C48*C35*C49</f>
        <v>1.1889155276347624E-2</v>
      </c>
    </row>
    <row r="51" spans="1:4" x14ac:dyDescent="0.15">
      <c r="A51" s="3" t="s">
        <v>573</v>
      </c>
      <c r="B51" s="104">
        <f>B29</f>
        <v>0.6</v>
      </c>
      <c r="C51" s="104">
        <f>B51</f>
        <v>0.6</v>
      </c>
      <c r="D51" s="80"/>
    </row>
    <row r="53" spans="1:4" x14ac:dyDescent="0.15">
      <c r="A53" s="3" t="s">
        <v>1066</v>
      </c>
      <c r="B53" s="81">
        <f>+B50/$C$28-1</f>
        <v>2.9915841709620259</v>
      </c>
      <c r="C53" s="81">
        <f>+C50/$C$28-1</f>
        <v>-0.97688373243300253</v>
      </c>
    </row>
  </sheetData>
  <mergeCells count="1">
    <mergeCell ref="A3:D6"/>
  </mergeCells>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euil38"/>
  <dimension ref="A1:D23"/>
  <sheetViews>
    <sheetView showGridLines="0" workbookViewId="0">
      <selection activeCell="B3" sqref="B3"/>
    </sheetView>
  </sheetViews>
  <sheetFormatPr baseColWidth="10" defaultColWidth="11" defaultRowHeight="14" x14ac:dyDescent="0.15"/>
  <cols>
    <col min="1" max="1" width="35.1640625" style="70" customWidth="1"/>
    <col min="2" max="4" width="20.1640625" style="3" customWidth="1"/>
    <col min="5" max="16384" width="11" style="3"/>
  </cols>
  <sheetData>
    <row r="1" spans="1:4" ht="15" x14ac:dyDescent="0.15">
      <c r="A1" s="1" t="s">
        <v>987</v>
      </c>
    </row>
    <row r="2" spans="1:4" s="97" customFormat="1" ht="26" x14ac:dyDescent="0.15">
      <c r="A2" s="381"/>
      <c r="B2" s="382" t="s">
        <v>880</v>
      </c>
      <c r="C2" s="382" t="s">
        <v>884</v>
      </c>
      <c r="D2" s="382" t="s">
        <v>885</v>
      </c>
    </row>
    <row r="3" spans="1:4" ht="15" x14ac:dyDescent="0.15">
      <c r="A3" s="70" t="s">
        <v>1199</v>
      </c>
      <c r="B3" s="64">
        <f>B4*B5</f>
        <v>4000000000</v>
      </c>
      <c r="C3" s="64">
        <f>B3</f>
        <v>4000000000</v>
      </c>
      <c r="D3" s="64">
        <f>C3</f>
        <v>4000000000</v>
      </c>
    </row>
    <row r="4" spans="1:4" s="210" customFormat="1" ht="13" x14ac:dyDescent="0.15">
      <c r="A4" s="208" t="s">
        <v>874</v>
      </c>
      <c r="B4" s="209">
        <v>2000000</v>
      </c>
      <c r="C4" s="209">
        <f t="shared" ref="C4:D9" si="0">B4</f>
        <v>2000000</v>
      </c>
      <c r="D4" s="209">
        <f>C4</f>
        <v>2000000</v>
      </c>
    </row>
    <row r="5" spans="1:4" s="210" customFormat="1" ht="13" x14ac:dyDescent="0.15">
      <c r="A5" s="208" t="s">
        <v>1023</v>
      </c>
      <c r="B5" s="209">
        <v>2000</v>
      </c>
      <c r="C5" s="209">
        <f t="shared" si="0"/>
        <v>2000</v>
      </c>
      <c r="D5" s="209">
        <f t="shared" si="0"/>
        <v>2000</v>
      </c>
    </row>
    <row r="6" spans="1:4" ht="15" x14ac:dyDescent="0.15">
      <c r="A6" s="70" t="s">
        <v>192</v>
      </c>
      <c r="B6" s="64">
        <f>B7*B8</f>
        <v>500000000</v>
      </c>
      <c r="C6" s="64">
        <f t="shared" si="0"/>
        <v>500000000</v>
      </c>
      <c r="D6" s="64">
        <f t="shared" si="0"/>
        <v>500000000</v>
      </c>
    </row>
    <row r="7" spans="1:4" s="210" customFormat="1" ht="13" x14ac:dyDescent="0.15">
      <c r="A7" s="208" t="s">
        <v>875</v>
      </c>
      <c r="B7" s="209">
        <v>500000</v>
      </c>
      <c r="C7" s="209">
        <f t="shared" si="0"/>
        <v>500000</v>
      </c>
      <c r="D7" s="209">
        <f t="shared" si="0"/>
        <v>500000</v>
      </c>
    </row>
    <row r="8" spans="1:4" s="210" customFormat="1" ht="13" x14ac:dyDescent="0.15">
      <c r="A8" s="208" t="s">
        <v>876</v>
      </c>
      <c r="B8" s="209">
        <v>1000</v>
      </c>
      <c r="C8" s="209">
        <f t="shared" si="0"/>
        <v>1000</v>
      </c>
      <c r="D8" s="209">
        <f t="shared" si="0"/>
        <v>1000</v>
      </c>
    </row>
    <row r="9" spans="1:4" s="210" customFormat="1" ht="13" x14ac:dyDescent="0.15">
      <c r="A9" s="208" t="s">
        <v>881</v>
      </c>
      <c r="B9" s="211">
        <v>0.05</v>
      </c>
      <c r="C9" s="211">
        <f t="shared" si="0"/>
        <v>0.05</v>
      </c>
      <c r="D9" s="211">
        <f t="shared" si="0"/>
        <v>0.05</v>
      </c>
    </row>
    <row r="10" spans="1:4" s="210" customFormat="1" ht="13" x14ac:dyDescent="0.15">
      <c r="A10" s="208" t="s">
        <v>882</v>
      </c>
      <c r="B10" s="209"/>
      <c r="C10" s="209">
        <v>2100</v>
      </c>
      <c r="D10" s="209">
        <f>C10</f>
        <v>2100</v>
      </c>
    </row>
    <row r="11" spans="1:4" s="210" customFormat="1" ht="13" x14ac:dyDescent="0.15">
      <c r="A11" s="208" t="s">
        <v>883</v>
      </c>
      <c r="B11" s="211"/>
      <c r="C11" s="211">
        <v>0.08</v>
      </c>
      <c r="D11" s="211">
        <f>C11</f>
        <v>0.08</v>
      </c>
    </row>
    <row r="13" spans="1:4" ht="15" x14ac:dyDescent="0.15">
      <c r="A13" s="70" t="s">
        <v>344</v>
      </c>
      <c r="B13" s="64">
        <v>300000000</v>
      </c>
      <c r="C13" s="64">
        <f>B13</f>
        <v>300000000</v>
      </c>
      <c r="D13" s="64">
        <f>C13</f>
        <v>300000000</v>
      </c>
    </row>
    <row r="14" spans="1:4" ht="15" x14ac:dyDescent="0.15">
      <c r="A14" s="70" t="s">
        <v>878</v>
      </c>
      <c r="B14" s="104">
        <v>0.33300000000000002</v>
      </c>
      <c r="C14" s="104">
        <f>B14</f>
        <v>0.33300000000000002</v>
      </c>
      <c r="D14" s="104">
        <f>C14</f>
        <v>0.33300000000000002</v>
      </c>
    </row>
    <row r="16" spans="1:4" ht="15" x14ac:dyDescent="0.15">
      <c r="A16" s="76" t="s">
        <v>879</v>
      </c>
      <c r="B16" s="212">
        <f>(B13+B9*B8*B7*(1-B14))</f>
        <v>316675000</v>
      </c>
      <c r="C16" s="212">
        <f>(C13+C10*C7*C11*(1-C14))/(C4+C7)</f>
        <v>142.41120000000001</v>
      </c>
      <c r="D16" s="212">
        <f>(D13)/(D4+D7*(1-D10/D5))</f>
        <v>151.8987341772152</v>
      </c>
    </row>
    <row r="18" spans="1:4" x14ac:dyDescent="0.15">
      <c r="A18" s="121" t="s">
        <v>887</v>
      </c>
    </row>
    <row r="19" spans="1:4" ht="15" x14ac:dyDescent="0.15">
      <c r="A19" s="70" t="s">
        <v>886</v>
      </c>
      <c r="B19" s="104"/>
      <c r="C19" s="104">
        <v>0.08</v>
      </c>
      <c r="D19" s="104">
        <f>C19</f>
        <v>0.08</v>
      </c>
    </row>
    <row r="21" spans="1:4" ht="15" x14ac:dyDescent="0.15">
      <c r="A21" s="70" t="s">
        <v>888</v>
      </c>
      <c r="B21" s="64"/>
      <c r="C21" s="64">
        <f>(C19-C9)*C8*C7*(1-C14)</f>
        <v>10005000</v>
      </c>
      <c r="D21" s="64">
        <f>(D19-D9)*D8*D7*(1-D14)</f>
        <v>10005000</v>
      </c>
    </row>
    <row r="22" spans="1:4" ht="15" x14ac:dyDescent="0.15">
      <c r="A22" s="70" t="s">
        <v>889</v>
      </c>
      <c r="B22" s="212"/>
      <c r="C22" s="212">
        <f>C21/(C4+C7)</f>
        <v>4.0019999999999998</v>
      </c>
      <c r="D22" s="212">
        <f>D21/(D4+D7*(1-D10/D5))</f>
        <v>5.0658227848101269</v>
      </c>
    </row>
    <row r="23" spans="1:4" ht="15" x14ac:dyDescent="0.15">
      <c r="A23" s="76" t="s">
        <v>535</v>
      </c>
      <c r="B23" s="212"/>
      <c r="C23" s="212">
        <f>C16+C22</f>
        <v>146.41320000000002</v>
      </c>
      <c r="D23" s="212">
        <f>D16+D22</f>
        <v>156.96455696202534</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euil26">
    <pageSetUpPr fitToPage="1"/>
  </sheetPr>
  <dimension ref="A1:F47"/>
  <sheetViews>
    <sheetView showGridLines="0" workbookViewId="0">
      <selection activeCell="A30" sqref="A30"/>
    </sheetView>
  </sheetViews>
  <sheetFormatPr baseColWidth="10" defaultColWidth="11" defaultRowHeight="14" x14ac:dyDescent="0.15"/>
  <cols>
    <col min="1" max="1" width="30" style="3" customWidth="1"/>
    <col min="2" max="2" width="18" style="3" customWidth="1"/>
    <col min="3" max="16384" width="11" style="3"/>
  </cols>
  <sheetData>
    <row r="1" spans="1:4" ht="15" x14ac:dyDescent="0.15">
      <c r="A1" s="1" t="s">
        <v>1469</v>
      </c>
    </row>
    <row r="2" spans="1:4" ht="15" x14ac:dyDescent="0.15">
      <c r="A2" s="8"/>
    </row>
    <row r="3" spans="1:4" x14ac:dyDescent="0.15">
      <c r="A3" s="3" t="s">
        <v>657</v>
      </c>
      <c r="B3" s="74"/>
    </row>
    <row r="4" spans="1:4" x14ac:dyDescent="0.15">
      <c r="A4" s="3" t="s">
        <v>241</v>
      </c>
      <c r="B4" s="166">
        <v>175000000</v>
      </c>
      <c r="C4" s="99"/>
    </row>
    <row r="5" spans="1:4" x14ac:dyDescent="0.15">
      <c r="A5" s="3" t="s">
        <v>242</v>
      </c>
      <c r="B5" s="74">
        <v>56</v>
      </c>
      <c r="C5" s="99"/>
    </row>
    <row r="6" spans="1:4" x14ac:dyDescent="0.15">
      <c r="A6" s="3" t="s">
        <v>240</v>
      </c>
      <c r="B6" s="166">
        <v>131250000</v>
      </c>
    </row>
    <row r="7" spans="1:4" x14ac:dyDescent="0.15">
      <c r="A7" s="3" t="s">
        <v>506</v>
      </c>
      <c r="B7" s="74">
        <v>38</v>
      </c>
    </row>
    <row r="8" spans="1:4" x14ac:dyDescent="0.15">
      <c r="B8" s="74"/>
    </row>
    <row r="9" spans="1:4" x14ac:dyDescent="0.15">
      <c r="A9" s="3" t="s">
        <v>67</v>
      </c>
      <c r="B9" s="74"/>
    </row>
    <row r="10" spans="1:4" x14ac:dyDescent="0.15">
      <c r="A10" s="3" t="s">
        <v>864</v>
      </c>
      <c r="B10" s="74">
        <f>B4/B6</f>
        <v>1.3333333333333333</v>
      </c>
      <c r="C10" s="3" t="s">
        <v>967</v>
      </c>
    </row>
    <row r="11" spans="1:4" x14ac:dyDescent="0.15">
      <c r="B11" s="74"/>
    </row>
    <row r="12" spans="1:4" x14ac:dyDescent="0.15">
      <c r="A12" s="197" t="s">
        <v>969</v>
      </c>
      <c r="B12" s="198" t="str">
        <f>+"3 x "&amp;B5</f>
        <v>3 x 56</v>
      </c>
      <c r="C12" s="199" t="s">
        <v>970</v>
      </c>
      <c r="D12" s="3">
        <f>3*56-3*B16</f>
        <v>144.85714285714286</v>
      </c>
    </row>
    <row r="13" spans="1:4" x14ac:dyDescent="0.15">
      <c r="A13" s="200" t="s">
        <v>246</v>
      </c>
      <c r="B13" s="522" t="s">
        <v>246</v>
      </c>
      <c r="C13" s="522"/>
      <c r="D13" s="139"/>
    </row>
    <row r="14" spans="1:4" x14ac:dyDescent="0.15">
      <c r="A14" s="186" t="s">
        <v>968</v>
      </c>
      <c r="B14" s="201" t="str">
        <f>"3 x "&amp;B7</f>
        <v>3 x 38</v>
      </c>
      <c r="C14" s="202" t="s">
        <v>971</v>
      </c>
      <c r="D14" s="3">
        <f>3*38+4*B16</f>
        <v>144.85714285714286</v>
      </c>
    </row>
    <row r="15" spans="1:4" x14ac:dyDescent="0.15">
      <c r="B15" s="74"/>
      <c r="C15" s="86"/>
    </row>
    <row r="16" spans="1:4" x14ac:dyDescent="0.15">
      <c r="A16" s="7" t="s">
        <v>243</v>
      </c>
      <c r="B16" s="109">
        <f>(B5-B7)/(1+B10)</f>
        <v>7.7142857142857153</v>
      </c>
    </row>
    <row r="17" spans="1:6" x14ac:dyDescent="0.15">
      <c r="B17" s="74"/>
    </row>
    <row r="18" spans="1:6" x14ac:dyDescent="0.15">
      <c r="A18" s="3" t="s">
        <v>68</v>
      </c>
      <c r="B18" s="74"/>
    </row>
    <row r="19" spans="1:6" x14ac:dyDescent="0.15">
      <c r="A19" s="3" t="s">
        <v>244</v>
      </c>
      <c r="B19" s="166">
        <f>B5*B4+B7*B6</f>
        <v>14787500000</v>
      </c>
      <c r="C19" s="82" t="s">
        <v>283</v>
      </c>
      <c r="D19" s="3" t="s">
        <v>281</v>
      </c>
      <c r="F19" s="74">
        <f>B5</f>
        <v>56</v>
      </c>
    </row>
    <row r="20" spans="1:6" x14ac:dyDescent="0.15">
      <c r="A20" s="3" t="s">
        <v>1344</v>
      </c>
      <c r="B20" s="166">
        <f>B4+B6</f>
        <v>306250000</v>
      </c>
      <c r="D20" s="3" t="s">
        <v>282</v>
      </c>
      <c r="F20" s="74">
        <f>B16</f>
        <v>7.7142857142857153</v>
      </c>
    </row>
    <row r="21" spans="1:6" x14ac:dyDescent="0.15">
      <c r="A21" s="7" t="s">
        <v>245</v>
      </c>
      <c r="B21" s="109">
        <f>B19/B20</f>
        <v>48.285714285714285</v>
      </c>
      <c r="F21" s="98">
        <f>F19-F20</f>
        <v>48.285714285714285</v>
      </c>
    </row>
    <row r="22" spans="1:6" x14ac:dyDescent="0.15">
      <c r="B22" s="74"/>
    </row>
    <row r="23" spans="1:6" x14ac:dyDescent="0.15">
      <c r="A23" s="3" t="s">
        <v>228</v>
      </c>
      <c r="B23" s="74"/>
    </row>
    <row r="24" spans="1:6" x14ac:dyDescent="0.15">
      <c r="A24" s="203" t="s">
        <v>247</v>
      </c>
    </row>
    <row r="26" spans="1:6" x14ac:dyDescent="0.15">
      <c r="A26" s="82" t="s">
        <v>874</v>
      </c>
      <c r="B26" s="82" t="s">
        <v>894</v>
      </c>
      <c r="C26" s="82" t="s">
        <v>469</v>
      </c>
    </row>
    <row r="27" spans="1:6" x14ac:dyDescent="0.15">
      <c r="A27" s="82">
        <v>169</v>
      </c>
      <c r="B27" s="204">
        <f>B5</f>
        <v>56</v>
      </c>
      <c r="C27" s="205">
        <f>A27*B27</f>
        <v>9464</v>
      </c>
    </row>
    <row r="29" spans="1:6" x14ac:dyDescent="0.15">
      <c r="A29" s="172" t="s">
        <v>251</v>
      </c>
    </row>
    <row r="30" spans="1:6" x14ac:dyDescent="0.15">
      <c r="A30" s="172"/>
    </row>
    <row r="31" spans="1:6" x14ac:dyDescent="0.15">
      <c r="A31" s="206" t="s">
        <v>250</v>
      </c>
    </row>
    <row r="32" spans="1:6" x14ac:dyDescent="0.15">
      <c r="A32" s="82" t="s">
        <v>243</v>
      </c>
      <c r="B32" s="82" t="s">
        <v>894</v>
      </c>
      <c r="C32" s="82"/>
    </row>
    <row r="33" spans="1:3" x14ac:dyDescent="0.15">
      <c r="A33" s="82">
        <v>133</v>
      </c>
      <c r="B33" s="204">
        <f>B16</f>
        <v>7.7142857142857153</v>
      </c>
      <c r="C33" s="90">
        <f>A33*B33</f>
        <v>1026.0000000000002</v>
      </c>
    </row>
    <row r="35" spans="1:3" x14ac:dyDescent="0.15">
      <c r="A35" s="206" t="s">
        <v>1232</v>
      </c>
    </row>
    <row r="36" spans="1:3" x14ac:dyDescent="0.15">
      <c r="A36" s="82" t="s">
        <v>481</v>
      </c>
      <c r="B36" s="82" t="s">
        <v>894</v>
      </c>
      <c r="C36" s="82"/>
    </row>
    <row r="37" spans="1:3" x14ac:dyDescent="0.15">
      <c r="A37" s="90">
        <f>(A27-A33)/B10</f>
        <v>27</v>
      </c>
      <c r="B37" s="204">
        <f>B7</f>
        <v>38</v>
      </c>
      <c r="C37" s="90">
        <f>-A37*B37</f>
        <v>-1026</v>
      </c>
    </row>
    <row r="39" spans="1:3" x14ac:dyDescent="0.15">
      <c r="A39" s="172" t="s">
        <v>248</v>
      </c>
    </row>
    <row r="41" spans="1:3" x14ac:dyDescent="0.15">
      <c r="A41" s="207" t="s">
        <v>254</v>
      </c>
    </row>
    <row r="42" spans="1:3" x14ac:dyDescent="0.15">
      <c r="A42" s="82" t="s">
        <v>252</v>
      </c>
      <c r="B42" s="82" t="s">
        <v>894</v>
      </c>
      <c r="C42" s="82" t="s">
        <v>469</v>
      </c>
    </row>
    <row r="43" spans="1:3" x14ac:dyDescent="0.15">
      <c r="A43" s="90">
        <f>A27+A37</f>
        <v>196</v>
      </c>
      <c r="B43" s="204">
        <f>B21</f>
        <v>48.285714285714285</v>
      </c>
      <c r="C43" s="90">
        <f>A43*B43</f>
        <v>9464</v>
      </c>
    </row>
    <row r="44" spans="1:3" x14ac:dyDescent="0.15">
      <c r="A44" s="82"/>
      <c r="B44" s="204"/>
      <c r="C44" s="82"/>
    </row>
    <row r="45" spans="1:3" x14ac:dyDescent="0.15">
      <c r="A45" s="207" t="s">
        <v>253</v>
      </c>
      <c r="B45" s="82"/>
      <c r="C45" s="90">
        <f>C33+C37</f>
        <v>0</v>
      </c>
    </row>
    <row r="46" spans="1:3" x14ac:dyDescent="0.15">
      <c r="C46" s="101"/>
    </row>
    <row r="47" spans="1:3" x14ac:dyDescent="0.15">
      <c r="A47" s="7" t="s">
        <v>938</v>
      </c>
      <c r="B47" s="7"/>
      <c r="C47" s="205">
        <f>C43+C45</f>
        <v>9464</v>
      </c>
    </row>
  </sheetData>
  <mergeCells count="1">
    <mergeCell ref="B13:C13"/>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euil27">
    <pageSetUpPr fitToPage="1"/>
  </sheetPr>
  <dimension ref="A1:E63"/>
  <sheetViews>
    <sheetView showGridLines="0" workbookViewId="0">
      <selection activeCell="G13" sqref="G13"/>
    </sheetView>
  </sheetViews>
  <sheetFormatPr baseColWidth="10" defaultColWidth="11" defaultRowHeight="14" x14ac:dyDescent="0.15"/>
  <cols>
    <col min="1" max="1" width="20.83203125" style="3" bestFit="1" customWidth="1"/>
    <col min="2" max="2" width="11" style="3"/>
    <col min="3" max="3" width="12.83203125" style="3" customWidth="1"/>
    <col min="4" max="4" width="9.1640625" style="3" bestFit="1" customWidth="1"/>
    <col min="5" max="16384" width="11" style="3"/>
  </cols>
  <sheetData>
    <row r="1" spans="1:4" ht="15" x14ac:dyDescent="0.15">
      <c r="A1" s="1" t="s">
        <v>581</v>
      </c>
    </row>
    <row r="2" spans="1:4" x14ac:dyDescent="0.15">
      <c r="A2" s="3" t="s">
        <v>582</v>
      </c>
      <c r="B2" s="74">
        <v>100</v>
      </c>
    </row>
    <row r="3" spans="1:4" x14ac:dyDescent="0.15">
      <c r="A3" s="3" t="s">
        <v>583</v>
      </c>
      <c r="B3" s="74">
        <v>25</v>
      </c>
    </row>
    <row r="4" spans="1:4" x14ac:dyDescent="0.15">
      <c r="A4" s="3" t="s">
        <v>399</v>
      </c>
      <c r="B4" s="74">
        <f>B3/B6-B2</f>
        <v>8.2563417436176678E-8</v>
      </c>
    </row>
    <row r="6" spans="1:4" x14ac:dyDescent="0.15">
      <c r="A6" s="3" t="s">
        <v>255</v>
      </c>
      <c r="B6" s="104">
        <v>0.24999999979359144</v>
      </c>
    </row>
    <row r="7" spans="1:4" x14ac:dyDescent="0.15">
      <c r="A7" s="7"/>
      <c r="B7" s="111"/>
    </row>
    <row r="8" spans="1:4" x14ac:dyDescent="0.15">
      <c r="A8" s="3" t="s">
        <v>256</v>
      </c>
    </row>
    <row r="10" spans="1:4" x14ac:dyDescent="0.15">
      <c r="A10" s="3" t="s">
        <v>583</v>
      </c>
      <c r="B10" s="74">
        <v>10</v>
      </c>
      <c r="C10" s="74">
        <v>50</v>
      </c>
      <c r="D10" s="74"/>
    </row>
    <row r="12" spans="1:4" x14ac:dyDescent="0.15">
      <c r="A12" s="3" t="s">
        <v>584</v>
      </c>
      <c r="B12" s="74">
        <f>B10/$B$6</f>
        <v>40.000000033025373</v>
      </c>
      <c r="C12" s="74">
        <f>C10/$B$6</f>
        <v>200.00000016512683</v>
      </c>
      <c r="D12" s="109"/>
    </row>
    <row r="13" spans="1:4" x14ac:dyDescent="0.15">
      <c r="B13" s="74"/>
      <c r="C13" s="74"/>
      <c r="D13" s="109"/>
    </row>
    <row r="14" spans="1:4" x14ac:dyDescent="0.15">
      <c r="A14" s="3" t="s">
        <v>229</v>
      </c>
      <c r="B14" s="74"/>
      <c r="C14" s="74"/>
      <c r="D14" s="109"/>
    </row>
    <row r="15" spans="1:4" x14ac:dyDescent="0.15">
      <c r="B15" s="74"/>
      <c r="C15" s="74"/>
      <c r="D15" s="109"/>
    </row>
    <row r="16" spans="1:4" x14ac:dyDescent="0.15">
      <c r="A16" s="3" t="s">
        <v>257</v>
      </c>
      <c r="B16" s="74"/>
      <c r="C16" s="74"/>
      <c r="D16" s="109"/>
    </row>
    <row r="17" spans="1:5" x14ac:dyDescent="0.15">
      <c r="B17" s="74"/>
      <c r="C17" s="74"/>
      <c r="D17" s="109"/>
    </row>
    <row r="18" spans="1:5" x14ac:dyDescent="0.15">
      <c r="A18" s="3" t="s">
        <v>258</v>
      </c>
      <c r="B18" s="74"/>
      <c r="C18" s="74"/>
      <c r="D18" s="109"/>
    </row>
    <row r="19" spans="1:5" x14ac:dyDescent="0.15">
      <c r="B19" s="74"/>
      <c r="C19" s="74"/>
      <c r="D19" s="109"/>
    </row>
    <row r="20" spans="1:5" x14ac:dyDescent="0.15">
      <c r="A20" s="3" t="s">
        <v>235</v>
      </c>
      <c r="C20" s="3" t="s">
        <v>260</v>
      </c>
      <c r="D20" s="82" t="s">
        <v>261</v>
      </c>
      <c r="E20" s="3" t="s">
        <v>259</v>
      </c>
    </row>
    <row r="21" spans="1:5" x14ac:dyDescent="0.15">
      <c r="D21" s="82"/>
    </row>
    <row r="22" spans="1:5" x14ac:dyDescent="0.15">
      <c r="A22" s="3" t="s">
        <v>262</v>
      </c>
      <c r="C22" s="3" t="s">
        <v>260</v>
      </c>
      <c r="D22" s="82" t="s">
        <v>263</v>
      </c>
      <c r="E22" s="3" t="s">
        <v>259</v>
      </c>
    </row>
    <row r="23" spans="1:5" x14ac:dyDescent="0.15">
      <c r="A23" s="7"/>
      <c r="D23" s="82"/>
    </row>
    <row r="24" spans="1:5" x14ac:dyDescent="0.15">
      <c r="A24" s="7"/>
      <c r="D24" s="82"/>
    </row>
    <row r="25" spans="1:5" ht="15" x14ac:dyDescent="0.15">
      <c r="A25" s="8" t="s">
        <v>1285</v>
      </c>
    </row>
    <row r="26" spans="1:5" ht="15" x14ac:dyDescent="0.15">
      <c r="A26" s="8"/>
    </row>
    <row r="27" spans="1:5" x14ac:dyDescent="0.15">
      <c r="A27" s="359" t="s">
        <v>586</v>
      </c>
      <c r="B27" s="360" t="s">
        <v>74</v>
      </c>
      <c r="C27" s="360" t="s">
        <v>75</v>
      </c>
    </row>
    <row r="28" spans="1:5" ht="15" x14ac:dyDescent="0.15">
      <c r="A28" s="6" t="s">
        <v>1208</v>
      </c>
      <c r="B28" s="166">
        <v>1000</v>
      </c>
      <c r="C28" s="166">
        <v>1000</v>
      </c>
    </row>
    <row r="29" spans="1:5" ht="30" x14ac:dyDescent="0.15">
      <c r="A29" s="6" t="s">
        <v>587</v>
      </c>
      <c r="B29" s="523">
        <v>0.15</v>
      </c>
      <c r="C29" s="523"/>
    </row>
    <row r="30" spans="1:5" ht="30" x14ac:dyDescent="0.15">
      <c r="A30" s="6" t="s">
        <v>588</v>
      </c>
      <c r="B30" s="166">
        <v>50</v>
      </c>
      <c r="C30" s="166">
        <v>300</v>
      </c>
    </row>
    <row r="31" spans="1:5" x14ac:dyDescent="0.15">
      <c r="A31" s="3" t="s">
        <v>589</v>
      </c>
      <c r="B31" s="166">
        <v>50</v>
      </c>
      <c r="C31" s="166"/>
    </row>
    <row r="32" spans="1:5" x14ac:dyDescent="0.15">
      <c r="A32" s="3" t="s">
        <v>67</v>
      </c>
    </row>
    <row r="33" spans="1:4" ht="15" x14ac:dyDescent="0.15">
      <c r="A33" s="4" t="s">
        <v>592</v>
      </c>
      <c r="B33" s="184">
        <f>B30/$B$29</f>
        <v>333.33333333333337</v>
      </c>
      <c r="C33" s="147">
        <f>C30/$B$29</f>
        <v>2000</v>
      </c>
    </row>
    <row r="34" spans="1:4" x14ac:dyDescent="0.15">
      <c r="A34" s="4"/>
      <c r="B34" s="147"/>
      <c r="C34" s="147"/>
    </row>
    <row r="35" spans="1:4" x14ac:dyDescent="0.15">
      <c r="A35" s="3" t="s">
        <v>68</v>
      </c>
    </row>
    <row r="36" spans="1:4" x14ac:dyDescent="0.15">
      <c r="A36" s="3" t="s">
        <v>590</v>
      </c>
      <c r="B36" s="166">
        <v>0</v>
      </c>
      <c r="C36" s="166">
        <f>$B$30+$C$30-B$31-B36</f>
        <v>300</v>
      </c>
    </row>
    <row r="37" spans="1:4" x14ac:dyDescent="0.15">
      <c r="A37" s="3" t="s">
        <v>449</v>
      </c>
      <c r="B37" s="81">
        <f>B$30/B$28</f>
        <v>0.05</v>
      </c>
      <c r="C37" s="81">
        <f>C$30/C$28</f>
        <v>0.3</v>
      </c>
    </row>
    <row r="38" spans="1:4" x14ac:dyDescent="0.15">
      <c r="A38" s="3" t="s">
        <v>594</v>
      </c>
      <c r="B38" s="166">
        <f>B$28*B37</f>
        <v>50</v>
      </c>
      <c r="C38" s="166">
        <f>C$28*C37</f>
        <v>300</v>
      </c>
    </row>
    <row r="39" spans="1:4" ht="30" x14ac:dyDescent="0.15">
      <c r="A39" s="6" t="s">
        <v>593</v>
      </c>
      <c r="B39" s="166">
        <f>B36*B37</f>
        <v>0</v>
      </c>
      <c r="C39" s="166">
        <f>C36*C37</f>
        <v>90</v>
      </c>
    </row>
    <row r="40" spans="1:4" ht="15" x14ac:dyDescent="0.15">
      <c r="A40" s="6" t="s">
        <v>938</v>
      </c>
      <c r="B40" s="166">
        <f>B38+B39</f>
        <v>50</v>
      </c>
      <c r="C40" s="166">
        <f>C38+C39</f>
        <v>390</v>
      </c>
    </row>
    <row r="41" spans="1:4" ht="15" x14ac:dyDescent="0.15">
      <c r="A41" s="6" t="s">
        <v>595</v>
      </c>
      <c r="B41" s="166">
        <f>B40/B$29</f>
        <v>333.33333333333337</v>
      </c>
      <c r="C41" s="166">
        <f>C40/B$29</f>
        <v>2600</v>
      </c>
    </row>
    <row r="42" spans="1:4" ht="15" x14ac:dyDescent="0.15">
      <c r="A42" s="6" t="s">
        <v>1138</v>
      </c>
      <c r="B42" s="166">
        <f>B$33+B36</f>
        <v>333.33333333333337</v>
      </c>
      <c r="C42" s="166">
        <f>C$33+C36</f>
        <v>2300</v>
      </c>
    </row>
    <row r="43" spans="1:4" x14ac:dyDescent="0.15">
      <c r="A43" s="7" t="s">
        <v>591</v>
      </c>
      <c r="B43" s="166">
        <f>B41-B42</f>
        <v>0</v>
      </c>
      <c r="C43" s="166">
        <f>C41-C42</f>
        <v>300</v>
      </c>
      <c r="D43" s="184">
        <f>SUM(B43:C43)</f>
        <v>300</v>
      </c>
    </row>
    <row r="44" spans="1:4" x14ac:dyDescent="0.15">
      <c r="A44" s="7"/>
      <c r="B44" s="166"/>
      <c r="C44" s="166"/>
      <c r="D44" s="196"/>
    </row>
    <row r="45" spans="1:4" ht="15" x14ac:dyDescent="0.15">
      <c r="A45" s="6" t="s">
        <v>228</v>
      </c>
    </row>
    <row r="46" spans="1:4" x14ac:dyDescent="0.15">
      <c r="A46" s="3" t="s">
        <v>590</v>
      </c>
      <c r="B46" s="166">
        <v>300</v>
      </c>
      <c r="C46" s="166">
        <f>$B$30+$C$30-B$31-B46</f>
        <v>0</v>
      </c>
    </row>
    <row r="47" spans="1:4" x14ac:dyDescent="0.15">
      <c r="A47" s="3" t="s">
        <v>449</v>
      </c>
      <c r="B47" s="81">
        <f>B$30/B$28</f>
        <v>0.05</v>
      </c>
      <c r="C47" s="81">
        <f>C$30/C$28</f>
        <v>0.3</v>
      </c>
    </row>
    <row r="48" spans="1:4" x14ac:dyDescent="0.15">
      <c r="A48" s="3" t="s">
        <v>594</v>
      </c>
      <c r="B48" s="166">
        <f>B$28*B47</f>
        <v>50</v>
      </c>
      <c r="C48" s="166">
        <f>C$28*C47</f>
        <v>300</v>
      </c>
    </row>
    <row r="49" spans="1:4" ht="30" x14ac:dyDescent="0.15">
      <c r="A49" s="6" t="s">
        <v>593</v>
      </c>
      <c r="B49" s="166">
        <f>B46*B47</f>
        <v>15</v>
      </c>
      <c r="C49" s="166">
        <f>C46*C47</f>
        <v>0</v>
      </c>
    </row>
    <row r="50" spans="1:4" ht="15" x14ac:dyDescent="0.15">
      <c r="A50" s="6" t="s">
        <v>938</v>
      </c>
      <c r="B50" s="166">
        <f>B48+B49</f>
        <v>65</v>
      </c>
      <c r="C50" s="166">
        <f>C48+C49</f>
        <v>300</v>
      </c>
    </row>
    <row r="51" spans="1:4" ht="15" x14ac:dyDescent="0.15">
      <c r="A51" s="6" t="s">
        <v>595</v>
      </c>
      <c r="B51" s="166">
        <f>B50/B$29</f>
        <v>433.33333333333337</v>
      </c>
      <c r="C51" s="166">
        <f>C50/B$29</f>
        <v>2000</v>
      </c>
    </row>
    <row r="52" spans="1:4" ht="15" x14ac:dyDescent="0.15">
      <c r="A52" s="6" t="s">
        <v>596</v>
      </c>
      <c r="B52" s="166">
        <f>B$33+B46</f>
        <v>633.33333333333337</v>
      </c>
      <c r="C52" s="166">
        <f>C$33+C46</f>
        <v>2000</v>
      </c>
    </row>
    <row r="53" spans="1:4" x14ac:dyDescent="0.15">
      <c r="A53" s="7" t="s">
        <v>591</v>
      </c>
      <c r="B53" s="166">
        <f>B51-B52</f>
        <v>-200</v>
      </c>
      <c r="C53" s="166">
        <f>C51-C52</f>
        <v>0</v>
      </c>
      <c r="D53" s="184">
        <f>SUM(B53:C53)</f>
        <v>-200</v>
      </c>
    </row>
    <row r="54" spans="1:4" x14ac:dyDescent="0.15">
      <c r="A54" s="7"/>
      <c r="B54" s="166"/>
      <c r="C54" s="166"/>
      <c r="D54" s="184"/>
    </row>
    <row r="55" spans="1:4" ht="15" x14ac:dyDescent="0.15">
      <c r="A55" s="6" t="s">
        <v>229</v>
      </c>
    </row>
    <row r="56" spans="1:4" x14ac:dyDescent="0.15">
      <c r="A56" s="3" t="s">
        <v>590</v>
      </c>
      <c r="B56" s="166">
        <v>150</v>
      </c>
      <c r="C56" s="166">
        <f>$B$30+$C$30-B$31-B56</f>
        <v>150</v>
      </c>
    </row>
    <row r="57" spans="1:4" x14ac:dyDescent="0.15">
      <c r="A57" s="3" t="s">
        <v>449</v>
      </c>
      <c r="B57" s="81">
        <f>B$30/B$28</f>
        <v>0.05</v>
      </c>
      <c r="C57" s="81">
        <f>C$30/C$28</f>
        <v>0.3</v>
      </c>
    </row>
    <row r="58" spans="1:4" x14ac:dyDescent="0.15">
      <c r="A58" s="3" t="s">
        <v>594</v>
      </c>
      <c r="B58" s="166">
        <f>B$28*B57</f>
        <v>50</v>
      </c>
      <c r="C58" s="166">
        <f>C$28*C57</f>
        <v>300</v>
      </c>
    </row>
    <row r="59" spans="1:4" ht="30" x14ac:dyDescent="0.15">
      <c r="A59" s="6" t="s">
        <v>593</v>
      </c>
      <c r="B59" s="166">
        <f>B56*B57</f>
        <v>7.5</v>
      </c>
      <c r="C59" s="166">
        <f>C56*C57</f>
        <v>45</v>
      </c>
    </row>
    <row r="60" spans="1:4" ht="15" x14ac:dyDescent="0.15">
      <c r="A60" s="6" t="s">
        <v>938</v>
      </c>
      <c r="B60" s="166">
        <f>B58+B59</f>
        <v>57.5</v>
      </c>
      <c r="C60" s="166">
        <f>C58+C59</f>
        <v>345</v>
      </c>
    </row>
    <row r="61" spans="1:4" ht="15" x14ac:dyDescent="0.15">
      <c r="A61" s="6" t="s">
        <v>595</v>
      </c>
      <c r="B61" s="166">
        <f>B60/B$29</f>
        <v>383.33333333333337</v>
      </c>
      <c r="C61" s="166">
        <f>C60/B$29</f>
        <v>2300</v>
      </c>
    </row>
    <row r="62" spans="1:4" ht="15" x14ac:dyDescent="0.15">
      <c r="A62" s="6" t="s">
        <v>596</v>
      </c>
      <c r="B62" s="166">
        <f>B$33+B56</f>
        <v>483.33333333333337</v>
      </c>
      <c r="C62" s="166">
        <f>C$33+C56</f>
        <v>2150</v>
      </c>
    </row>
    <row r="63" spans="1:4" x14ac:dyDescent="0.15">
      <c r="A63" s="7" t="s">
        <v>591</v>
      </c>
      <c r="B63" s="166">
        <f>B61-B62</f>
        <v>-100</v>
      </c>
      <c r="C63" s="166">
        <f>C61-C62</f>
        <v>150</v>
      </c>
      <c r="D63" s="184">
        <f>SUM(B63:C63)</f>
        <v>50</v>
      </c>
    </row>
  </sheetData>
  <mergeCells count="1">
    <mergeCell ref="B29:C29"/>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euil28">
    <pageSetUpPr fitToPage="1"/>
  </sheetPr>
  <dimension ref="A1:C32"/>
  <sheetViews>
    <sheetView showGridLines="0" workbookViewId="0">
      <selection activeCell="D19" sqref="D19"/>
    </sheetView>
  </sheetViews>
  <sheetFormatPr baseColWidth="10" defaultColWidth="11" defaultRowHeight="14" x14ac:dyDescent="0.15"/>
  <cols>
    <col min="1" max="1" width="38" style="3" customWidth="1"/>
    <col min="2" max="2" width="11" style="3"/>
    <col min="3" max="3" width="11.33203125" style="3" customWidth="1"/>
    <col min="4" max="16384" width="11" style="3"/>
  </cols>
  <sheetData>
    <row r="1" spans="1:3" ht="15" x14ac:dyDescent="0.15">
      <c r="A1" s="1" t="s">
        <v>1235</v>
      </c>
      <c r="B1" s="195"/>
    </row>
    <row r="2" spans="1:3" ht="15" x14ac:dyDescent="0.15">
      <c r="A2" s="8"/>
    </row>
    <row r="3" spans="1:3" x14ac:dyDescent="0.15">
      <c r="A3" s="334"/>
      <c r="B3" s="360" t="s">
        <v>76</v>
      </c>
      <c r="C3" s="360" t="s">
        <v>77</v>
      </c>
    </row>
    <row r="4" spans="1:3" x14ac:dyDescent="0.15">
      <c r="A4" s="3" t="s">
        <v>537</v>
      </c>
      <c r="B4" s="3">
        <f>B6/B5</f>
        <v>10</v>
      </c>
      <c r="C4" s="3">
        <v>18</v>
      </c>
    </row>
    <row r="5" spans="1:3" x14ac:dyDescent="0.15">
      <c r="A5" s="3" t="s">
        <v>264</v>
      </c>
      <c r="B5" s="3">
        <v>140</v>
      </c>
      <c r="C5" s="3">
        <f>+C6/C4</f>
        <v>55</v>
      </c>
    </row>
    <row r="6" spans="1:3" x14ac:dyDescent="0.15">
      <c r="A6" s="3" t="s">
        <v>265</v>
      </c>
      <c r="B6" s="3">
        <v>1400</v>
      </c>
      <c r="C6" s="3">
        <v>990</v>
      </c>
    </row>
    <row r="7" spans="1:3" x14ac:dyDescent="0.15">
      <c r="A7" s="3" t="s">
        <v>273</v>
      </c>
      <c r="B7" s="3">
        <f>B6</f>
        <v>1400</v>
      </c>
      <c r="C7" s="3">
        <f>C6</f>
        <v>990</v>
      </c>
    </row>
    <row r="9" spans="1:3" x14ac:dyDescent="0.15">
      <c r="A9" s="3" t="s">
        <v>270</v>
      </c>
      <c r="B9" s="3">
        <f>B5</f>
        <v>140</v>
      </c>
    </row>
    <row r="10" spans="1:3" x14ac:dyDescent="0.15">
      <c r="A10" s="3" t="s">
        <v>269</v>
      </c>
      <c r="B10" s="3">
        <f>C5</f>
        <v>55</v>
      </c>
    </row>
    <row r="11" spans="1:3" x14ac:dyDescent="0.15">
      <c r="A11" s="3" t="s">
        <v>268</v>
      </c>
      <c r="B11" s="3">
        <f>B10*50%</f>
        <v>27.5</v>
      </c>
    </row>
    <row r="12" spans="1:3" x14ac:dyDescent="0.15">
      <c r="A12" s="3" t="s">
        <v>266</v>
      </c>
      <c r="B12" s="3">
        <f>SUM(B9:B11)</f>
        <v>222.5</v>
      </c>
    </row>
    <row r="14" spans="1:3" x14ac:dyDescent="0.15">
      <c r="A14" s="3" t="s">
        <v>272</v>
      </c>
      <c r="B14" s="80">
        <f>B12/B9-1</f>
        <v>0.58928571428571419</v>
      </c>
    </row>
    <row r="15" spans="1:3" x14ac:dyDescent="0.15">
      <c r="A15" s="3" t="s">
        <v>271</v>
      </c>
      <c r="B15" s="80">
        <f>C6/B6</f>
        <v>0.70714285714285718</v>
      </c>
    </row>
    <row r="16" spans="1:3" x14ac:dyDescent="0.15">
      <c r="A16" s="3" t="s">
        <v>267</v>
      </c>
      <c r="B16" s="80">
        <f>(1+B14)/(1+B15)-1</f>
        <v>-6.9037656903765843E-2</v>
      </c>
    </row>
    <row r="19" spans="1:3" ht="15" x14ac:dyDescent="0.15">
      <c r="A19" s="8" t="s">
        <v>1523</v>
      </c>
    </row>
    <row r="20" spans="1:3" x14ac:dyDescent="0.15">
      <c r="A20" s="7"/>
    </row>
    <row r="21" spans="1:3" x14ac:dyDescent="0.15">
      <c r="A21" s="103" t="s">
        <v>1524</v>
      </c>
    </row>
    <row r="22" spans="1:3" x14ac:dyDescent="0.15">
      <c r="A22" s="383"/>
      <c r="B22" s="334">
        <v>2021</v>
      </c>
    </row>
    <row r="23" spans="1:3" x14ac:dyDescent="0.15">
      <c r="A23" s="3" t="s">
        <v>274</v>
      </c>
      <c r="B23" s="55">
        <v>0.1</v>
      </c>
    </row>
    <row r="24" spans="1:3" x14ac:dyDescent="0.15">
      <c r="A24" s="3" t="s">
        <v>972</v>
      </c>
      <c r="B24" s="3">
        <v>28.79</v>
      </c>
    </row>
    <row r="26" spans="1:3" x14ac:dyDescent="0.15">
      <c r="A26" s="3" t="s">
        <v>1014</v>
      </c>
      <c r="B26" s="3">
        <v>19.600000000000001</v>
      </c>
    </row>
    <row r="27" spans="1:3" x14ac:dyDescent="0.15">
      <c r="A27" s="3" t="s">
        <v>275</v>
      </c>
      <c r="B27" s="80">
        <v>0.25</v>
      </c>
    </row>
    <row r="28" spans="1:3" x14ac:dyDescent="0.15">
      <c r="A28" s="3" t="s">
        <v>1208</v>
      </c>
      <c r="B28" s="3">
        <v>57.5</v>
      </c>
    </row>
    <row r="29" spans="1:3" x14ac:dyDescent="0.15">
      <c r="A29" s="3" t="s">
        <v>902</v>
      </c>
      <c r="B29" s="29">
        <v>45.6</v>
      </c>
      <c r="C29" s="181" t="s">
        <v>353</v>
      </c>
    </row>
    <row r="31" spans="1:3" x14ac:dyDescent="0.15">
      <c r="A31" s="3" t="s">
        <v>277</v>
      </c>
      <c r="B31" s="68">
        <f>B26*(1-B27)-B28*B23</f>
        <v>8.9500000000000011</v>
      </c>
    </row>
    <row r="32" spans="1:3" x14ac:dyDescent="0.15">
      <c r="A32" s="3" t="s">
        <v>276</v>
      </c>
      <c r="B32" s="29">
        <f>B24-B29</f>
        <v>-16.810000000000002</v>
      </c>
    </row>
  </sheetData>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euil32">
    <pageSetUpPr fitToPage="1"/>
  </sheetPr>
  <dimension ref="A1:IV351"/>
  <sheetViews>
    <sheetView showGridLines="0" workbookViewId="0"/>
  </sheetViews>
  <sheetFormatPr baseColWidth="10" defaultColWidth="11" defaultRowHeight="14" x14ac:dyDescent="0.15"/>
  <cols>
    <col min="1" max="1" width="30" style="3" customWidth="1"/>
    <col min="2" max="2" width="12.83203125" style="3" customWidth="1"/>
    <col min="3" max="12" width="11.83203125" style="3" bestFit="1" customWidth="1"/>
    <col min="13" max="16384" width="11" style="3"/>
  </cols>
  <sheetData>
    <row r="1" spans="1:256" ht="15" x14ac:dyDescent="0.15">
      <c r="A1" s="1" t="s">
        <v>1235</v>
      </c>
    </row>
    <row r="2" spans="1:256" ht="15" x14ac:dyDescent="0.15">
      <c r="A2" s="6" t="s">
        <v>677</v>
      </c>
      <c r="B2" s="68">
        <v>20</v>
      </c>
      <c r="C2" s="3" t="s">
        <v>678</v>
      </c>
    </row>
    <row r="3" spans="1:256" ht="15" x14ac:dyDescent="0.15">
      <c r="A3" s="6" t="s">
        <v>684</v>
      </c>
      <c r="B3" s="3">
        <v>5</v>
      </c>
      <c r="C3" s="3" t="s">
        <v>509</v>
      </c>
    </row>
    <row r="4" spans="1:256" ht="15" x14ac:dyDescent="0.15">
      <c r="A4" s="6" t="s">
        <v>679</v>
      </c>
      <c r="B4" s="68">
        <v>1.5</v>
      </c>
      <c r="C4" s="3" t="s">
        <v>678</v>
      </c>
    </row>
    <row r="5" spans="1:256" ht="15" x14ac:dyDescent="0.15">
      <c r="A5" s="6" t="s">
        <v>680</v>
      </c>
      <c r="B5" s="3">
        <v>8</v>
      </c>
      <c r="C5" s="3" t="s">
        <v>509</v>
      </c>
    </row>
    <row r="6" spans="1:256" ht="15" x14ac:dyDescent="0.15">
      <c r="A6" s="6" t="s">
        <v>681</v>
      </c>
      <c r="B6" s="68">
        <v>0</v>
      </c>
    </row>
    <row r="7" spans="1:256" ht="15" x14ac:dyDescent="0.15">
      <c r="A7" s="6" t="s">
        <v>682</v>
      </c>
      <c r="B7" s="68">
        <v>2.5</v>
      </c>
      <c r="C7" s="3" t="s">
        <v>678</v>
      </c>
    </row>
    <row r="8" spans="1:256" ht="15" x14ac:dyDescent="0.15">
      <c r="A8" s="6" t="s">
        <v>683</v>
      </c>
      <c r="B8" s="68">
        <v>3</v>
      </c>
      <c r="C8" s="3" t="s">
        <v>678</v>
      </c>
    </row>
    <row r="9" spans="1:256" ht="15" x14ac:dyDescent="0.15">
      <c r="A9" s="6" t="s">
        <v>632</v>
      </c>
      <c r="B9" s="80">
        <v>0.25</v>
      </c>
    </row>
    <row r="11" spans="1:256" x14ac:dyDescent="0.15">
      <c r="A11" s="60" t="s">
        <v>685</v>
      </c>
    </row>
    <row r="12" spans="1:256" ht="15" x14ac:dyDescent="0.15">
      <c r="A12" s="380" t="s">
        <v>941</v>
      </c>
      <c r="B12" s="334">
        <v>0</v>
      </c>
      <c r="C12" s="334">
        <v>1</v>
      </c>
      <c r="D12" s="334">
        <v>2</v>
      </c>
      <c r="E12" s="334">
        <v>3</v>
      </c>
      <c r="F12" s="334">
        <v>4</v>
      </c>
      <c r="G12" s="334">
        <v>5</v>
      </c>
      <c r="H12" s="334">
        <v>6</v>
      </c>
      <c r="I12" s="334">
        <v>7</v>
      </c>
      <c r="J12" s="334">
        <v>8</v>
      </c>
    </row>
    <row r="13" spans="1:256" ht="15" x14ac:dyDescent="0.15">
      <c r="A13" s="6" t="s">
        <v>931</v>
      </c>
      <c r="B13" s="29">
        <f>-B2-B4</f>
        <v>-21.5</v>
      </c>
      <c r="C13" s="29"/>
      <c r="D13" s="29"/>
      <c r="E13" s="29"/>
      <c r="F13" s="29"/>
      <c r="G13" s="29"/>
      <c r="H13" s="29"/>
      <c r="I13" s="29"/>
      <c r="J13" s="29">
        <f>B6</f>
        <v>0</v>
      </c>
    </row>
    <row r="14" spans="1:256" ht="15" x14ac:dyDescent="0.15">
      <c r="A14" s="6" t="s">
        <v>688</v>
      </c>
      <c r="B14" s="29"/>
      <c r="C14" s="29">
        <f>$B8</f>
        <v>3</v>
      </c>
      <c r="D14" s="29">
        <f t="shared" ref="D14:J14" si="0">$B8</f>
        <v>3</v>
      </c>
      <c r="E14" s="29">
        <f t="shared" si="0"/>
        <v>3</v>
      </c>
      <c r="F14" s="29">
        <f t="shared" si="0"/>
        <v>3</v>
      </c>
      <c r="G14" s="29">
        <f t="shared" si="0"/>
        <v>3</v>
      </c>
      <c r="H14" s="29">
        <f t="shared" si="0"/>
        <v>3</v>
      </c>
      <c r="I14" s="29">
        <f t="shared" si="0"/>
        <v>3</v>
      </c>
      <c r="J14" s="29">
        <f t="shared" si="0"/>
        <v>3</v>
      </c>
      <c r="K14" s="68"/>
    </row>
    <row r="15" spans="1:256" ht="15" x14ac:dyDescent="0.15">
      <c r="A15" s="6" t="s">
        <v>186</v>
      </c>
      <c r="B15" s="29"/>
      <c r="C15" s="29">
        <f>-$B7</f>
        <v>-2.5</v>
      </c>
      <c r="D15" s="29"/>
      <c r="E15" s="29"/>
      <c r="F15" s="29"/>
      <c r="G15" s="29"/>
      <c r="H15" s="29"/>
      <c r="I15" s="29"/>
      <c r="J15" s="29">
        <f>-C15</f>
        <v>2.5</v>
      </c>
      <c r="K15" s="68"/>
    </row>
    <row r="16" spans="1:256" ht="15" x14ac:dyDescent="0.15">
      <c r="A16" s="6" t="s">
        <v>703</v>
      </c>
      <c r="B16" s="29"/>
      <c r="C16" s="29">
        <f>-(C14-C19)*$B9</f>
        <v>0.25</v>
      </c>
      <c r="D16" s="29">
        <f t="shared" ref="D16:J16" si="1">-(D14-D19)*$B9</f>
        <v>0.25</v>
      </c>
      <c r="E16" s="29">
        <f t="shared" si="1"/>
        <v>0.25</v>
      </c>
      <c r="F16" s="29">
        <f t="shared" si="1"/>
        <v>0.25</v>
      </c>
      <c r="G16" s="29">
        <f t="shared" si="1"/>
        <v>0.25</v>
      </c>
      <c r="H16" s="29">
        <f t="shared" si="1"/>
        <v>-0.75</v>
      </c>
      <c r="I16" s="29">
        <f t="shared" si="1"/>
        <v>-0.75</v>
      </c>
      <c r="J16" s="29">
        <f t="shared" si="1"/>
        <v>-0.75</v>
      </c>
      <c r="K16" s="6"/>
      <c r="M16" s="68"/>
      <c r="N16" s="68"/>
      <c r="O16" s="68"/>
      <c r="P16" s="68"/>
      <c r="Q16" s="68"/>
      <c r="R16" s="68"/>
      <c r="S16" s="68"/>
      <c r="T16" s="68"/>
      <c r="U16" s="6"/>
      <c r="W16" s="68"/>
      <c r="X16" s="68"/>
      <c r="Y16" s="68"/>
      <c r="Z16" s="68"/>
      <c r="AA16" s="68"/>
      <c r="AB16" s="68"/>
      <c r="AC16" s="68"/>
      <c r="AD16" s="68"/>
      <c r="AE16" s="6"/>
      <c r="AG16" s="68"/>
      <c r="AH16" s="68"/>
      <c r="AI16" s="68"/>
      <c r="AJ16" s="68"/>
      <c r="AK16" s="68"/>
      <c r="AL16" s="68"/>
      <c r="AM16" s="68"/>
      <c r="AN16" s="68"/>
      <c r="AO16" s="6"/>
      <c r="AQ16" s="68"/>
      <c r="AR16" s="68"/>
      <c r="AS16" s="68"/>
      <c r="AT16" s="68"/>
      <c r="AU16" s="68"/>
      <c r="AV16" s="68"/>
      <c r="AW16" s="68"/>
      <c r="AX16" s="68"/>
      <c r="AY16" s="6"/>
      <c r="BA16" s="68"/>
      <c r="BB16" s="68"/>
      <c r="BC16" s="68"/>
      <c r="BD16" s="68"/>
      <c r="BE16" s="68"/>
      <c r="BF16" s="68"/>
      <c r="BG16" s="68"/>
      <c r="BH16" s="68"/>
      <c r="BI16" s="6"/>
      <c r="BK16" s="68"/>
      <c r="BL16" s="68"/>
      <c r="BM16" s="68"/>
      <c r="BN16" s="68"/>
      <c r="BO16" s="68"/>
      <c r="BP16" s="68"/>
      <c r="BQ16" s="68"/>
      <c r="BR16" s="68"/>
      <c r="BS16" s="6"/>
      <c r="BU16" s="68"/>
      <c r="BV16" s="68"/>
      <c r="BW16" s="68"/>
      <c r="BX16" s="68"/>
      <c r="BY16" s="68"/>
      <c r="BZ16" s="68"/>
      <c r="CA16" s="68"/>
      <c r="CB16" s="68"/>
      <c r="CC16" s="6"/>
      <c r="CE16" s="68"/>
      <c r="CF16" s="68"/>
      <c r="CG16" s="68"/>
      <c r="CH16" s="68"/>
      <c r="CI16" s="68"/>
      <c r="CJ16" s="68"/>
      <c r="CK16" s="68"/>
      <c r="CL16" s="68"/>
      <c r="CM16" s="6"/>
      <c r="CO16" s="68"/>
      <c r="CP16" s="68"/>
      <c r="CQ16" s="68"/>
      <c r="CR16" s="68"/>
      <c r="CS16" s="68"/>
      <c r="CT16" s="68"/>
      <c r="CU16" s="68"/>
      <c r="CV16" s="68"/>
      <c r="CW16" s="6"/>
      <c r="CY16" s="68"/>
      <c r="CZ16" s="68"/>
      <c r="DA16" s="68"/>
      <c r="DB16" s="68"/>
      <c r="DC16" s="68"/>
      <c r="DD16" s="68"/>
      <c r="DE16" s="68"/>
      <c r="DF16" s="68"/>
      <c r="DG16" s="6"/>
      <c r="DI16" s="68"/>
      <c r="DJ16" s="68"/>
      <c r="DK16" s="68"/>
      <c r="DL16" s="68"/>
      <c r="DM16" s="68"/>
      <c r="DN16" s="68"/>
      <c r="DO16" s="68"/>
      <c r="DP16" s="68"/>
      <c r="DQ16" s="6"/>
      <c r="DS16" s="68"/>
      <c r="DT16" s="68"/>
      <c r="DU16" s="68"/>
      <c r="DV16" s="68"/>
      <c r="DW16" s="68"/>
      <c r="DX16" s="68"/>
      <c r="DY16" s="68"/>
      <c r="DZ16" s="68"/>
      <c r="EA16" s="6"/>
      <c r="EC16" s="68"/>
      <c r="ED16" s="68"/>
      <c r="EE16" s="68"/>
      <c r="EF16" s="68"/>
      <c r="EG16" s="68"/>
      <c r="EH16" s="68"/>
      <c r="EI16" s="68"/>
      <c r="EJ16" s="68"/>
      <c r="EK16" s="6"/>
      <c r="EM16" s="68"/>
      <c r="EN16" s="68"/>
      <c r="EO16" s="68"/>
      <c r="EP16" s="68"/>
      <c r="EQ16" s="68"/>
      <c r="ER16" s="68"/>
      <c r="ES16" s="68"/>
      <c r="ET16" s="68"/>
      <c r="EU16" s="6"/>
      <c r="EW16" s="68"/>
      <c r="EX16" s="68"/>
      <c r="EY16" s="68"/>
      <c r="EZ16" s="68"/>
      <c r="FA16" s="68"/>
      <c r="FB16" s="68"/>
      <c r="FC16" s="68"/>
      <c r="FD16" s="68"/>
      <c r="FE16" s="6"/>
      <c r="FG16" s="68"/>
      <c r="FH16" s="68"/>
      <c r="FI16" s="68"/>
      <c r="FJ16" s="68"/>
      <c r="FK16" s="68"/>
      <c r="FL16" s="68"/>
      <c r="FM16" s="68"/>
      <c r="FN16" s="68"/>
      <c r="FO16" s="6"/>
      <c r="FQ16" s="68"/>
      <c r="FR16" s="68"/>
      <c r="FS16" s="68"/>
      <c r="FT16" s="68"/>
      <c r="FU16" s="68"/>
      <c r="FV16" s="68"/>
      <c r="FW16" s="68"/>
      <c r="FX16" s="68"/>
      <c r="FY16" s="6"/>
      <c r="GA16" s="68"/>
      <c r="GB16" s="68"/>
      <c r="GC16" s="68"/>
      <c r="GD16" s="68"/>
      <c r="GE16" s="68"/>
      <c r="GF16" s="68"/>
      <c r="GG16" s="68"/>
      <c r="GH16" s="68"/>
      <c r="GI16" s="6"/>
      <c r="GK16" s="68"/>
      <c r="GL16" s="68"/>
      <c r="GM16" s="68"/>
      <c r="GN16" s="68"/>
      <c r="GO16" s="68"/>
      <c r="GP16" s="68"/>
      <c r="GQ16" s="68"/>
      <c r="GR16" s="68"/>
      <c r="GS16" s="6"/>
      <c r="GU16" s="68"/>
      <c r="GV16" s="68"/>
      <c r="GW16" s="68"/>
      <c r="GX16" s="68"/>
      <c r="GY16" s="68"/>
      <c r="GZ16" s="68"/>
      <c r="HA16" s="68"/>
      <c r="HB16" s="68"/>
      <c r="HC16" s="6"/>
      <c r="HE16" s="68"/>
      <c r="HF16" s="68"/>
      <c r="HG16" s="68"/>
      <c r="HH16" s="68"/>
      <c r="HI16" s="68"/>
      <c r="HJ16" s="68"/>
      <c r="HK16" s="68"/>
      <c r="HL16" s="68"/>
      <c r="HM16" s="6"/>
      <c r="HO16" s="68"/>
      <c r="HP16" s="68"/>
      <c r="HQ16" s="68"/>
      <c r="HR16" s="68"/>
      <c r="HS16" s="68"/>
      <c r="HT16" s="68"/>
      <c r="HU16" s="68"/>
      <c r="HV16" s="68"/>
      <c r="HW16" s="6"/>
      <c r="HY16" s="68"/>
      <c r="HZ16" s="68"/>
      <c r="IA16" s="68"/>
      <c r="IB16" s="68"/>
      <c r="IC16" s="68"/>
      <c r="ID16" s="68"/>
      <c r="IE16" s="68"/>
      <c r="IF16" s="68"/>
      <c r="IG16" s="6"/>
      <c r="II16" s="68"/>
      <c r="IJ16" s="68"/>
      <c r="IK16" s="68"/>
      <c r="IL16" s="68"/>
      <c r="IM16" s="68"/>
      <c r="IN16" s="68"/>
      <c r="IO16" s="68"/>
      <c r="IP16" s="68"/>
      <c r="IQ16" s="6"/>
      <c r="IS16" s="68"/>
      <c r="IT16" s="68"/>
      <c r="IU16" s="68"/>
      <c r="IV16" s="68"/>
    </row>
    <row r="17" spans="1:10" x14ac:dyDescent="0.15">
      <c r="A17" s="7" t="s">
        <v>686</v>
      </c>
      <c r="B17" s="133">
        <f>SUM(B13:B16)</f>
        <v>-21.5</v>
      </c>
      <c r="C17" s="133">
        <f>SUM(C13:C16)</f>
        <v>0.75</v>
      </c>
      <c r="D17" s="133">
        <f t="shared" ref="D17:J17" si="2">SUM(D13:D16)</f>
        <v>3.25</v>
      </c>
      <c r="E17" s="133">
        <f t="shared" si="2"/>
        <v>3.25</v>
      </c>
      <c r="F17" s="133">
        <f t="shared" si="2"/>
        <v>3.25</v>
      </c>
      <c r="G17" s="133">
        <f t="shared" si="2"/>
        <v>3.25</v>
      </c>
      <c r="H17" s="133">
        <f t="shared" si="2"/>
        <v>2.25</v>
      </c>
      <c r="I17" s="133">
        <f t="shared" si="2"/>
        <v>2.25</v>
      </c>
      <c r="J17" s="133">
        <f t="shared" si="2"/>
        <v>4.75</v>
      </c>
    </row>
    <row r="18" spans="1:10" x14ac:dyDescent="0.15">
      <c r="B18" s="29"/>
      <c r="C18" s="29"/>
      <c r="D18" s="29"/>
      <c r="E18" s="29"/>
      <c r="F18" s="29"/>
      <c r="G18" s="29"/>
      <c r="H18" s="29"/>
      <c r="I18" s="29"/>
      <c r="J18" s="29"/>
    </row>
    <row r="19" spans="1:10" ht="15" x14ac:dyDescent="0.15">
      <c r="A19" s="6" t="s">
        <v>687</v>
      </c>
      <c r="B19" s="29"/>
      <c r="C19" s="29">
        <f>$B2/$B3</f>
        <v>4</v>
      </c>
      <c r="D19" s="29">
        <f>$B2/$B3</f>
        <v>4</v>
      </c>
      <c r="E19" s="29">
        <f>$B2/$B3</f>
        <v>4</v>
      </c>
      <c r="F19" s="29">
        <f>$B2/$B3</f>
        <v>4</v>
      </c>
      <c r="G19" s="29">
        <f>$B2/$B3</f>
        <v>4</v>
      </c>
      <c r="H19" s="29"/>
      <c r="I19" s="29"/>
      <c r="J19" s="29"/>
    </row>
    <row r="20" spans="1:10" x14ac:dyDescent="0.15">
      <c r="A20" s="6"/>
      <c r="C20" s="68"/>
      <c r="D20" s="68"/>
      <c r="E20" s="68"/>
      <c r="F20" s="68"/>
      <c r="G20" s="68"/>
    </row>
    <row r="21" spans="1:10" x14ac:dyDescent="0.15">
      <c r="A21" s="60" t="s">
        <v>691</v>
      </c>
    </row>
    <row r="22" spans="1:10" ht="15" x14ac:dyDescent="0.15">
      <c r="A22" s="6" t="s">
        <v>367</v>
      </c>
      <c r="B22" s="104">
        <v>0.1</v>
      </c>
    </row>
    <row r="23" spans="1:10" ht="15" x14ac:dyDescent="0.15">
      <c r="A23" s="4" t="s">
        <v>399</v>
      </c>
      <c r="B23" s="98">
        <f>SUMPRODUCT(B17:J17,POWER(1+$B22,-B12:J12))</f>
        <v>-6.8120881075134943</v>
      </c>
    </row>
    <row r="25" spans="1:10" x14ac:dyDescent="0.15">
      <c r="A25" s="60" t="s">
        <v>692</v>
      </c>
    </row>
    <row r="26" spans="1:10" x14ac:dyDescent="0.15">
      <c r="A26" s="7" t="s">
        <v>689</v>
      </c>
      <c r="B26" s="111">
        <f>IRR(B17:J17)</f>
        <v>1.3854492783894834E-2</v>
      </c>
    </row>
    <row r="27" spans="1:10" ht="15" x14ac:dyDescent="0.15">
      <c r="A27" s="6" t="s">
        <v>399</v>
      </c>
      <c r="B27" s="29">
        <f>SUMPRODUCT(B17:J17,POWER(1+$B26,-B12:J12))</f>
        <v>-1.6608936448392342E-13</v>
      </c>
    </row>
    <row r="29" spans="1:10" ht="15" x14ac:dyDescent="0.15">
      <c r="A29" s="8" t="s">
        <v>1237</v>
      </c>
    </row>
    <row r="30" spans="1:10" x14ac:dyDescent="0.15">
      <c r="A30" s="60" t="s">
        <v>690</v>
      </c>
    </row>
    <row r="31" spans="1:10" x14ac:dyDescent="0.15">
      <c r="A31" s="3" t="s">
        <v>694</v>
      </c>
      <c r="B31" s="68">
        <v>2</v>
      </c>
      <c r="C31" s="3" t="s">
        <v>678</v>
      </c>
    </row>
    <row r="32" spans="1:10" x14ac:dyDescent="0.15">
      <c r="A32" s="3" t="s">
        <v>693</v>
      </c>
      <c r="B32" s="3">
        <v>5</v>
      </c>
      <c r="C32" s="3" t="s">
        <v>509</v>
      </c>
      <c r="D32" s="3" t="s">
        <v>695</v>
      </c>
    </row>
    <row r="33" spans="1:7" x14ac:dyDescent="0.15">
      <c r="A33" s="3" t="s">
        <v>681</v>
      </c>
      <c r="B33" s="68">
        <v>0</v>
      </c>
      <c r="C33" s="3" t="s">
        <v>678</v>
      </c>
    </row>
    <row r="34" spans="1:7" ht="15" x14ac:dyDescent="0.15">
      <c r="A34" s="6" t="s">
        <v>696</v>
      </c>
      <c r="B34" s="68">
        <v>0.8</v>
      </c>
      <c r="C34" s="3" t="s">
        <v>678</v>
      </c>
    </row>
    <row r="35" spans="1:7" x14ac:dyDescent="0.15">
      <c r="A35" s="60" t="s">
        <v>697</v>
      </c>
    </row>
    <row r="36" spans="1:7" x14ac:dyDescent="0.15">
      <c r="A36" s="3" t="s">
        <v>698</v>
      </c>
      <c r="B36" s="68">
        <v>1.5</v>
      </c>
      <c r="C36" s="3" t="s">
        <v>678</v>
      </c>
    </row>
    <row r="37" spans="1:7" x14ac:dyDescent="0.15">
      <c r="A37" s="3" t="s">
        <v>693</v>
      </c>
      <c r="B37" s="3">
        <v>5</v>
      </c>
      <c r="C37" s="3" t="s">
        <v>509</v>
      </c>
      <c r="D37" s="3" t="s">
        <v>695</v>
      </c>
    </row>
    <row r="38" spans="1:7" x14ac:dyDescent="0.15">
      <c r="A38" s="3" t="s">
        <v>681</v>
      </c>
      <c r="B38" s="68">
        <v>0</v>
      </c>
      <c r="C38" s="3" t="s">
        <v>678</v>
      </c>
    </row>
    <row r="39" spans="1:7" ht="15" x14ac:dyDescent="0.15">
      <c r="A39" s="6" t="s">
        <v>699</v>
      </c>
      <c r="B39" s="68">
        <v>1.2</v>
      </c>
      <c r="C39" s="3" t="s">
        <v>678</v>
      </c>
    </row>
    <row r="40" spans="1:7" ht="15" x14ac:dyDescent="0.15">
      <c r="A40" s="6" t="s">
        <v>700</v>
      </c>
      <c r="B40" s="68">
        <v>1</v>
      </c>
      <c r="C40" s="3" t="s">
        <v>678</v>
      </c>
    </row>
    <row r="42" spans="1:7" x14ac:dyDescent="0.15">
      <c r="A42" s="3" t="s">
        <v>632</v>
      </c>
      <c r="B42" s="80">
        <v>0.25</v>
      </c>
    </row>
    <row r="43" spans="1:7" ht="15" x14ac:dyDescent="0.15">
      <c r="A43" s="6" t="s">
        <v>701</v>
      </c>
      <c r="B43" s="80">
        <v>0.12</v>
      </c>
    </row>
    <row r="44" spans="1:7" x14ac:dyDescent="0.15">
      <c r="A44" s="6"/>
    </row>
    <row r="45" spans="1:7" x14ac:dyDescent="0.15">
      <c r="A45" s="60" t="s">
        <v>772</v>
      </c>
    </row>
    <row r="46" spans="1:7" ht="15" x14ac:dyDescent="0.15">
      <c r="A46" s="380" t="s">
        <v>404</v>
      </c>
      <c r="B46" s="360">
        <v>0</v>
      </c>
      <c r="C46" s="360">
        <f>B46+1</f>
        <v>1</v>
      </c>
      <c r="D46" s="360">
        <f>C46+1</f>
        <v>2</v>
      </c>
      <c r="E46" s="360">
        <f>D46+1</f>
        <v>3</v>
      </c>
      <c r="F46" s="360">
        <f>E46+1</f>
        <v>4</v>
      </c>
      <c r="G46" s="360">
        <f>F46+1</f>
        <v>5</v>
      </c>
    </row>
    <row r="47" spans="1:7" ht="15" x14ac:dyDescent="0.15">
      <c r="A47" s="6" t="s">
        <v>702</v>
      </c>
      <c r="B47" s="68">
        <f>-B31</f>
        <v>-2</v>
      </c>
      <c r="G47" s="68">
        <f>B33</f>
        <v>0</v>
      </c>
    </row>
    <row r="48" spans="1:7" ht="15" x14ac:dyDescent="0.15">
      <c r="A48" s="6" t="s">
        <v>770</v>
      </c>
      <c r="B48" s="68">
        <f>-B54*$B42</f>
        <v>4.9999999999999989E-2</v>
      </c>
      <c r="G48" s="68"/>
    </row>
    <row r="49" spans="1:7" ht="15" x14ac:dyDescent="0.15">
      <c r="A49" s="6" t="s">
        <v>688</v>
      </c>
      <c r="C49" s="68">
        <f>B34</f>
        <v>0.8</v>
      </c>
      <c r="D49" s="68">
        <f>$B34</f>
        <v>0.8</v>
      </c>
      <c r="E49" s="68">
        <f>$B34</f>
        <v>0.8</v>
      </c>
      <c r="F49" s="68">
        <f>$B34</f>
        <v>0.8</v>
      </c>
      <c r="G49" s="68">
        <f>$B34</f>
        <v>0.8</v>
      </c>
    </row>
    <row r="50" spans="1:7" ht="15" x14ac:dyDescent="0.15">
      <c r="A50" s="6" t="s">
        <v>703</v>
      </c>
      <c r="C50" s="3">
        <f>-(C49-C55)*$B42</f>
        <v>-0.17499999999999999</v>
      </c>
      <c r="D50" s="3">
        <f>-(D49-D55)*$B42</f>
        <v>-0.17499999999999999</v>
      </c>
      <c r="E50" s="3">
        <f>-(E49-E55)*$B42</f>
        <v>-0.17499999999999999</v>
      </c>
      <c r="F50" s="3">
        <f>-(F49-F55)*$B42</f>
        <v>-0.17499999999999999</v>
      </c>
      <c r="G50" s="3">
        <f>-(G49-G55)*$B42</f>
        <v>-0.1</v>
      </c>
    </row>
    <row r="51" spans="1:7" ht="15" x14ac:dyDescent="0.15">
      <c r="A51" s="6" t="s">
        <v>704</v>
      </c>
      <c r="B51" s="68">
        <f>B40</f>
        <v>1</v>
      </c>
    </row>
    <row r="52" spans="1:7" ht="15" x14ac:dyDescent="0.15">
      <c r="A52" s="4" t="s">
        <v>398</v>
      </c>
      <c r="B52" s="98">
        <f t="shared" ref="B52:G52" si="3">SUM(B47:B51)</f>
        <v>-0.95</v>
      </c>
      <c r="C52" s="98">
        <f t="shared" si="3"/>
        <v>0.625</v>
      </c>
      <c r="D52" s="98">
        <f t="shared" si="3"/>
        <v>0.625</v>
      </c>
      <c r="E52" s="98">
        <f t="shared" si="3"/>
        <v>0.625</v>
      </c>
      <c r="F52" s="98">
        <f t="shared" si="3"/>
        <v>0.625</v>
      </c>
      <c r="G52" s="98">
        <f t="shared" si="3"/>
        <v>0.70000000000000007</v>
      </c>
    </row>
    <row r="53" spans="1:7" x14ac:dyDescent="0.15">
      <c r="A53" s="6"/>
    </row>
    <row r="54" spans="1:7" ht="15" x14ac:dyDescent="0.15">
      <c r="A54" s="6" t="s">
        <v>705</v>
      </c>
      <c r="B54" s="68">
        <f>B40-B39</f>
        <v>-0.19999999999999996</v>
      </c>
    </row>
    <row r="55" spans="1:7" ht="15" x14ac:dyDescent="0.15">
      <c r="A55" s="6" t="s">
        <v>771</v>
      </c>
      <c r="C55" s="68">
        <f>$B31/$B32-$B36/$B37</f>
        <v>0.10000000000000003</v>
      </c>
      <c r="D55" s="68">
        <f>$B31/$B32-$B36/$B37</f>
        <v>0.10000000000000003</v>
      </c>
      <c r="E55" s="68">
        <f>$B31/$B32-$B36/$B37</f>
        <v>0.10000000000000003</v>
      </c>
      <c r="F55" s="68">
        <f>$B31/$B32-$B36/$B37</f>
        <v>0.10000000000000003</v>
      </c>
      <c r="G55" s="68">
        <f>$B31/$B32</f>
        <v>0.4</v>
      </c>
    </row>
    <row r="56" spans="1:7" x14ac:dyDescent="0.15">
      <c r="A56" s="6"/>
    </row>
    <row r="57" spans="1:7" ht="15" x14ac:dyDescent="0.15">
      <c r="A57" s="4" t="s">
        <v>399</v>
      </c>
      <c r="B57" s="98">
        <f>SUMPRODUCT(B52:G52,POWER(1+B43,-B46:G46))</f>
        <v>1.3455421406445227</v>
      </c>
      <c r="C57" s="3" t="s">
        <v>678</v>
      </c>
    </row>
    <row r="58" spans="1:7" ht="15" x14ac:dyDescent="0.15">
      <c r="A58" s="4" t="s">
        <v>689</v>
      </c>
      <c r="B58" s="122">
        <f>IRR(B52:G52)</f>
        <v>0.59959328552403623</v>
      </c>
    </row>
    <row r="59" spans="1:7" x14ac:dyDescent="0.15">
      <c r="A59" s="6"/>
      <c r="B59" s="68"/>
    </row>
    <row r="61" spans="1:7" ht="15" x14ac:dyDescent="0.15">
      <c r="A61" s="8" t="s">
        <v>196</v>
      </c>
    </row>
    <row r="62" spans="1:7" ht="15" x14ac:dyDescent="0.15">
      <c r="A62" s="8"/>
    </row>
    <row r="63" spans="1:7" x14ac:dyDescent="0.15">
      <c r="A63" s="69" t="s">
        <v>715</v>
      </c>
    </row>
    <row r="64" spans="1:7" x14ac:dyDescent="0.15">
      <c r="A64" s="334" t="s">
        <v>927</v>
      </c>
      <c r="B64" s="360">
        <v>0</v>
      </c>
      <c r="C64" s="360">
        <f>B64+1</f>
        <v>1</v>
      </c>
      <c r="D64" s="360">
        <f>C64+1</f>
        <v>2</v>
      </c>
      <c r="E64" s="360">
        <f>D64+1</f>
        <v>3</v>
      </c>
      <c r="F64" s="360">
        <f>E64+1</f>
        <v>4</v>
      </c>
      <c r="G64" s="360">
        <f>F64+1</f>
        <v>5</v>
      </c>
    </row>
    <row r="65" spans="1:8" ht="15" x14ac:dyDescent="0.15">
      <c r="A65" s="6" t="s">
        <v>398</v>
      </c>
      <c r="B65" s="68">
        <v>-100</v>
      </c>
      <c r="C65" s="68">
        <v>110</v>
      </c>
      <c r="D65" s="68">
        <v>-30</v>
      </c>
      <c r="E65" s="68">
        <v>25</v>
      </c>
      <c r="F65" s="68">
        <v>50</v>
      </c>
      <c r="G65" s="68">
        <v>100</v>
      </c>
    </row>
    <row r="66" spans="1:8" ht="15" x14ac:dyDescent="0.15">
      <c r="A66" s="6" t="s">
        <v>427</v>
      </c>
      <c r="B66" s="80">
        <v>0.1</v>
      </c>
      <c r="C66" s="68"/>
      <c r="D66" s="68"/>
      <c r="E66" s="68"/>
      <c r="F66" s="68"/>
      <c r="G66" s="68"/>
    </row>
    <row r="67" spans="1:8" x14ac:dyDescent="0.15">
      <c r="A67" s="3" t="s">
        <v>716</v>
      </c>
      <c r="B67" s="68">
        <f t="shared" ref="B67:G67" si="4">+B65/POWER(1+$B$66,B64+1)</f>
        <v>-90.909090909090907</v>
      </c>
      <c r="C67" s="68">
        <f t="shared" si="4"/>
        <v>90.909090909090892</v>
      </c>
      <c r="D67" s="68">
        <f t="shared" si="4"/>
        <v>-22.539444027047328</v>
      </c>
      <c r="E67" s="68">
        <f t="shared" si="4"/>
        <v>17.075336384126764</v>
      </c>
      <c r="F67" s="68">
        <f t="shared" si="4"/>
        <v>31.046066152957749</v>
      </c>
      <c r="G67" s="68">
        <f t="shared" si="4"/>
        <v>56.44739300537772</v>
      </c>
    </row>
    <row r="68" spans="1:8" x14ac:dyDescent="0.15">
      <c r="A68" s="6"/>
      <c r="B68" s="68"/>
      <c r="C68" s="68"/>
      <c r="D68" s="68"/>
      <c r="E68" s="68"/>
      <c r="F68" s="68"/>
      <c r="G68" s="68"/>
    </row>
    <row r="69" spans="1:8" x14ac:dyDescent="0.15">
      <c r="A69" s="54" t="s">
        <v>399</v>
      </c>
      <c r="B69" s="98">
        <f>SUM(B67:G67)</f>
        <v>82.029351515414888</v>
      </c>
    </row>
    <row r="70" spans="1:8" x14ac:dyDescent="0.15">
      <c r="A70" s="54" t="s">
        <v>689</v>
      </c>
      <c r="B70" s="110">
        <v>0.42640163152504512</v>
      </c>
    </row>
    <row r="71" spans="1:8" x14ac:dyDescent="0.15">
      <c r="A71" s="187"/>
      <c r="B71" s="188"/>
    </row>
    <row r="72" spans="1:8" x14ac:dyDescent="0.15">
      <c r="A72" s="69" t="s">
        <v>717</v>
      </c>
    </row>
    <row r="73" spans="1:8" x14ac:dyDescent="0.15">
      <c r="A73" s="334" t="s">
        <v>927</v>
      </c>
      <c r="B73" s="360">
        <v>0</v>
      </c>
      <c r="C73" s="360">
        <f>B73+1</f>
        <v>1</v>
      </c>
      <c r="D73" s="360">
        <f>C73+1</f>
        <v>2</v>
      </c>
      <c r="E73" s="360">
        <f>D73+1</f>
        <v>3</v>
      </c>
      <c r="F73" s="360">
        <f>E73+1</f>
        <v>4</v>
      </c>
      <c r="G73" s="360">
        <f>F73+1</f>
        <v>5</v>
      </c>
    </row>
    <row r="74" spans="1:8" ht="15" x14ac:dyDescent="0.15">
      <c r="A74" s="6" t="s">
        <v>398</v>
      </c>
      <c r="B74" s="68">
        <v>-100</v>
      </c>
      <c r="C74" s="68">
        <v>110</v>
      </c>
      <c r="D74" s="68">
        <v>-30</v>
      </c>
      <c r="E74" s="68">
        <v>25</v>
      </c>
      <c r="F74" s="68">
        <v>50</v>
      </c>
      <c r="G74" s="68">
        <v>100</v>
      </c>
    </row>
    <row r="75" spans="1:8" x14ac:dyDescent="0.15">
      <c r="A75" s="6"/>
      <c r="B75" s="68"/>
      <c r="C75" s="68"/>
      <c r="D75" s="68"/>
      <c r="E75" s="68"/>
      <c r="F75" s="68"/>
      <c r="G75" s="68"/>
      <c r="H75" s="68"/>
    </row>
    <row r="76" spans="1:8" ht="15" x14ac:dyDescent="0.15">
      <c r="A76" s="6" t="s">
        <v>706</v>
      </c>
      <c r="B76" s="68">
        <f>SUMPRODUCT($B74:B74,POWER(1+$B$78,-$B73:B73))</f>
        <v>-100</v>
      </c>
      <c r="C76" s="68">
        <f>SUMPRODUCT($B74:C74,POWER(1+$B$78,-$B73:C73))</f>
        <v>0</v>
      </c>
      <c r="D76" s="68">
        <f>SUMPRODUCT($B74:D74,POWER(1+$B$78,-$B73:D73))</f>
        <v>-24.793388429752063</v>
      </c>
      <c r="E76" s="68">
        <f>SUMPRODUCT($B74:E74,POWER(1+$B$78,-$B73:E73))</f>
        <v>-6.0105184072126256</v>
      </c>
      <c r="F76" s="68">
        <f>SUMPRODUCT($B74:F74,POWER(1+$B$78,-$B73:F73))</f>
        <v>28.140154361040903</v>
      </c>
      <c r="G76" s="68">
        <f>SUMPRODUCT($B74:G74,POWER(1+$B$78,-$B73:G73))</f>
        <v>90.232286666956398</v>
      </c>
    </row>
    <row r="77" spans="1:8" x14ac:dyDescent="0.15">
      <c r="B77" s="68"/>
    </row>
    <row r="78" spans="1:8" ht="15" x14ac:dyDescent="0.15">
      <c r="A78" s="6" t="s">
        <v>394</v>
      </c>
      <c r="B78" s="104">
        <v>0.1</v>
      </c>
      <c r="C78" s="189"/>
      <c r="D78" s="189"/>
    </row>
    <row r="79" spans="1:8" ht="15" x14ac:dyDescent="0.15">
      <c r="A79" s="4" t="s">
        <v>399</v>
      </c>
      <c r="B79" s="188">
        <f>SUMPRODUCT($B74:G74,POWER(1+$B78,-$B73:G73))</f>
        <v>90.232286666956398</v>
      </c>
      <c r="C79" s="181"/>
      <c r="D79" s="181"/>
      <c r="E79" s="181"/>
      <c r="F79" s="181"/>
      <c r="G79" s="181"/>
    </row>
    <row r="80" spans="1:8" ht="15" x14ac:dyDescent="0.15">
      <c r="A80" s="4" t="s">
        <v>689</v>
      </c>
      <c r="B80" s="152">
        <v>0.42640162762533101</v>
      </c>
      <c r="C80" s="104"/>
    </row>
    <row r="81" spans="1:12" ht="15" x14ac:dyDescent="0.15">
      <c r="A81" s="6" t="s">
        <v>399</v>
      </c>
      <c r="B81" s="68">
        <f>SUMPRODUCT($B74:G74,POWER(1+$B80,-$B73:G73))</f>
        <v>7.3253652033145045E-9</v>
      </c>
    </row>
    <row r="83" spans="1:12" ht="15" x14ac:dyDescent="0.15">
      <c r="A83" s="8" t="s">
        <v>160</v>
      </c>
    </row>
    <row r="84" spans="1:12" x14ac:dyDescent="0.15">
      <c r="A84" s="3" t="s">
        <v>707</v>
      </c>
      <c r="B84" s="3">
        <v>2</v>
      </c>
      <c r="C84" s="3" t="s">
        <v>678</v>
      </c>
    </row>
    <row r="85" spans="1:12" x14ac:dyDescent="0.15">
      <c r="A85" s="3" t="s">
        <v>519</v>
      </c>
      <c r="B85" s="3">
        <v>10</v>
      </c>
      <c r="C85" s="3" t="s">
        <v>509</v>
      </c>
    </row>
    <row r="86" spans="1:12" x14ac:dyDescent="0.15">
      <c r="A86" s="3" t="s">
        <v>708</v>
      </c>
      <c r="B86" s="3">
        <v>0.8</v>
      </c>
      <c r="C86" s="3" t="s">
        <v>678</v>
      </c>
    </row>
    <row r="87" spans="1:12" ht="15" x14ac:dyDescent="0.15">
      <c r="A87" s="6" t="s">
        <v>688</v>
      </c>
      <c r="B87" s="3">
        <v>-0.2</v>
      </c>
      <c r="C87" s="3" t="s">
        <v>678</v>
      </c>
    </row>
    <row r="89" spans="1:12" x14ac:dyDescent="0.15">
      <c r="A89" s="3" t="s">
        <v>709</v>
      </c>
    </row>
    <row r="90" spans="1:12" x14ac:dyDescent="0.15">
      <c r="A90" s="334" t="s">
        <v>718</v>
      </c>
      <c r="B90" s="360">
        <v>0</v>
      </c>
      <c r="C90" s="360">
        <f>B90+1</f>
        <v>1</v>
      </c>
      <c r="D90" s="360">
        <f t="shared" ref="D90:L90" si="5">C90+1</f>
        <v>2</v>
      </c>
      <c r="E90" s="360">
        <f t="shared" si="5"/>
        <v>3</v>
      </c>
      <c r="F90" s="360">
        <f t="shared" si="5"/>
        <v>4</v>
      </c>
      <c r="G90" s="360">
        <f t="shared" si="5"/>
        <v>5</v>
      </c>
      <c r="H90" s="360">
        <f t="shared" si="5"/>
        <v>6</v>
      </c>
      <c r="I90" s="360">
        <f t="shared" si="5"/>
        <v>7</v>
      </c>
      <c r="J90" s="360">
        <f t="shared" si="5"/>
        <v>8</v>
      </c>
      <c r="K90" s="360">
        <f t="shared" si="5"/>
        <v>9</v>
      </c>
      <c r="L90" s="360">
        <f t="shared" si="5"/>
        <v>10</v>
      </c>
    </row>
    <row r="91" spans="1:12" x14ac:dyDescent="0.15">
      <c r="A91" s="3" t="s">
        <v>707</v>
      </c>
      <c r="B91" s="68">
        <f>B84</f>
        <v>2</v>
      </c>
      <c r="C91" s="68"/>
      <c r="D91" s="68"/>
      <c r="E91" s="68"/>
      <c r="F91" s="68"/>
      <c r="G91" s="68"/>
      <c r="H91" s="68"/>
      <c r="I91" s="68"/>
      <c r="J91" s="68"/>
      <c r="K91" s="68"/>
      <c r="L91" s="68"/>
    </row>
    <row r="92" spans="1:12" x14ac:dyDescent="0.15">
      <c r="A92" s="3" t="s">
        <v>719</v>
      </c>
      <c r="B92" s="68">
        <f>-B86</f>
        <v>-0.8</v>
      </c>
      <c r="C92" s="68"/>
      <c r="D92" s="68"/>
      <c r="E92" s="68"/>
      <c r="F92" s="68"/>
      <c r="G92" s="68"/>
      <c r="H92" s="68"/>
      <c r="I92" s="68"/>
      <c r="J92" s="68"/>
      <c r="K92" s="68"/>
      <c r="L92" s="68"/>
    </row>
    <row r="93" spans="1:12" ht="15" x14ac:dyDescent="0.15">
      <c r="A93" s="6" t="s">
        <v>688</v>
      </c>
      <c r="B93" s="68"/>
      <c r="C93" s="68">
        <f>$B87</f>
        <v>-0.2</v>
      </c>
      <c r="D93" s="68">
        <f t="shared" ref="D93:L93" si="6">$B87</f>
        <v>-0.2</v>
      </c>
      <c r="E93" s="68">
        <f t="shared" si="6"/>
        <v>-0.2</v>
      </c>
      <c r="F93" s="68">
        <f t="shared" si="6"/>
        <v>-0.2</v>
      </c>
      <c r="G93" s="68">
        <f t="shared" si="6"/>
        <v>-0.2</v>
      </c>
      <c r="H93" s="68">
        <f t="shared" si="6"/>
        <v>-0.2</v>
      </c>
      <c r="I93" s="68">
        <f t="shared" si="6"/>
        <v>-0.2</v>
      </c>
      <c r="J93" s="68">
        <f t="shared" si="6"/>
        <v>-0.2</v>
      </c>
      <c r="K93" s="68">
        <f t="shared" si="6"/>
        <v>-0.2</v>
      </c>
      <c r="L93" s="68">
        <f t="shared" si="6"/>
        <v>-0.2</v>
      </c>
    </row>
    <row r="94" spans="1:12" x14ac:dyDescent="0.15">
      <c r="A94" s="7" t="s">
        <v>398</v>
      </c>
      <c r="B94" s="98">
        <f>SUM(B91:B93)</f>
        <v>1.2</v>
      </c>
      <c r="C94" s="98">
        <f t="shared" ref="C94:L94" si="7">SUM(C91:C93)</f>
        <v>-0.2</v>
      </c>
      <c r="D94" s="98">
        <f t="shared" si="7"/>
        <v>-0.2</v>
      </c>
      <c r="E94" s="98">
        <f t="shared" si="7"/>
        <v>-0.2</v>
      </c>
      <c r="F94" s="98">
        <f t="shared" si="7"/>
        <v>-0.2</v>
      </c>
      <c r="G94" s="98">
        <f t="shared" si="7"/>
        <v>-0.2</v>
      </c>
      <c r="H94" s="98">
        <f t="shared" si="7"/>
        <v>-0.2</v>
      </c>
      <c r="I94" s="98">
        <f t="shared" si="7"/>
        <v>-0.2</v>
      </c>
      <c r="J94" s="98">
        <f t="shared" si="7"/>
        <v>-0.2</v>
      </c>
      <c r="K94" s="98">
        <f t="shared" si="7"/>
        <v>-0.2</v>
      </c>
      <c r="L94" s="98">
        <f t="shared" si="7"/>
        <v>-0.2</v>
      </c>
    </row>
    <row r="96" spans="1:12" x14ac:dyDescent="0.15">
      <c r="A96" s="3" t="s">
        <v>405</v>
      </c>
      <c r="B96" s="80">
        <v>0.1</v>
      </c>
      <c r="C96" s="80">
        <f>B96+1%</f>
        <v>0.11</v>
      </c>
      <c r="D96" s="80">
        <f>C96+1%</f>
        <v>0.12</v>
      </c>
      <c r="E96" s="80">
        <f>D96+1%</f>
        <v>0.13</v>
      </c>
      <c r="F96" s="80">
        <f>E96+1%</f>
        <v>0.14000000000000001</v>
      </c>
      <c r="G96" s="80">
        <f>F96+1%</f>
        <v>0.15000000000000002</v>
      </c>
    </row>
    <row r="97" spans="1:7" x14ac:dyDescent="0.15">
      <c r="A97" s="7" t="s">
        <v>399</v>
      </c>
      <c r="B97" s="98">
        <f t="shared" ref="B97:G97" si="8">SUMPRODUCT($B94:$L94,POWER(1+B96,-$B90:$L90))</f>
        <v>-2.8913421140936243E-2</v>
      </c>
      <c r="C97" s="98">
        <f t="shared" si="8"/>
        <v>2.2153597771758932E-2</v>
      </c>
      <c r="D97" s="98">
        <f t="shared" si="8"/>
        <v>6.9955394317827227E-2</v>
      </c>
      <c r="E97" s="98">
        <f t="shared" si="8"/>
        <v>0.11475130480942275</v>
      </c>
      <c r="F97" s="98">
        <f t="shared" si="8"/>
        <v>0.1567768707412846</v>
      </c>
      <c r="G97" s="98">
        <f t="shared" si="8"/>
        <v>0.19624627482915372</v>
      </c>
    </row>
    <row r="110" spans="1:7" ht="15" x14ac:dyDescent="0.15">
      <c r="A110" s="8" t="s">
        <v>174</v>
      </c>
    </row>
    <row r="111" spans="1:7" x14ac:dyDescent="0.15">
      <c r="A111" s="3" t="s">
        <v>720</v>
      </c>
      <c r="B111" s="74">
        <v>78000</v>
      </c>
    </row>
    <row r="112" spans="1:7" x14ac:dyDescent="0.15">
      <c r="A112" s="3" t="s">
        <v>721</v>
      </c>
      <c r="B112" s="74">
        <v>3</v>
      </c>
      <c r="C112" s="3" t="s">
        <v>494</v>
      </c>
    </row>
    <row r="113" spans="1:12" x14ac:dyDescent="0.15">
      <c r="A113" s="3" t="s">
        <v>632</v>
      </c>
      <c r="B113" s="80">
        <v>0.25</v>
      </c>
    </row>
    <row r="114" spans="1:12" x14ac:dyDescent="0.15">
      <c r="A114" s="3" t="s">
        <v>394</v>
      </c>
      <c r="B114" s="80">
        <v>0.1</v>
      </c>
    </row>
    <row r="116" spans="1:12" x14ac:dyDescent="0.15">
      <c r="A116" s="3" t="s">
        <v>310</v>
      </c>
      <c r="B116" s="74">
        <v>5</v>
      </c>
      <c r="C116" s="3" t="s">
        <v>494</v>
      </c>
    </row>
    <row r="118" spans="1:12" x14ac:dyDescent="0.15">
      <c r="A118" s="3" t="s">
        <v>311</v>
      </c>
      <c r="B118" s="13">
        <v>7000</v>
      </c>
    </row>
    <row r="120" spans="1:12" x14ac:dyDescent="0.15">
      <c r="A120" s="60" t="s">
        <v>312</v>
      </c>
    </row>
    <row r="121" spans="1:12" x14ac:dyDescent="0.15">
      <c r="A121" s="334" t="s">
        <v>718</v>
      </c>
      <c r="B121" s="360">
        <v>0</v>
      </c>
      <c r="C121" s="360">
        <f>B121+1</f>
        <v>1</v>
      </c>
      <c r="D121" s="360">
        <f t="shared" ref="D121:L121" si="9">C121+1</f>
        <v>2</v>
      </c>
      <c r="E121" s="360">
        <f t="shared" si="9"/>
        <v>3</v>
      </c>
      <c r="F121" s="360">
        <f t="shared" si="9"/>
        <v>4</v>
      </c>
      <c r="G121" s="360">
        <f t="shared" si="9"/>
        <v>5</v>
      </c>
      <c r="H121" s="360">
        <f t="shared" si="9"/>
        <v>6</v>
      </c>
      <c r="I121" s="360">
        <f t="shared" si="9"/>
        <v>7</v>
      </c>
      <c r="J121" s="360">
        <f t="shared" si="9"/>
        <v>8</v>
      </c>
      <c r="K121" s="360">
        <f t="shared" si="9"/>
        <v>9</v>
      </c>
      <c r="L121" s="360">
        <f t="shared" si="9"/>
        <v>10</v>
      </c>
    </row>
    <row r="122" spans="1:12" ht="15" x14ac:dyDescent="0.15">
      <c r="A122" s="70" t="s">
        <v>931</v>
      </c>
      <c r="B122" s="74">
        <f>-B111</f>
        <v>-78000</v>
      </c>
      <c r="C122" s="74"/>
      <c r="D122" s="74"/>
      <c r="E122" s="74"/>
      <c r="F122" s="74"/>
      <c r="G122" s="74"/>
      <c r="H122" s="74"/>
      <c r="I122" s="74"/>
      <c r="J122" s="74"/>
      <c r="K122" s="74"/>
      <c r="L122" s="74"/>
    </row>
    <row r="123" spans="1:12" ht="15" x14ac:dyDescent="0.15">
      <c r="A123" s="70" t="s">
        <v>757</v>
      </c>
      <c r="B123" s="74"/>
      <c r="C123" s="74">
        <f>$B118*($B116-$B112)</f>
        <v>14000</v>
      </c>
      <c r="D123" s="74">
        <f t="shared" ref="D123:L123" si="10">$B118*($B116-$B112)</f>
        <v>14000</v>
      </c>
      <c r="E123" s="74">
        <f t="shared" si="10"/>
        <v>14000</v>
      </c>
      <c r="F123" s="74">
        <f t="shared" si="10"/>
        <v>14000</v>
      </c>
      <c r="G123" s="74">
        <f t="shared" si="10"/>
        <v>14000</v>
      </c>
      <c r="H123" s="74">
        <f t="shared" si="10"/>
        <v>14000</v>
      </c>
      <c r="I123" s="74">
        <f t="shared" si="10"/>
        <v>14000</v>
      </c>
      <c r="J123" s="74">
        <f t="shared" si="10"/>
        <v>14000</v>
      </c>
      <c r="K123" s="74">
        <f t="shared" si="10"/>
        <v>14000</v>
      </c>
      <c r="L123" s="74">
        <f t="shared" si="10"/>
        <v>14000</v>
      </c>
    </row>
    <row r="124" spans="1:12" ht="15" x14ac:dyDescent="0.15">
      <c r="A124" s="70" t="s">
        <v>753</v>
      </c>
      <c r="B124" s="74"/>
      <c r="C124" s="74">
        <f>-(C123-C127)*$B113</f>
        <v>-1550</v>
      </c>
      <c r="D124" s="74">
        <f t="shared" ref="D124:L124" si="11">-(D123-D127)*$B113</f>
        <v>-1550</v>
      </c>
      <c r="E124" s="74">
        <f t="shared" si="11"/>
        <v>-1550</v>
      </c>
      <c r="F124" s="74">
        <f t="shared" si="11"/>
        <v>-1550</v>
      </c>
      <c r="G124" s="74">
        <f t="shared" si="11"/>
        <v>-1550</v>
      </c>
      <c r="H124" s="74">
        <f t="shared" si="11"/>
        <v>-1550</v>
      </c>
      <c r="I124" s="74">
        <f t="shared" si="11"/>
        <v>-1550</v>
      </c>
      <c r="J124" s="74">
        <f t="shared" si="11"/>
        <v>-1550</v>
      </c>
      <c r="K124" s="74">
        <f t="shared" si="11"/>
        <v>-1550</v>
      </c>
      <c r="L124" s="74">
        <f t="shared" si="11"/>
        <v>-1550</v>
      </c>
    </row>
    <row r="125" spans="1:12" x14ac:dyDescent="0.15">
      <c r="A125" s="7" t="s">
        <v>398</v>
      </c>
      <c r="B125" s="109">
        <f t="shared" ref="B125:L125" si="12">SUM(B122:B124)</f>
        <v>-78000</v>
      </c>
      <c r="C125" s="109">
        <f t="shared" si="12"/>
        <v>12450</v>
      </c>
      <c r="D125" s="109">
        <f t="shared" si="12"/>
        <v>12450</v>
      </c>
      <c r="E125" s="109">
        <f t="shared" si="12"/>
        <v>12450</v>
      </c>
      <c r="F125" s="109">
        <f t="shared" si="12"/>
        <v>12450</v>
      </c>
      <c r="G125" s="109">
        <f t="shared" si="12"/>
        <v>12450</v>
      </c>
      <c r="H125" s="109">
        <f t="shared" si="12"/>
        <v>12450</v>
      </c>
      <c r="I125" s="109">
        <f t="shared" si="12"/>
        <v>12450</v>
      </c>
      <c r="J125" s="109">
        <f t="shared" si="12"/>
        <v>12450</v>
      </c>
      <c r="K125" s="109">
        <f t="shared" si="12"/>
        <v>12450</v>
      </c>
      <c r="L125" s="109">
        <f t="shared" si="12"/>
        <v>12450</v>
      </c>
    </row>
    <row r="126" spans="1:12" x14ac:dyDescent="0.15">
      <c r="B126" s="74"/>
      <c r="C126" s="74"/>
      <c r="D126" s="74"/>
      <c r="E126" s="74"/>
      <c r="F126" s="74"/>
      <c r="G126" s="74"/>
      <c r="H126" s="74"/>
      <c r="I126" s="74"/>
      <c r="J126" s="74"/>
      <c r="K126" s="74"/>
      <c r="L126" s="74"/>
    </row>
    <row r="127" spans="1:12" x14ac:dyDescent="0.15">
      <c r="A127" s="3" t="s">
        <v>687</v>
      </c>
      <c r="B127" s="74"/>
      <c r="C127" s="74">
        <f t="shared" ref="C127:L127" si="13">$B111/10</f>
        <v>7800</v>
      </c>
      <c r="D127" s="74">
        <f t="shared" si="13"/>
        <v>7800</v>
      </c>
      <c r="E127" s="74">
        <f t="shared" si="13"/>
        <v>7800</v>
      </c>
      <c r="F127" s="74">
        <f t="shared" si="13"/>
        <v>7800</v>
      </c>
      <c r="G127" s="74">
        <f t="shared" si="13"/>
        <v>7800</v>
      </c>
      <c r="H127" s="74">
        <f t="shared" si="13"/>
        <v>7800</v>
      </c>
      <c r="I127" s="74">
        <f t="shared" si="13"/>
        <v>7800</v>
      </c>
      <c r="J127" s="74">
        <f t="shared" si="13"/>
        <v>7800</v>
      </c>
      <c r="K127" s="74">
        <f t="shared" si="13"/>
        <v>7800</v>
      </c>
      <c r="L127" s="74">
        <f t="shared" si="13"/>
        <v>7800</v>
      </c>
    </row>
    <row r="128" spans="1:12" x14ac:dyDescent="0.15">
      <c r="B128" s="74"/>
      <c r="C128" s="74"/>
      <c r="D128" s="74"/>
      <c r="E128" s="74"/>
      <c r="F128" s="74"/>
      <c r="G128" s="74"/>
      <c r="H128" s="74"/>
      <c r="I128" s="74"/>
      <c r="J128" s="74"/>
      <c r="K128" s="74"/>
      <c r="L128" s="74"/>
    </row>
    <row r="129" spans="1:12" x14ac:dyDescent="0.15">
      <c r="A129" s="7" t="s">
        <v>399</v>
      </c>
      <c r="B129" s="109">
        <f>SUMPRODUCT(B125:L125,POWER(1+B114,-B121:L121))</f>
        <v>-1500.1395339767205</v>
      </c>
      <c r="C129" s="190" t="s">
        <v>313</v>
      </c>
      <c r="D129" s="74"/>
      <c r="E129" s="74"/>
      <c r="F129" s="74"/>
      <c r="G129" s="74"/>
      <c r="H129" s="74"/>
      <c r="I129" s="74"/>
      <c r="J129" s="74"/>
      <c r="K129" s="74"/>
      <c r="L129" s="74"/>
    </row>
    <row r="130" spans="1:12" x14ac:dyDescent="0.15">
      <c r="A130" s="7"/>
      <c r="B130" s="109"/>
      <c r="C130" s="190"/>
      <c r="D130" s="74"/>
      <c r="E130" s="74"/>
      <c r="F130" s="74"/>
      <c r="G130" s="74"/>
      <c r="H130" s="74"/>
      <c r="I130" s="74"/>
      <c r="J130" s="74"/>
      <c r="K130" s="74"/>
      <c r="L130" s="74"/>
    </row>
    <row r="131" spans="1:12" x14ac:dyDescent="0.15">
      <c r="A131" s="3" t="s">
        <v>722</v>
      </c>
      <c r="B131" s="3">
        <v>7000</v>
      </c>
      <c r="C131" s="3">
        <v>8000</v>
      </c>
      <c r="D131" s="3">
        <v>9000</v>
      </c>
      <c r="E131" s="3">
        <v>10000</v>
      </c>
      <c r="F131" s="74"/>
      <c r="G131" s="74"/>
      <c r="H131" s="74"/>
      <c r="I131" s="74"/>
      <c r="J131" s="74"/>
      <c r="K131" s="74"/>
      <c r="L131" s="74"/>
    </row>
    <row r="132" spans="1:12" x14ac:dyDescent="0.15">
      <c r="A132" s="7" t="s">
        <v>399</v>
      </c>
      <c r="B132" s="147">
        <v>-5309.7711395136248</v>
      </c>
      <c r="C132" s="191">
        <v>2678.1660979024491</v>
      </c>
      <c r="D132" s="147">
        <v>10666.103335318534</v>
      </c>
      <c r="E132" s="147">
        <v>18654.040572734626</v>
      </c>
      <c r="F132" s="74"/>
      <c r="G132" s="74"/>
      <c r="H132" s="74"/>
      <c r="I132" s="74"/>
      <c r="J132" s="74"/>
      <c r="K132" s="74"/>
      <c r="L132" s="74"/>
    </row>
    <row r="144" spans="1:12" ht="15" x14ac:dyDescent="0.15">
      <c r="A144" s="8" t="s">
        <v>370</v>
      </c>
    </row>
    <row r="145" spans="1:32" x14ac:dyDescent="0.15">
      <c r="A145" s="3" t="s">
        <v>730</v>
      </c>
      <c r="B145" s="74">
        <v>8400</v>
      </c>
    </row>
    <row r="147" spans="1:32" x14ac:dyDescent="0.15">
      <c r="A147" s="60" t="s">
        <v>726</v>
      </c>
    </row>
    <row r="148" spans="1:32" x14ac:dyDescent="0.15">
      <c r="A148" s="3" t="s">
        <v>727</v>
      </c>
      <c r="B148" s="74">
        <v>1680</v>
      </c>
    </row>
    <row r="149" spans="1:32" x14ac:dyDescent="0.15">
      <c r="A149" s="3" t="s">
        <v>728</v>
      </c>
      <c r="B149" s="74">
        <v>770</v>
      </c>
    </row>
    <row r="150" spans="1:32" x14ac:dyDescent="0.15">
      <c r="A150" s="3" t="s">
        <v>729</v>
      </c>
      <c r="B150" s="74">
        <v>800</v>
      </c>
    </row>
    <row r="151" spans="1:32" x14ac:dyDescent="0.15">
      <c r="A151" s="60" t="s">
        <v>723</v>
      </c>
      <c r="B151" s="74"/>
    </row>
    <row r="152" spans="1:32" x14ac:dyDescent="0.15">
      <c r="A152" s="3" t="s">
        <v>724</v>
      </c>
      <c r="B152" s="74">
        <v>670</v>
      </c>
    </row>
    <row r="153" spans="1:32" x14ac:dyDescent="0.15">
      <c r="A153" s="3" t="s">
        <v>725</v>
      </c>
      <c r="B153" s="74">
        <v>280</v>
      </c>
    </row>
    <row r="154" spans="1:32" x14ac:dyDescent="0.15">
      <c r="A154" s="3" t="s">
        <v>632</v>
      </c>
      <c r="B154" s="74">
        <v>1000</v>
      </c>
    </row>
    <row r="155" spans="1:32" x14ac:dyDescent="0.15">
      <c r="A155" s="60" t="s">
        <v>585</v>
      </c>
      <c r="B155" s="74">
        <f>SUM(B148:B150)-SUM(B152:B154)</f>
        <v>1300</v>
      </c>
    </row>
    <row r="157" spans="1:32" x14ac:dyDescent="0.15">
      <c r="A157" s="60" t="s">
        <v>709</v>
      </c>
    </row>
    <row r="158" spans="1:32" x14ac:dyDescent="0.15">
      <c r="A158" s="359" t="s">
        <v>718</v>
      </c>
      <c r="B158" s="371">
        <v>0</v>
      </c>
      <c r="C158" s="359">
        <v>1</v>
      </c>
      <c r="D158" s="359">
        <f>C158+1</f>
        <v>2</v>
      </c>
      <c r="E158" s="359">
        <f t="shared" ref="E158:AF158" si="14">D158+1</f>
        <v>3</v>
      </c>
      <c r="F158" s="359">
        <f t="shared" si="14"/>
        <v>4</v>
      </c>
      <c r="G158" s="359">
        <f t="shared" si="14"/>
        <v>5</v>
      </c>
      <c r="H158" s="359">
        <f t="shared" si="14"/>
        <v>6</v>
      </c>
      <c r="I158" s="359">
        <f t="shared" si="14"/>
        <v>7</v>
      </c>
      <c r="J158" s="359">
        <f t="shared" si="14"/>
        <v>8</v>
      </c>
      <c r="K158" s="359">
        <f t="shared" si="14"/>
        <v>9</v>
      </c>
      <c r="L158" s="359">
        <f t="shared" si="14"/>
        <v>10</v>
      </c>
      <c r="M158" s="359">
        <f t="shared" si="14"/>
        <v>11</v>
      </c>
      <c r="N158" s="359">
        <f t="shared" si="14"/>
        <v>12</v>
      </c>
      <c r="O158" s="359">
        <f t="shared" si="14"/>
        <v>13</v>
      </c>
      <c r="P158" s="359">
        <f t="shared" si="14"/>
        <v>14</v>
      </c>
      <c r="Q158" s="359">
        <f t="shared" si="14"/>
        <v>15</v>
      </c>
      <c r="R158" s="359">
        <f t="shared" si="14"/>
        <v>16</v>
      </c>
      <c r="S158" s="359">
        <f t="shared" si="14"/>
        <v>17</v>
      </c>
      <c r="T158" s="359">
        <f t="shared" si="14"/>
        <v>18</v>
      </c>
      <c r="U158" s="359">
        <f t="shared" si="14"/>
        <v>19</v>
      </c>
      <c r="V158" s="359">
        <f t="shared" si="14"/>
        <v>20</v>
      </c>
      <c r="W158" s="359">
        <f t="shared" si="14"/>
        <v>21</v>
      </c>
      <c r="X158" s="359">
        <f t="shared" si="14"/>
        <v>22</v>
      </c>
      <c r="Y158" s="359">
        <f t="shared" si="14"/>
        <v>23</v>
      </c>
      <c r="Z158" s="359">
        <f t="shared" si="14"/>
        <v>24</v>
      </c>
      <c r="AA158" s="359">
        <f t="shared" si="14"/>
        <v>25</v>
      </c>
      <c r="AB158" s="359">
        <f t="shared" si="14"/>
        <v>26</v>
      </c>
      <c r="AC158" s="359">
        <f t="shared" si="14"/>
        <v>27</v>
      </c>
      <c r="AD158" s="359">
        <f t="shared" si="14"/>
        <v>28</v>
      </c>
      <c r="AE158" s="359">
        <f t="shared" si="14"/>
        <v>29</v>
      </c>
      <c r="AF158" s="359">
        <f t="shared" si="14"/>
        <v>30</v>
      </c>
    </row>
    <row r="159" spans="1:32" ht="15" x14ac:dyDescent="0.15">
      <c r="A159" s="6" t="str">
        <f>A145</f>
        <v>Investissement initial</v>
      </c>
      <c r="B159" s="74">
        <f>-B145</f>
        <v>-8400</v>
      </c>
    </row>
    <row r="160" spans="1:32" ht="15" x14ac:dyDescent="0.15">
      <c r="A160" s="6" t="s">
        <v>731</v>
      </c>
      <c r="B160" s="74"/>
      <c r="C160" s="74">
        <f>$B155</f>
        <v>1300</v>
      </c>
      <c r="D160" s="74">
        <f t="shared" ref="D160:AF160" si="15">$B155</f>
        <v>1300</v>
      </c>
      <c r="E160" s="74">
        <f t="shared" si="15"/>
        <v>1300</v>
      </c>
      <c r="F160" s="74">
        <f t="shared" si="15"/>
        <v>1300</v>
      </c>
      <c r="G160" s="74">
        <f t="shared" si="15"/>
        <v>1300</v>
      </c>
      <c r="H160" s="74">
        <f t="shared" si="15"/>
        <v>1300</v>
      </c>
      <c r="I160" s="74">
        <f t="shared" si="15"/>
        <v>1300</v>
      </c>
      <c r="J160" s="74">
        <f t="shared" si="15"/>
        <v>1300</v>
      </c>
      <c r="K160" s="74">
        <f t="shared" si="15"/>
        <v>1300</v>
      </c>
      <c r="L160" s="74">
        <f t="shared" si="15"/>
        <v>1300</v>
      </c>
      <c r="M160" s="74">
        <f t="shared" si="15"/>
        <v>1300</v>
      </c>
      <c r="N160" s="74">
        <f t="shared" si="15"/>
        <v>1300</v>
      </c>
      <c r="O160" s="74">
        <f t="shared" si="15"/>
        <v>1300</v>
      </c>
      <c r="P160" s="74">
        <f t="shared" si="15"/>
        <v>1300</v>
      </c>
      <c r="Q160" s="74">
        <f t="shared" si="15"/>
        <v>1300</v>
      </c>
      <c r="R160" s="74">
        <f t="shared" si="15"/>
        <v>1300</v>
      </c>
      <c r="S160" s="74">
        <f t="shared" si="15"/>
        <v>1300</v>
      </c>
      <c r="T160" s="74">
        <f t="shared" si="15"/>
        <v>1300</v>
      </c>
      <c r="U160" s="74">
        <f t="shared" si="15"/>
        <v>1300</v>
      </c>
      <c r="V160" s="74">
        <f t="shared" si="15"/>
        <v>1300</v>
      </c>
      <c r="W160" s="74">
        <f t="shared" si="15"/>
        <v>1300</v>
      </c>
      <c r="X160" s="74">
        <f t="shared" si="15"/>
        <v>1300</v>
      </c>
      <c r="Y160" s="74">
        <f t="shared" si="15"/>
        <v>1300</v>
      </c>
      <c r="Z160" s="74">
        <f t="shared" si="15"/>
        <v>1300</v>
      </c>
      <c r="AA160" s="74">
        <f t="shared" si="15"/>
        <v>1300</v>
      </c>
      <c r="AB160" s="74">
        <f t="shared" si="15"/>
        <v>1300</v>
      </c>
      <c r="AC160" s="74">
        <f t="shared" si="15"/>
        <v>1300</v>
      </c>
      <c r="AD160" s="74">
        <f t="shared" si="15"/>
        <v>1300</v>
      </c>
      <c r="AE160" s="74">
        <f t="shared" si="15"/>
        <v>1300</v>
      </c>
      <c r="AF160" s="74">
        <f t="shared" si="15"/>
        <v>1300</v>
      </c>
    </row>
    <row r="161" spans="1:32" ht="15" x14ac:dyDescent="0.15">
      <c r="A161" s="6" t="s">
        <v>687</v>
      </c>
      <c r="B161" s="74"/>
      <c r="C161" s="74">
        <f>$B153</f>
        <v>280</v>
      </c>
      <c r="D161" s="74">
        <f t="shared" ref="D161:AF161" si="16">$B153</f>
        <v>280</v>
      </c>
      <c r="E161" s="74">
        <f t="shared" si="16"/>
        <v>280</v>
      </c>
      <c r="F161" s="74">
        <f t="shared" si="16"/>
        <v>280</v>
      </c>
      <c r="G161" s="74">
        <f t="shared" si="16"/>
        <v>280</v>
      </c>
      <c r="H161" s="74">
        <f t="shared" si="16"/>
        <v>280</v>
      </c>
      <c r="I161" s="74">
        <f t="shared" si="16"/>
        <v>280</v>
      </c>
      <c r="J161" s="74">
        <f t="shared" si="16"/>
        <v>280</v>
      </c>
      <c r="K161" s="74">
        <f t="shared" si="16"/>
        <v>280</v>
      </c>
      <c r="L161" s="74">
        <f t="shared" si="16"/>
        <v>280</v>
      </c>
      <c r="M161" s="74">
        <f t="shared" si="16"/>
        <v>280</v>
      </c>
      <c r="N161" s="74">
        <f t="shared" si="16"/>
        <v>280</v>
      </c>
      <c r="O161" s="74">
        <f t="shared" si="16"/>
        <v>280</v>
      </c>
      <c r="P161" s="74">
        <f t="shared" si="16"/>
        <v>280</v>
      </c>
      <c r="Q161" s="74">
        <f t="shared" si="16"/>
        <v>280</v>
      </c>
      <c r="R161" s="74">
        <f t="shared" si="16"/>
        <v>280</v>
      </c>
      <c r="S161" s="74">
        <f t="shared" si="16"/>
        <v>280</v>
      </c>
      <c r="T161" s="74">
        <f t="shared" si="16"/>
        <v>280</v>
      </c>
      <c r="U161" s="74">
        <f t="shared" si="16"/>
        <v>280</v>
      </c>
      <c r="V161" s="74">
        <f t="shared" si="16"/>
        <v>280</v>
      </c>
      <c r="W161" s="74">
        <f t="shared" si="16"/>
        <v>280</v>
      </c>
      <c r="X161" s="74">
        <f t="shared" si="16"/>
        <v>280</v>
      </c>
      <c r="Y161" s="74">
        <f t="shared" si="16"/>
        <v>280</v>
      </c>
      <c r="Z161" s="74">
        <f t="shared" si="16"/>
        <v>280</v>
      </c>
      <c r="AA161" s="74">
        <f t="shared" si="16"/>
        <v>280</v>
      </c>
      <c r="AB161" s="74">
        <f t="shared" si="16"/>
        <v>280</v>
      </c>
      <c r="AC161" s="74">
        <f t="shared" si="16"/>
        <v>280</v>
      </c>
      <c r="AD161" s="74">
        <f t="shared" si="16"/>
        <v>280</v>
      </c>
      <c r="AE161" s="74">
        <f t="shared" si="16"/>
        <v>280</v>
      </c>
      <c r="AF161" s="74">
        <f t="shared" si="16"/>
        <v>280</v>
      </c>
    </row>
    <row r="162" spans="1:32" x14ac:dyDescent="0.15">
      <c r="A162" s="7" t="s">
        <v>398</v>
      </c>
      <c r="B162" s="109">
        <f t="shared" ref="B162:AF162" si="17">SUM(B159:B161)</f>
        <v>-8400</v>
      </c>
      <c r="C162" s="109">
        <f t="shared" si="17"/>
        <v>1580</v>
      </c>
      <c r="D162" s="109">
        <f t="shared" si="17"/>
        <v>1580</v>
      </c>
      <c r="E162" s="109">
        <f t="shared" si="17"/>
        <v>1580</v>
      </c>
      <c r="F162" s="109">
        <f t="shared" si="17"/>
        <v>1580</v>
      </c>
      <c r="G162" s="109">
        <f t="shared" si="17"/>
        <v>1580</v>
      </c>
      <c r="H162" s="109">
        <f t="shared" si="17"/>
        <v>1580</v>
      </c>
      <c r="I162" s="109">
        <f t="shared" si="17"/>
        <v>1580</v>
      </c>
      <c r="J162" s="109">
        <f t="shared" si="17"/>
        <v>1580</v>
      </c>
      <c r="K162" s="109">
        <f t="shared" si="17"/>
        <v>1580</v>
      </c>
      <c r="L162" s="109">
        <f t="shared" si="17"/>
        <v>1580</v>
      </c>
      <c r="M162" s="109">
        <f t="shared" si="17"/>
        <v>1580</v>
      </c>
      <c r="N162" s="109">
        <f t="shared" si="17"/>
        <v>1580</v>
      </c>
      <c r="O162" s="109">
        <f t="shared" si="17"/>
        <v>1580</v>
      </c>
      <c r="P162" s="109">
        <f t="shared" si="17"/>
        <v>1580</v>
      </c>
      <c r="Q162" s="109">
        <f t="shared" si="17"/>
        <v>1580</v>
      </c>
      <c r="R162" s="109">
        <f t="shared" si="17"/>
        <v>1580</v>
      </c>
      <c r="S162" s="109">
        <f t="shared" si="17"/>
        <v>1580</v>
      </c>
      <c r="T162" s="109">
        <f t="shared" si="17"/>
        <v>1580</v>
      </c>
      <c r="U162" s="109">
        <f t="shared" si="17"/>
        <v>1580</v>
      </c>
      <c r="V162" s="109">
        <f t="shared" si="17"/>
        <v>1580</v>
      </c>
      <c r="W162" s="109">
        <f t="shared" si="17"/>
        <v>1580</v>
      </c>
      <c r="X162" s="109">
        <f t="shared" si="17"/>
        <v>1580</v>
      </c>
      <c r="Y162" s="109">
        <f t="shared" si="17"/>
        <v>1580</v>
      </c>
      <c r="Z162" s="109">
        <f t="shared" si="17"/>
        <v>1580</v>
      </c>
      <c r="AA162" s="109">
        <f t="shared" si="17"/>
        <v>1580</v>
      </c>
      <c r="AB162" s="109">
        <f t="shared" si="17"/>
        <v>1580</v>
      </c>
      <c r="AC162" s="109">
        <f t="shared" si="17"/>
        <v>1580</v>
      </c>
      <c r="AD162" s="109">
        <f t="shared" si="17"/>
        <v>1580</v>
      </c>
      <c r="AE162" s="109">
        <f t="shared" si="17"/>
        <v>1580</v>
      </c>
      <c r="AF162" s="109">
        <f t="shared" si="17"/>
        <v>1580</v>
      </c>
    </row>
    <row r="164" spans="1:32" x14ac:dyDescent="0.15">
      <c r="A164" s="60" t="s">
        <v>735</v>
      </c>
    </row>
    <row r="165" spans="1:32" x14ac:dyDescent="0.15">
      <c r="A165" s="3" t="s">
        <v>1051</v>
      </c>
      <c r="C165" s="74">
        <f>$B155</f>
        <v>1300</v>
      </c>
      <c r="D165" s="74">
        <f t="shared" ref="D165:AF165" si="18">$B155</f>
        <v>1300</v>
      </c>
      <c r="E165" s="74">
        <f t="shared" si="18"/>
        <v>1300</v>
      </c>
      <c r="F165" s="74">
        <f t="shared" si="18"/>
        <v>1300</v>
      </c>
      <c r="G165" s="74">
        <f t="shared" si="18"/>
        <v>1300</v>
      </c>
      <c r="H165" s="74">
        <f t="shared" si="18"/>
        <v>1300</v>
      </c>
      <c r="I165" s="74">
        <f t="shared" si="18"/>
        <v>1300</v>
      </c>
      <c r="J165" s="74">
        <f t="shared" si="18"/>
        <v>1300</v>
      </c>
      <c r="K165" s="74">
        <f t="shared" si="18"/>
        <v>1300</v>
      </c>
      <c r="L165" s="74">
        <f t="shared" si="18"/>
        <v>1300</v>
      </c>
      <c r="M165" s="74">
        <f t="shared" si="18"/>
        <v>1300</v>
      </c>
      <c r="N165" s="74">
        <f t="shared" si="18"/>
        <v>1300</v>
      </c>
      <c r="O165" s="74">
        <f t="shared" si="18"/>
        <v>1300</v>
      </c>
      <c r="P165" s="74">
        <f t="shared" si="18"/>
        <v>1300</v>
      </c>
      <c r="Q165" s="74">
        <f t="shared" si="18"/>
        <v>1300</v>
      </c>
      <c r="R165" s="74">
        <f t="shared" si="18"/>
        <v>1300</v>
      </c>
      <c r="S165" s="74">
        <f t="shared" si="18"/>
        <v>1300</v>
      </c>
      <c r="T165" s="74">
        <f t="shared" si="18"/>
        <v>1300</v>
      </c>
      <c r="U165" s="74">
        <f t="shared" si="18"/>
        <v>1300</v>
      </c>
      <c r="V165" s="74">
        <f t="shared" si="18"/>
        <v>1300</v>
      </c>
      <c r="W165" s="74">
        <f t="shared" si="18"/>
        <v>1300</v>
      </c>
      <c r="X165" s="74">
        <f t="shared" si="18"/>
        <v>1300</v>
      </c>
      <c r="Y165" s="74">
        <f t="shared" si="18"/>
        <v>1300</v>
      </c>
      <c r="Z165" s="74">
        <f t="shared" si="18"/>
        <v>1300</v>
      </c>
      <c r="AA165" s="74">
        <f t="shared" si="18"/>
        <v>1300</v>
      </c>
      <c r="AB165" s="74">
        <f t="shared" si="18"/>
        <v>1300</v>
      </c>
      <c r="AC165" s="74">
        <f t="shared" si="18"/>
        <v>1300</v>
      </c>
      <c r="AD165" s="74">
        <f t="shared" si="18"/>
        <v>1300</v>
      </c>
      <c r="AE165" s="74">
        <f t="shared" si="18"/>
        <v>1300</v>
      </c>
      <c r="AF165" s="74">
        <f t="shared" si="18"/>
        <v>1300</v>
      </c>
    </row>
    <row r="166" spans="1:32" x14ac:dyDescent="0.15">
      <c r="A166" s="3" t="s">
        <v>738</v>
      </c>
      <c r="C166" s="74">
        <f>$B145-(C158-1)*$B153</f>
        <v>8400</v>
      </c>
      <c r="D166" s="74">
        <f>$B145-(D158-1)*$B153</f>
        <v>8120</v>
      </c>
      <c r="E166" s="74">
        <f t="shared" ref="E166:AF166" si="19">$B145-(E158-1)*$B153</f>
        <v>7840</v>
      </c>
      <c r="F166" s="74">
        <f t="shared" si="19"/>
        <v>7560</v>
      </c>
      <c r="G166" s="74">
        <f t="shared" si="19"/>
        <v>7280</v>
      </c>
      <c r="H166" s="74">
        <f t="shared" si="19"/>
        <v>7000</v>
      </c>
      <c r="I166" s="74">
        <f t="shared" si="19"/>
        <v>6720</v>
      </c>
      <c r="J166" s="74">
        <f t="shared" si="19"/>
        <v>6440</v>
      </c>
      <c r="K166" s="74">
        <f t="shared" si="19"/>
        <v>6160</v>
      </c>
      <c r="L166" s="74">
        <f t="shared" si="19"/>
        <v>5880</v>
      </c>
      <c r="M166" s="74">
        <f t="shared" si="19"/>
        <v>5600</v>
      </c>
      <c r="N166" s="74">
        <f t="shared" si="19"/>
        <v>5320</v>
      </c>
      <c r="O166" s="74">
        <f t="shared" si="19"/>
        <v>5040</v>
      </c>
      <c r="P166" s="74">
        <f t="shared" si="19"/>
        <v>4760</v>
      </c>
      <c r="Q166" s="74">
        <f t="shared" si="19"/>
        <v>4480</v>
      </c>
      <c r="R166" s="74">
        <f t="shared" si="19"/>
        <v>4200</v>
      </c>
      <c r="S166" s="74">
        <f t="shared" si="19"/>
        <v>3920</v>
      </c>
      <c r="T166" s="74">
        <f t="shared" si="19"/>
        <v>3640</v>
      </c>
      <c r="U166" s="74">
        <f t="shared" si="19"/>
        <v>3360</v>
      </c>
      <c r="V166" s="74">
        <f t="shared" si="19"/>
        <v>3080</v>
      </c>
      <c r="W166" s="74">
        <f t="shared" si="19"/>
        <v>2800</v>
      </c>
      <c r="X166" s="74">
        <f t="shared" si="19"/>
        <v>2520</v>
      </c>
      <c r="Y166" s="74">
        <f t="shared" si="19"/>
        <v>2240</v>
      </c>
      <c r="Z166" s="74">
        <f t="shared" si="19"/>
        <v>1960</v>
      </c>
      <c r="AA166" s="74">
        <f t="shared" si="19"/>
        <v>1680</v>
      </c>
      <c r="AB166" s="74">
        <f t="shared" si="19"/>
        <v>1400</v>
      </c>
      <c r="AC166" s="74">
        <f t="shared" si="19"/>
        <v>1120</v>
      </c>
      <c r="AD166" s="74">
        <f t="shared" si="19"/>
        <v>840</v>
      </c>
      <c r="AE166" s="74">
        <f t="shared" si="19"/>
        <v>560</v>
      </c>
      <c r="AF166" s="74">
        <f t="shared" si="19"/>
        <v>280</v>
      </c>
    </row>
    <row r="167" spans="1:32" x14ac:dyDescent="0.15">
      <c r="A167" s="3" t="s">
        <v>739</v>
      </c>
      <c r="C167" s="74">
        <v>0</v>
      </c>
      <c r="D167" s="74">
        <f>C167</f>
        <v>0</v>
      </c>
      <c r="E167" s="74">
        <f t="shared" ref="E167:AF167" si="20">D167</f>
        <v>0</v>
      </c>
      <c r="F167" s="74">
        <f t="shared" si="20"/>
        <v>0</v>
      </c>
      <c r="G167" s="74">
        <f t="shared" si="20"/>
        <v>0</v>
      </c>
      <c r="H167" s="74">
        <f t="shared" si="20"/>
        <v>0</v>
      </c>
      <c r="I167" s="74">
        <f t="shared" si="20"/>
        <v>0</v>
      </c>
      <c r="J167" s="74">
        <f t="shared" si="20"/>
        <v>0</v>
      </c>
      <c r="K167" s="74">
        <f t="shared" si="20"/>
        <v>0</v>
      </c>
      <c r="L167" s="74">
        <f t="shared" si="20"/>
        <v>0</v>
      </c>
      <c r="M167" s="74">
        <f t="shared" si="20"/>
        <v>0</v>
      </c>
      <c r="N167" s="74">
        <f t="shared" si="20"/>
        <v>0</v>
      </c>
      <c r="O167" s="74">
        <f t="shared" si="20"/>
        <v>0</v>
      </c>
      <c r="P167" s="74">
        <f t="shared" si="20"/>
        <v>0</v>
      </c>
      <c r="Q167" s="74">
        <f t="shared" si="20"/>
        <v>0</v>
      </c>
      <c r="R167" s="74">
        <f t="shared" si="20"/>
        <v>0</v>
      </c>
      <c r="S167" s="74">
        <f t="shared" si="20"/>
        <v>0</v>
      </c>
      <c r="T167" s="74">
        <f t="shared" si="20"/>
        <v>0</v>
      </c>
      <c r="U167" s="74">
        <f t="shared" si="20"/>
        <v>0</v>
      </c>
      <c r="V167" s="74">
        <f t="shared" si="20"/>
        <v>0</v>
      </c>
      <c r="W167" s="74">
        <f t="shared" si="20"/>
        <v>0</v>
      </c>
      <c r="X167" s="74">
        <f t="shared" si="20"/>
        <v>0</v>
      </c>
      <c r="Y167" s="74">
        <f t="shared" si="20"/>
        <v>0</v>
      </c>
      <c r="Z167" s="74">
        <f t="shared" si="20"/>
        <v>0</v>
      </c>
      <c r="AA167" s="74">
        <f t="shared" si="20"/>
        <v>0</v>
      </c>
      <c r="AB167" s="74">
        <f t="shared" si="20"/>
        <v>0</v>
      </c>
      <c r="AC167" s="74">
        <f t="shared" si="20"/>
        <v>0</v>
      </c>
      <c r="AD167" s="74">
        <f t="shared" si="20"/>
        <v>0</v>
      </c>
      <c r="AE167" s="74">
        <f t="shared" si="20"/>
        <v>0</v>
      </c>
      <c r="AF167" s="74">
        <f t="shared" si="20"/>
        <v>0</v>
      </c>
    </row>
    <row r="168" spans="1:32" x14ac:dyDescent="0.15">
      <c r="A168" s="3" t="s">
        <v>199</v>
      </c>
      <c r="B168" s="3">
        <v>0</v>
      </c>
      <c r="C168" s="67">
        <f>C165/(C166+C167)</f>
        <v>0.15476190476190477</v>
      </c>
      <c r="D168" s="67">
        <f t="shared" ref="D168:AF168" si="21">D165/(D166+D167)</f>
        <v>0.16009852216748768</v>
      </c>
      <c r="E168" s="67">
        <f t="shared" si="21"/>
        <v>0.16581632653061223</v>
      </c>
      <c r="F168" s="67">
        <f t="shared" si="21"/>
        <v>0.17195767195767195</v>
      </c>
      <c r="G168" s="67">
        <f t="shared" si="21"/>
        <v>0.17857142857142858</v>
      </c>
      <c r="H168" s="67">
        <f t="shared" si="21"/>
        <v>0.18571428571428572</v>
      </c>
      <c r="I168" s="67">
        <f t="shared" si="21"/>
        <v>0.19345238095238096</v>
      </c>
      <c r="J168" s="67">
        <f t="shared" si="21"/>
        <v>0.20186335403726707</v>
      </c>
      <c r="K168" s="67">
        <f t="shared" si="21"/>
        <v>0.21103896103896103</v>
      </c>
      <c r="L168" s="67">
        <f t="shared" si="21"/>
        <v>0.22108843537414966</v>
      </c>
      <c r="M168" s="67">
        <f t="shared" si="21"/>
        <v>0.23214285714285715</v>
      </c>
      <c r="N168" s="67">
        <f t="shared" si="21"/>
        <v>0.24436090225563908</v>
      </c>
      <c r="O168" s="67">
        <f t="shared" si="21"/>
        <v>0.25793650793650796</v>
      </c>
      <c r="P168" s="67">
        <f t="shared" si="21"/>
        <v>0.27310924369747897</v>
      </c>
      <c r="Q168" s="67">
        <f t="shared" si="21"/>
        <v>0.29017857142857145</v>
      </c>
      <c r="R168" s="67">
        <f t="shared" si="21"/>
        <v>0.30952380952380953</v>
      </c>
      <c r="S168" s="67">
        <f t="shared" si="21"/>
        <v>0.33163265306122447</v>
      </c>
      <c r="T168" s="67">
        <f t="shared" si="21"/>
        <v>0.35714285714285715</v>
      </c>
      <c r="U168" s="67">
        <f t="shared" si="21"/>
        <v>0.38690476190476192</v>
      </c>
      <c r="V168" s="67">
        <f t="shared" si="21"/>
        <v>0.42207792207792205</v>
      </c>
      <c r="W168" s="67">
        <f t="shared" si="21"/>
        <v>0.4642857142857143</v>
      </c>
      <c r="X168" s="67">
        <f t="shared" si="21"/>
        <v>0.51587301587301593</v>
      </c>
      <c r="Y168" s="67">
        <f t="shared" si="21"/>
        <v>0.5803571428571429</v>
      </c>
      <c r="Z168" s="67">
        <f t="shared" si="21"/>
        <v>0.66326530612244894</v>
      </c>
      <c r="AA168" s="67">
        <f t="shared" si="21"/>
        <v>0.77380952380952384</v>
      </c>
      <c r="AB168" s="67">
        <f t="shared" si="21"/>
        <v>0.9285714285714286</v>
      </c>
      <c r="AC168" s="67">
        <f t="shared" si="21"/>
        <v>1.1607142857142858</v>
      </c>
      <c r="AD168" s="67">
        <f t="shared" si="21"/>
        <v>1.5476190476190477</v>
      </c>
      <c r="AE168" s="67">
        <f t="shared" si="21"/>
        <v>2.3214285714285716</v>
      </c>
      <c r="AF168" s="67">
        <f t="shared" si="21"/>
        <v>4.6428571428571432</v>
      </c>
    </row>
    <row r="169" spans="1:32" x14ac:dyDescent="0.15">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row>
    <row r="170" spans="1:32" x14ac:dyDescent="0.15">
      <c r="A170" s="7" t="s">
        <v>314</v>
      </c>
      <c r="B170" s="115">
        <f>C165/AVERAGE(0,B145)</f>
        <v>0.30952380952380953</v>
      </c>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row>
    <row r="171" spans="1:32" x14ac:dyDescent="0.15">
      <c r="A171" s="7" t="s">
        <v>943</v>
      </c>
      <c r="B171" s="115">
        <f>AVERAGE(B168:AF168)</f>
        <v>0.598327565690842</v>
      </c>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row>
    <row r="173" spans="1:32" x14ac:dyDescent="0.15">
      <c r="A173" s="60" t="s">
        <v>736</v>
      </c>
    </row>
    <row r="174" spans="1:32" x14ac:dyDescent="0.15">
      <c r="A174" s="3" t="s">
        <v>367</v>
      </c>
      <c r="B174" s="80">
        <v>0.1</v>
      </c>
    </row>
    <row r="175" spans="1:32" ht="15" x14ac:dyDescent="0.15">
      <c r="A175" s="6" t="s">
        <v>732</v>
      </c>
      <c r="B175" s="74">
        <f>SUMPRODUCT($B162:B162,POWER(1+$B174,-$B158:B158))</f>
        <v>-8400</v>
      </c>
      <c r="C175" s="74">
        <f>SUMPRODUCT($B162:C162,POWER(1+$B174,-$B158:C158))</f>
        <v>-6963.636363636364</v>
      </c>
      <c r="D175" s="74">
        <f>SUMPRODUCT($B162:D162,POWER(1+$B174,-$B158:D158))</f>
        <v>-5657.8512396694223</v>
      </c>
      <c r="E175" s="74">
        <f>SUMPRODUCT($B162:E162,POWER(1+$B174,-$B158:E158))</f>
        <v>-4470.7738542449297</v>
      </c>
      <c r="F175" s="74">
        <f>SUMPRODUCT($B162:F162,POWER(1+$B174,-$B158:F158))</f>
        <v>-3391.6125947681185</v>
      </c>
      <c r="G175" s="74">
        <f>SUMPRODUCT($B162:G162,POWER(1+$B174,-$B158:G158))</f>
        <v>-2410.5569043346536</v>
      </c>
      <c r="H175" s="74">
        <f>SUMPRODUCT($B162:H162,POWER(1+$B174,-$B158:H158))</f>
        <v>-1518.6880948496855</v>
      </c>
      <c r="I175" s="74">
        <f>SUMPRODUCT($B162:I162,POWER(1+$B174,-$B158:I158))</f>
        <v>-707.89826804516929</v>
      </c>
      <c r="J175" s="74">
        <f>SUMPRODUCT($B162:J162,POWER(1+$B174,-$B158:J158))</f>
        <v>29.183392686209118</v>
      </c>
      <c r="K175" s="74">
        <f>SUMPRODUCT($B162:K162,POWER(1+$B174,-$B158:K158))</f>
        <v>699.25762971473489</v>
      </c>
      <c r="L175" s="74">
        <f>SUMPRODUCT($B162:L162,POWER(1+$B174,-$B158:L158))</f>
        <v>1308.4160270133946</v>
      </c>
      <c r="M175" s="74">
        <f>SUMPRODUCT($B162:M162,POWER(1+$B174,-$B158:M158))</f>
        <v>1862.1963881939942</v>
      </c>
      <c r="N175" s="74">
        <f>SUMPRODUCT($B162:N162,POWER(1+$B174,-$B158:N158))</f>
        <v>2365.6330801763575</v>
      </c>
      <c r="O175" s="74">
        <f>SUMPRODUCT($B162:O162,POWER(1+$B174,-$B158:O158))</f>
        <v>2823.3028001603243</v>
      </c>
      <c r="P175" s="74">
        <f>SUMPRODUCT($B162:P162,POWER(1+$B174,-$B158:P158))</f>
        <v>3239.3661819639301</v>
      </c>
      <c r="Q175" s="74">
        <f>SUMPRODUCT($B162:Q162,POWER(1+$B174,-$B158:Q158))</f>
        <v>3617.6056199672084</v>
      </c>
      <c r="R175" s="74">
        <f>SUMPRODUCT($B162:R162,POWER(1+$B174,-$B158:R158))</f>
        <v>3961.4596545156433</v>
      </c>
      <c r="S175" s="74">
        <f>SUMPRODUCT($B162:S162,POWER(1+$B174,-$B158:S158))</f>
        <v>4274.0542313778569</v>
      </c>
      <c r="T175" s="74">
        <f>SUMPRODUCT($B162:T162,POWER(1+$B174,-$B158:T158))</f>
        <v>4558.2311194344147</v>
      </c>
      <c r="U175" s="74">
        <f>SUMPRODUCT($B162:U162,POWER(1+$B174,-$B158:U158))</f>
        <v>4816.5737449403759</v>
      </c>
      <c r="V175" s="74">
        <f>SUMPRODUCT($B162:V162,POWER(1+$B174,-$B158:V158))</f>
        <v>5051.4306772185228</v>
      </c>
      <c r="W175" s="74">
        <f>SUMPRODUCT($B162:W162,POWER(1+$B174,-$B158:W158))</f>
        <v>5264.936979289565</v>
      </c>
      <c r="X175" s="74">
        <f>SUMPRODUCT($B162:X162,POWER(1+$B174,-$B158:X158))</f>
        <v>5459.0336175359671</v>
      </c>
      <c r="Y175" s="74">
        <f>SUMPRODUCT($B162:Y162,POWER(1+$B174,-$B158:Y158))</f>
        <v>5635.4851068508779</v>
      </c>
      <c r="Z175" s="74">
        <f>SUMPRODUCT($B162:Z162,POWER(1+$B174,-$B158:Z158))</f>
        <v>5795.8955516826154</v>
      </c>
      <c r="AA175" s="74">
        <f>SUMPRODUCT($B162:AA162,POWER(1+$B174,-$B158:AA158))</f>
        <v>5941.723228802377</v>
      </c>
      <c r="AB175" s="74">
        <f>SUMPRODUCT($B162:AB162,POWER(1+$B174,-$B158:AB158))</f>
        <v>6074.2938443657958</v>
      </c>
      <c r="AC175" s="74">
        <f>SUMPRODUCT($B162:AC162,POWER(1+$B174,-$B158:AC158))</f>
        <v>6194.8125857870864</v>
      </c>
      <c r="AD175" s="74">
        <f>SUMPRODUCT($B162:AD162,POWER(1+$B174,-$B158:AD158))</f>
        <v>6304.3750779882594</v>
      </c>
      <c r="AE175" s="74">
        <f>SUMPRODUCT($B162:AE162,POWER(1+$B174,-$B158:AE158))</f>
        <v>6403.9773436256892</v>
      </c>
      <c r="AF175" s="74">
        <f>SUMPRODUCT($B162:AF162,POWER(1+$B174,-$B158:AF158))</f>
        <v>6494.5248578415349</v>
      </c>
    </row>
    <row r="176" spans="1:32" x14ac:dyDescent="0.15">
      <c r="B176" s="74"/>
    </row>
    <row r="189" spans="1:2" x14ac:dyDescent="0.15">
      <c r="A189" s="7" t="s">
        <v>733</v>
      </c>
      <c r="B189" s="29">
        <f>K158-K175/(L175-K175)</f>
        <v>7.8520922754810174</v>
      </c>
    </row>
    <row r="190" spans="1:2" x14ac:dyDescent="0.15">
      <c r="A190" s="7" t="s">
        <v>734</v>
      </c>
      <c r="B190" s="74">
        <f>AF175</f>
        <v>6494.5248578415349</v>
      </c>
    </row>
    <row r="192" spans="1:2" x14ac:dyDescent="0.15">
      <c r="A192" s="60" t="s">
        <v>737</v>
      </c>
    </row>
    <row r="193" spans="1:3" x14ac:dyDescent="0.15">
      <c r="A193" s="7" t="s">
        <v>689</v>
      </c>
      <c r="B193" s="104">
        <v>0.16024075736114751</v>
      </c>
    </row>
    <row r="194" spans="1:3" ht="15" x14ac:dyDescent="0.15">
      <c r="A194" s="6" t="s">
        <v>399</v>
      </c>
      <c r="B194" s="74">
        <f>SUMPRODUCT(B162:AF162,POWER(1+B193,-B158:AF158))</f>
        <v>1346.0223709964146</v>
      </c>
    </row>
    <row r="195" spans="1:3" x14ac:dyDescent="0.15">
      <c r="A195" s="4"/>
      <c r="B195" s="109"/>
    </row>
    <row r="196" spans="1:3" ht="15" x14ac:dyDescent="0.15">
      <c r="A196" s="8" t="s">
        <v>372</v>
      </c>
    </row>
    <row r="197" spans="1:3" ht="15" x14ac:dyDescent="0.15">
      <c r="A197" s="6" t="s">
        <v>743</v>
      </c>
      <c r="B197" s="74">
        <v>8000</v>
      </c>
    </row>
    <row r="198" spans="1:3" ht="15" x14ac:dyDescent="0.15">
      <c r="A198" s="6" t="s">
        <v>1039</v>
      </c>
      <c r="B198" s="3">
        <v>7</v>
      </c>
    </row>
    <row r="199" spans="1:3" ht="15" x14ac:dyDescent="0.15">
      <c r="A199" s="6" t="s">
        <v>744</v>
      </c>
      <c r="B199" s="3">
        <v>8</v>
      </c>
    </row>
    <row r="200" spans="1:3" ht="15" x14ac:dyDescent="0.15">
      <c r="A200" s="6" t="s">
        <v>315</v>
      </c>
      <c r="B200" s="74">
        <f>(B197*B198/B199)-B222</f>
        <v>2000</v>
      </c>
    </row>
    <row r="201" spans="1:3" ht="15" x14ac:dyDescent="0.15">
      <c r="A201" s="6" t="s">
        <v>742</v>
      </c>
      <c r="B201" s="80">
        <v>0.25</v>
      </c>
    </row>
    <row r="202" spans="1:3" ht="15" x14ac:dyDescent="0.15">
      <c r="A202" s="6" t="s">
        <v>745</v>
      </c>
      <c r="B202" s="74">
        <f>B200*B201</f>
        <v>500</v>
      </c>
    </row>
    <row r="203" spans="1:3" x14ac:dyDescent="0.15">
      <c r="A203" s="6"/>
    </row>
    <row r="204" spans="1:3" ht="15" x14ac:dyDescent="0.15">
      <c r="A204" s="6" t="s">
        <v>746</v>
      </c>
      <c r="B204" s="74">
        <v>10500</v>
      </c>
    </row>
    <row r="205" spans="1:3" ht="15" x14ac:dyDescent="0.15">
      <c r="A205" s="6" t="s">
        <v>362</v>
      </c>
      <c r="B205" s="3">
        <v>7</v>
      </c>
    </row>
    <row r="206" spans="1:3" ht="15" x14ac:dyDescent="0.15">
      <c r="A206" s="6" t="s">
        <v>755</v>
      </c>
      <c r="B206" s="74">
        <v>500</v>
      </c>
    </row>
    <row r="207" spans="1:3" x14ac:dyDescent="0.15">
      <c r="A207" s="6"/>
    </row>
    <row r="208" spans="1:3" ht="15" x14ac:dyDescent="0.15">
      <c r="A208" s="6" t="s">
        <v>747</v>
      </c>
      <c r="B208" s="166">
        <v>100000</v>
      </c>
      <c r="C208" s="3" t="s">
        <v>773</v>
      </c>
    </row>
    <row r="209" spans="1:10" ht="15" x14ac:dyDescent="0.15">
      <c r="A209" s="6" t="s">
        <v>749</v>
      </c>
      <c r="B209" s="74">
        <f>SUM(B210:B212)</f>
        <v>0.38</v>
      </c>
    </row>
    <row r="210" spans="1:10" x14ac:dyDescent="0.15">
      <c r="A210" s="17" t="s">
        <v>750</v>
      </c>
      <c r="B210" s="192">
        <v>0.14000000000000001</v>
      </c>
    </row>
    <row r="211" spans="1:10" x14ac:dyDescent="0.15">
      <c r="A211" s="17" t="s">
        <v>751</v>
      </c>
      <c r="B211" s="192">
        <v>0.1</v>
      </c>
    </row>
    <row r="212" spans="1:10" x14ac:dyDescent="0.15">
      <c r="A212" s="17" t="s">
        <v>752</v>
      </c>
      <c r="B212" s="192">
        <v>0.14000000000000001</v>
      </c>
    </row>
    <row r="213" spans="1:10" ht="15" x14ac:dyDescent="0.15">
      <c r="A213" s="6" t="s">
        <v>748</v>
      </c>
      <c r="B213" s="74">
        <f>SUM(B214:B216)</f>
        <v>0.35</v>
      </c>
    </row>
    <row r="214" spans="1:10" x14ac:dyDescent="0.15">
      <c r="A214" s="17" t="s">
        <v>750</v>
      </c>
      <c r="B214" s="192">
        <v>0.12</v>
      </c>
    </row>
    <row r="215" spans="1:10" x14ac:dyDescent="0.15">
      <c r="A215" s="17" t="s">
        <v>751</v>
      </c>
      <c r="B215" s="192">
        <v>0.09</v>
      </c>
    </row>
    <row r="216" spans="1:10" x14ac:dyDescent="0.15">
      <c r="A216" s="17" t="s">
        <v>752</v>
      </c>
      <c r="B216" s="192">
        <f>B212</f>
        <v>0.14000000000000001</v>
      </c>
    </row>
    <row r="218" spans="1:10" x14ac:dyDescent="0.15">
      <c r="A218" s="60" t="s">
        <v>740</v>
      </c>
    </row>
    <row r="219" spans="1:10" ht="15" x14ac:dyDescent="0.15">
      <c r="A219" s="6" t="s">
        <v>771</v>
      </c>
      <c r="B219" s="74"/>
      <c r="C219" s="74">
        <f t="shared" ref="C219:I219" si="22">$B204/$B205-$B197/$B199</f>
        <v>500</v>
      </c>
      <c r="D219" s="74">
        <f t="shared" si="22"/>
        <v>500</v>
      </c>
      <c r="E219" s="74">
        <f t="shared" si="22"/>
        <v>500</v>
      </c>
      <c r="F219" s="74">
        <f t="shared" si="22"/>
        <v>500</v>
      </c>
      <c r="G219" s="74">
        <f t="shared" si="22"/>
        <v>500</v>
      </c>
      <c r="H219" s="74">
        <f t="shared" si="22"/>
        <v>500</v>
      </c>
      <c r="I219" s="74">
        <f t="shared" si="22"/>
        <v>500</v>
      </c>
      <c r="J219" s="74"/>
    </row>
    <row r="220" spans="1:10" x14ac:dyDescent="0.15">
      <c r="A220" s="6"/>
      <c r="B220" s="74"/>
      <c r="C220" s="74"/>
      <c r="D220" s="74"/>
      <c r="E220" s="74"/>
      <c r="F220" s="74"/>
      <c r="G220" s="74"/>
      <c r="H220" s="74"/>
      <c r="I220" s="74"/>
      <c r="J220" s="74"/>
    </row>
    <row r="221" spans="1:10" x14ac:dyDescent="0.15">
      <c r="A221" s="334" t="s">
        <v>718</v>
      </c>
      <c r="B221" s="360">
        <v>0</v>
      </c>
      <c r="C221" s="360">
        <v>1</v>
      </c>
      <c r="D221" s="360">
        <f t="shared" ref="D221:I221" si="23">C221+1</f>
        <v>2</v>
      </c>
      <c r="E221" s="360">
        <f t="shared" si="23"/>
        <v>3</v>
      </c>
      <c r="F221" s="360">
        <f t="shared" si="23"/>
        <v>4</v>
      </c>
      <c r="G221" s="360">
        <f t="shared" si="23"/>
        <v>5</v>
      </c>
      <c r="H221" s="360">
        <f t="shared" si="23"/>
        <v>6</v>
      </c>
      <c r="I221" s="360">
        <f t="shared" si="23"/>
        <v>7</v>
      </c>
      <c r="J221" s="360">
        <v>8</v>
      </c>
    </row>
    <row r="222" spans="1:10" ht="15" x14ac:dyDescent="0.15">
      <c r="A222" s="6" t="s">
        <v>741</v>
      </c>
      <c r="B222" s="74">
        <v>5000</v>
      </c>
      <c r="D222" s="74"/>
      <c r="E222" s="74"/>
      <c r="F222" s="74"/>
      <c r="G222" s="74"/>
      <c r="H222" s="74"/>
      <c r="I222" s="74"/>
    </row>
    <row r="223" spans="1:10" ht="15" x14ac:dyDescent="0.15">
      <c r="A223" s="6" t="s">
        <v>690</v>
      </c>
      <c r="B223" s="74">
        <v>-11000</v>
      </c>
      <c r="D223" s="74"/>
      <c r="E223" s="74"/>
      <c r="F223" s="74"/>
      <c r="G223" s="74"/>
      <c r="H223" s="74"/>
      <c r="I223" s="74" t="s">
        <v>353</v>
      </c>
      <c r="J223" s="74">
        <f>B206</f>
        <v>500</v>
      </c>
    </row>
    <row r="224" spans="1:10" ht="15" x14ac:dyDescent="0.15">
      <c r="A224" s="6" t="s">
        <v>756</v>
      </c>
      <c r="B224" s="74"/>
      <c r="C224" s="74">
        <f t="shared" ref="C224:I224" si="24">(SUM($B210:$B212)-SUM($B214:$B216))*$B208</f>
        <v>3000.0000000000027</v>
      </c>
      <c r="D224" s="74">
        <f t="shared" si="24"/>
        <v>3000.0000000000027</v>
      </c>
      <c r="E224" s="74">
        <f t="shared" si="24"/>
        <v>3000.0000000000027</v>
      </c>
      <c r="F224" s="74">
        <f t="shared" si="24"/>
        <v>3000.0000000000027</v>
      </c>
      <c r="G224" s="74">
        <f t="shared" si="24"/>
        <v>3000.0000000000027</v>
      </c>
      <c r="H224" s="74">
        <f t="shared" si="24"/>
        <v>3000.0000000000027</v>
      </c>
      <c r="I224" s="74">
        <f t="shared" si="24"/>
        <v>3000.0000000000027</v>
      </c>
    </row>
    <row r="225" spans="1:10" ht="15" x14ac:dyDescent="0.15">
      <c r="A225" s="6" t="s">
        <v>754</v>
      </c>
      <c r="B225" s="74"/>
      <c r="C225" s="74">
        <f t="shared" ref="C225:I225" si="25">-(C224-C219)*$B201</f>
        <v>-625.00000000000068</v>
      </c>
      <c r="D225" s="74">
        <f t="shared" si="25"/>
        <v>-625.00000000000068</v>
      </c>
      <c r="E225" s="74">
        <f t="shared" si="25"/>
        <v>-625.00000000000068</v>
      </c>
      <c r="F225" s="74">
        <f t="shared" si="25"/>
        <v>-625.00000000000068</v>
      </c>
      <c r="G225" s="74">
        <f t="shared" si="25"/>
        <v>-625.00000000000068</v>
      </c>
      <c r="H225" s="74">
        <f t="shared" si="25"/>
        <v>-625.00000000000068</v>
      </c>
      <c r="I225" s="74">
        <f t="shared" si="25"/>
        <v>-625.00000000000068</v>
      </c>
    </row>
    <row r="226" spans="1:10" ht="15" x14ac:dyDescent="0.15">
      <c r="A226" s="6" t="s">
        <v>745</v>
      </c>
      <c r="B226" s="74">
        <f>B202</f>
        <v>500</v>
      </c>
      <c r="D226" s="74"/>
      <c r="E226" s="74"/>
      <c r="F226" s="74"/>
      <c r="G226" s="74"/>
      <c r="H226" s="74"/>
      <c r="I226" s="74"/>
    </row>
    <row r="227" spans="1:10" ht="15" x14ac:dyDescent="0.15">
      <c r="A227" s="4" t="s">
        <v>398</v>
      </c>
      <c r="B227" s="109">
        <f>SUM(B222:B226)</f>
        <v>-5500</v>
      </c>
      <c r="C227" s="109">
        <f>SUM(C222:C226)</f>
        <v>2375.0000000000018</v>
      </c>
      <c r="D227" s="109">
        <f t="shared" ref="D227:J227" si="26">SUM(D222:D226)</f>
        <v>2375.0000000000018</v>
      </c>
      <c r="E227" s="109">
        <f t="shared" si="26"/>
        <v>2375.0000000000018</v>
      </c>
      <c r="F227" s="109">
        <f t="shared" si="26"/>
        <v>2375.0000000000018</v>
      </c>
      <c r="G227" s="109">
        <f t="shared" si="26"/>
        <v>2375.0000000000018</v>
      </c>
      <c r="H227" s="109">
        <f t="shared" si="26"/>
        <v>2375.0000000000018</v>
      </c>
      <c r="I227" s="109">
        <f t="shared" si="26"/>
        <v>2375.0000000000018</v>
      </c>
      <c r="J227" s="109">
        <f t="shared" si="26"/>
        <v>500</v>
      </c>
    </row>
    <row r="228" spans="1:10" x14ac:dyDescent="0.15">
      <c r="A228" s="6"/>
      <c r="B228" s="68"/>
      <c r="C228" s="68"/>
      <c r="D228" s="68"/>
      <c r="E228" s="68"/>
      <c r="F228" s="68"/>
      <c r="G228" s="68"/>
      <c r="H228" s="68"/>
      <c r="I228" s="68"/>
    </row>
    <row r="229" spans="1:10" ht="15" x14ac:dyDescent="0.15">
      <c r="A229" s="6" t="s">
        <v>394</v>
      </c>
      <c r="B229" s="80">
        <v>0.1</v>
      </c>
    </row>
    <row r="230" spans="1:10" ht="15" x14ac:dyDescent="0.15">
      <c r="A230" s="6" t="s">
        <v>399</v>
      </c>
      <c r="B230" s="74">
        <f>NPV(B229,C227:J227)</f>
        <v>11795.748382125583</v>
      </c>
    </row>
    <row r="231" spans="1:10" x14ac:dyDescent="0.15">
      <c r="A231" s="6"/>
      <c r="B231" s="74"/>
    </row>
    <row r="232" spans="1:10" ht="15" x14ac:dyDescent="0.15">
      <c r="A232" s="6" t="s">
        <v>512</v>
      </c>
      <c r="B232" s="74">
        <f>B227</f>
        <v>-5500</v>
      </c>
      <c r="C232" s="91">
        <f>C227/(1+$B$229)^C221</f>
        <v>2159.0909090909104</v>
      </c>
      <c r="D232" s="91">
        <f t="shared" ref="D232:J232" si="27">D227/(1+$B$229)^D221</f>
        <v>1962.809917355373</v>
      </c>
      <c r="E232" s="91">
        <f t="shared" si="27"/>
        <v>1784.372652141248</v>
      </c>
      <c r="F232" s="91">
        <f t="shared" si="27"/>
        <v>1622.1569564920437</v>
      </c>
      <c r="G232" s="91">
        <f t="shared" si="27"/>
        <v>1474.6881422654942</v>
      </c>
      <c r="H232" s="91">
        <f t="shared" si="27"/>
        <v>1340.6255838777217</v>
      </c>
      <c r="I232" s="91">
        <f t="shared" si="27"/>
        <v>1218.7505307979288</v>
      </c>
      <c r="J232" s="91">
        <f t="shared" si="27"/>
        <v>233.25369010486659</v>
      </c>
    </row>
    <row r="233" spans="1:10" ht="15" x14ac:dyDescent="0.15">
      <c r="A233" s="6" t="s">
        <v>732</v>
      </c>
      <c r="B233" s="74">
        <f>B232</f>
        <v>-5500</v>
      </c>
      <c r="C233" s="74">
        <f>SUMPRODUCT($B227:C227,POWER(1+$B229,-$B221:C221))</f>
        <v>-3340.9090909090892</v>
      </c>
      <c r="D233" s="74">
        <f>SUMPRODUCT($B227:D227,POWER(1+$B229,-$B221:D221))</f>
        <v>-1378.0991735537159</v>
      </c>
      <c r="E233" s="74">
        <f>SUMPRODUCT($B227:E227,POWER(1+$B229,-$B221:E221))</f>
        <v>406.27347858753205</v>
      </c>
      <c r="F233" s="74">
        <f>SUMPRODUCT($B227:F227,POWER(1+$B229,-$B221:F221))</f>
        <v>2028.4304350795758</v>
      </c>
      <c r="G233" s="74">
        <f>SUMPRODUCT($B227:G227,POWER(1+$B229,-$B221:G221))</f>
        <v>3503.1185773450698</v>
      </c>
      <c r="H233" s="74">
        <f>SUMPRODUCT($B227:H227,POWER(1+$B229,-$B221:H221))</f>
        <v>4843.7441612227922</v>
      </c>
      <c r="I233" s="74">
        <f>SUMPRODUCT($B227:I227,POWER(1+$B229,-$B221:I221))</f>
        <v>6062.4946920207212</v>
      </c>
    </row>
    <row r="248" spans="1:3" x14ac:dyDescent="0.15">
      <c r="A248" s="7" t="s">
        <v>733</v>
      </c>
      <c r="B248" s="68">
        <f>C221-C233/(D233-C233)</f>
        <v>2.7021052631578923</v>
      </c>
      <c r="C248" s="3" t="s">
        <v>509</v>
      </c>
    </row>
    <row r="249" spans="1:3" x14ac:dyDescent="0.15">
      <c r="A249" s="7"/>
      <c r="B249" s="68"/>
    </row>
    <row r="251" spans="1:3" ht="15" x14ac:dyDescent="0.15">
      <c r="A251" s="8" t="s">
        <v>377</v>
      </c>
    </row>
    <row r="253" spans="1:3" x14ac:dyDescent="0.15">
      <c r="A253" s="3" t="s">
        <v>931</v>
      </c>
      <c r="B253" s="3">
        <v>500</v>
      </c>
    </row>
    <row r="254" spans="1:3" x14ac:dyDescent="0.15">
      <c r="A254" s="3" t="s">
        <v>1206</v>
      </c>
      <c r="B254" s="3">
        <v>433</v>
      </c>
    </row>
    <row r="255" spans="1:3" x14ac:dyDescent="0.15">
      <c r="A255" s="3" t="s">
        <v>973</v>
      </c>
      <c r="B255" s="3">
        <v>500</v>
      </c>
    </row>
    <row r="256" spans="1:3" x14ac:dyDescent="0.15">
      <c r="A256" s="3" t="s">
        <v>974</v>
      </c>
      <c r="B256" s="80">
        <v>0.25</v>
      </c>
    </row>
    <row r="258" spans="1:8" x14ac:dyDescent="0.15">
      <c r="A258" s="7" t="s">
        <v>975</v>
      </c>
    </row>
    <row r="259" spans="1:8" x14ac:dyDescent="0.15">
      <c r="A259" s="3" t="s">
        <v>976</v>
      </c>
      <c r="B259" s="3">
        <v>5</v>
      </c>
    </row>
    <row r="261" spans="1:8" x14ac:dyDescent="0.15">
      <c r="A261" s="334" t="s">
        <v>977</v>
      </c>
      <c r="B261" s="334">
        <v>0</v>
      </c>
      <c r="C261" s="334">
        <v>1</v>
      </c>
      <c r="D261" s="334">
        <f>C261+1</f>
        <v>2</v>
      </c>
      <c r="E261" s="334">
        <f>D261+1</f>
        <v>3</v>
      </c>
      <c r="F261" s="334">
        <f>E261+1</f>
        <v>4</v>
      </c>
      <c r="G261" s="334">
        <f>F261+1</f>
        <v>5</v>
      </c>
    </row>
    <row r="262" spans="1:8" x14ac:dyDescent="0.15">
      <c r="A262" s="3" t="s">
        <v>931</v>
      </c>
      <c r="B262" s="3">
        <f>-B253</f>
        <v>-500</v>
      </c>
    </row>
    <row r="263" spans="1:8" x14ac:dyDescent="0.15">
      <c r="A263" s="3" t="s">
        <v>973</v>
      </c>
      <c r="B263" s="3">
        <f>-B255</f>
        <v>-500</v>
      </c>
      <c r="G263" s="3">
        <f>+B255</f>
        <v>500</v>
      </c>
    </row>
    <row r="264" spans="1:8" x14ac:dyDescent="0.15">
      <c r="A264" s="3" t="s">
        <v>71</v>
      </c>
      <c r="B264" s="3">
        <v>0</v>
      </c>
      <c r="C264" s="3">
        <f>$B254</f>
        <v>433</v>
      </c>
      <c r="D264" s="3">
        <f>$B254</f>
        <v>433</v>
      </c>
      <c r="E264" s="3">
        <f>$B254</f>
        <v>433</v>
      </c>
      <c r="F264" s="3">
        <f>$B254</f>
        <v>433</v>
      </c>
      <c r="G264" s="3">
        <f>$B254</f>
        <v>433</v>
      </c>
    </row>
    <row r="265" spans="1:8" x14ac:dyDescent="0.15">
      <c r="A265" s="3" t="s">
        <v>978</v>
      </c>
      <c r="B265" s="3">
        <v>0</v>
      </c>
      <c r="C265" s="3">
        <f>$B253/$B259</f>
        <v>100</v>
      </c>
      <c r="D265" s="3">
        <f>$B253/$B259</f>
        <v>100</v>
      </c>
      <c r="E265" s="3">
        <f>$B253/$B259</f>
        <v>100</v>
      </c>
      <c r="F265" s="3">
        <f>$B253/$B259</f>
        <v>100</v>
      </c>
      <c r="G265" s="3">
        <f>$B253/$B259</f>
        <v>100</v>
      </c>
    </row>
    <row r="266" spans="1:8" x14ac:dyDescent="0.15">
      <c r="A266" s="3" t="s">
        <v>1014</v>
      </c>
      <c r="B266" s="3">
        <v>0</v>
      </c>
      <c r="C266" s="3">
        <f>C264-C265</f>
        <v>333</v>
      </c>
      <c r="D266" s="3">
        <f>D264-D265</f>
        <v>333</v>
      </c>
      <c r="E266" s="3">
        <f>E264-E265</f>
        <v>333</v>
      </c>
      <c r="F266" s="3">
        <f>F264-F265</f>
        <v>333</v>
      </c>
      <c r="G266" s="3">
        <f>G264-G265</f>
        <v>333</v>
      </c>
    </row>
    <row r="267" spans="1:8" x14ac:dyDescent="0.15">
      <c r="A267" s="3" t="s">
        <v>632</v>
      </c>
      <c r="B267" s="3">
        <v>0</v>
      </c>
      <c r="C267" s="13">
        <f>C266*$B256</f>
        <v>83.25</v>
      </c>
      <c r="D267" s="13">
        <f>D266*$B256</f>
        <v>83.25</v>
      </c>
      <c r="E267" s="13">
        <f>E266*$B256</f>
        <v>83.25</v>
      </c>
      <c r="F267" s="13">
        <f>F266*$B256</f>
        <v>83.25</v>
      </c>
      <c r="G267" s="13">
        <f>G266*$B256</f>
        <v>83.25</v>
      </c>
    </row>
    <row r="268" spans="1:8" x14ac:dyDescent="0.15">
      <c r="A268" s="3" t="s">
        <v>979</v>
      </c>
      <c r="B268" s="3">
        <f t="shared" ref="B268:G268" si="28">B262+B263+B264-B267</f>
        <v>-1000</v>
      </c>
      <c r="C268" s="13">
        <f>C262+C263+C264-C267</f>
        <v>349.75</v>
      </c>
      <c r="D268" s="13">
        <f t="shared" si="28"/>
        <v>349.75</v>
      </c>
      <c r="E268" s="13">
        <f t="shared" si="28"/>
        <v>349.75</v>
      </c>
      <c r="F268" s="13">
        <f t="shared" si="28"/>
        <v>349.75</v>
      </c>
      <c r="G268" s="13">
        <f t="shared" si="28"/>
        <v>849.75</v>
      </c>
    </row>
    <row r="270" spans="1:8" x14ac:dyDescent="0.15">
      <c r="A270" s="7" t="s">
        <v>689</v>
      </c>
      <c r="B270" s="104">
        <f>IRR(B268:G268)</f>
        <v>0.29379218258559736</v>
      </c>
    </row>
    <row r="271" spans="1:8" x14ac:dyDescent="0.15">
      <c r="A271" s="3" t="s">
        <v>1370</v>
      </c>
      <c r="B271" s="3">
        <f>-B262-$B$263</f>
        <v>1000</v>
      </c>
      <c r="C271" s="3">
        <f>B271-C265</f>
        <v>900</v>
      </c>
      <c r="D271" s="3">
        <f>C271-D265</f>
        <v>800</v>
      </c>
      <c r="E271" s="3">
        <f>D271-E265</f>
        <v>700</v>
      </c>
      <c r="F271" s="3">
        <f>E271-F265</f>
        <v>600</v>
      </c>
      <c r="G271" s="3">
        <f>F271-G265</f>
        <v>500</v>
      </c>
    </row>
    <row r="272" spans="1:8" x14ac:dyDescent="0.15">
      <c r="A272" s="3" t="s">
        <v>1371</v>
      </c>
      <c r="C272" s="81">
        <f>(C266-C267)/((B271+C271)/2)</f>
        <v>0.26289473684210524</v>
      </c>
      <c r="D272" s="81">
        <f>(D266-D267)/((C271+D271)/2)</f>
        <v>0.29382352941176471</v>
      </c>
      <c r="E272" s="81">
        <f>(E266-E267)/((D271+E271)/2)</f>
        <v>0.33300000000000002</v>
      </c>
      <c r="F272" s="81">
        <f>(F266-F267)/((E271+F271)/2)</f>
        <v>0.38423076923076921</v>
      </c>
      <c r="G272" s="81">
        <f>(G266-G267)/((F271+G271)/2)</f>
        <v>0.4540909090909091</v>
      </c>
      <c r="H272" s="193">
        <f>AVERAGE(C272:G272)</f>
        <v>0.34560798891510963</v>
      </c>
    </row>
    <row r="274" spans="1:8" x14ac:dyDescent="0.15">
      <c r="A274" s="7" t="s">
        <v>975</v>
      </c>
    </row>
    <row r="275" spans="1:8" x14ac:dyDescent="0.15">
      <c r="A275" s="3" t="s">
        <v>980</v>
      </c>
      <c r="B275" s="3">
        <v>5</v>
      </c>
    </row>
    <row r="277" spans="1:8" x14ac:dyDescent="0.15">
      <c r="A277" s="334" t="s">
        <v>977</v>
      </c>
      <c r="B277" s="334">
        <v>0</v>
      </c>
      <c r="C277" s="334">
        <v>1</v>
      </c>
      <c r="D277" s="334">
        <f>C277+1</f>
        <v>2</v>
      </c>
      <c r="E277" s="334">
        <f>D277+1</f>
        <v>3</v>
      </c>
      <c r="F277" s="334">
        <f>E277+1</f>
        <v>4</v>
      </c>
      <c r="G277" s="334">
        <f>F277+1</f>
        <v>5</v>
      </c>
    </row>
    <row r="278" spans="1:8" x14ac:dyDescent="0.15">
      <c r="A278" s="3" t="s">
        <v>931</v>
      </c>
      <c r="B278" s="3">
        <f>-B253</f>
        <v>-500</v>
      </c>
    </row>
    <row r="279" spans="1:8" x14ac:dyDescent="0.15">
      <c r="A279" s="3" t="s">
        <v>973</v>
      </c>
      <c r="B279" s="3">
        <f>-B255</f>
        <v>-500</v>
      </c>
      <c r="G279" s="3">
        <f>B255</f>
        <v>500</v>
      </c>
    </row>
    <row r="280" spans="1:8" x14ac:dyDescent="0.15">
      <c r="A280" s="3" t="s">
        <v>71</v>
      </c>
      <c r="B280" s="3">
        <v>0</v>
      </c>
      <c r="C280" s="3">
        <f>$B254</f>
        <v>433</v>
      </c>
      <c r="D280" s="3">
        <f>$B254</f>
        <v>433</v>
      </c>
      <c r="E280" s="3">
        <f>$B254</f>
        <v>433</v>
      </c>
      <c r="F280" s="3">
        <f>$B254</f>
        <v>433</v>
      </c>
      <c r="G280" s="3">
        <f>$B254</f>
        <v>433</v>
      </c>
    </row>
    <row r="281" spans="1:8" x14ac:dyDescent="0.15">
      <c r="A281" s="3" t="s">
        <v>978</v>
      </c>
      <c r="B281" s="3">
        <v>0</v>
      </c>
      <c r="C281" s="3">
        <f>B253*0.4</f>
        <v>200</v>
      </c>
      <c r="D281" s="3">
        <f>B253*0.3</f>
        <v>150</v>
      </c>
      <c r="E281" s="3">
        <f>B253*0.2</f>
        <v>100</v>
      </c>
      <c r="F281" s="3">
        <f>B253*0.05</f>
        <v>25</v>
      </c>
      <c r="G281" s="3">
        <f>B253*0.05</f>
        <v>25</v>
      </c>
    </row>
    <row r="282" spans="1:8" x14ac:dyDescent="0.15">
      <c r="A282" s="3" t="s">
        <v>1014</v>
      </c>
      <c r="B282" s="3">
        <v>0</v>
      </c>
      <c r="C282" s="3">
        <f>C280-C281</f>
        <v>233</v>
      </c>
      <c r="D282" s="3">
        <f>D280-D281</f>
        <v>283</v>
      </c>
      <c r="E282" s="3">
        <f>E280-E281</f>
        <v>333</v>
      </c>
      <c r="F282" s="3">
        <f>F280-F281</f>
        <v>408</v>
      </c>
      <c r="G282" s="3">
        <f>G280-G281</f>
        <v>408</v>
      </c>
    </row>
    <row r="283" spans="1:8" x14ac:dyDescent="0.15">
      <c r="A283" s="3" t="s">
        <v>632</v>
      </c>
      <c r="B283" s="3">
        <v>0</v>
      </c>
      <c r="C283" s="13">
        <f>C282*$B256</f>
        <v>58.25</v>
      </c>
      <c r="D283" s="13">
        <f>D282*$B256</f>
        <v>70.75</v>
      </c>
      <c r="E283" s="13">
        <f>E282*$B256</f>
        <v>83.25</v>
      </c>
      <c r="F283" s="13">
        <f>F282*$B256</f>
        <v>102</v>
      </c>
      <c r="G283" s="13">
        <f>G282*$B256</f>
        <v>102</v>
      </c>
    </row>
    <row r="284" spans="1:8" x14ac:dyDescent="0.15">
      <c r="A284" s="3" t="s">
        <v>979</v>
      </c>
      <c r="B284" s="3">
        <f t="shared" ref="B284:G284" si="29">B278+B279+B280-B283</f>
        <v>-1000</v>
      </c>
      <c r="C284" s="13">
        <f t="shared" si="29"/>
        <v>374.75</v>
      </c>
      <c r="D284" s="13">
        <f t="shared" si="29"/>
        <v>362.25</v>
      </c>
      <c r="E284" s="13">
        <f t="shared" si="29"/>
        <v>349.75</v>
      </c>
      <c r="F284" s="13">
        <f t="shared" si="29"/>
        <v>331</v>
      </c>
      <c r="G284" s="13">
        <f t="shared" si="29"/>
        <v>831</v>
      </c>
    </row>
    <row r="285" spans="1:8" x14ac:dyDescent="0.15">
      <c r="A285" s="3" t="s">
        <v>199</v>
      </c>
      <c r="C285" s="13"/>
      <c r="D285" s="13"/>
      <c r="E285" s="13"/>
      <c r="F285" s="13"/>
      <c r="G285" s="13"/>
    </row>
    <row r="286" spans="1:8" x14ac:dyDescent="0.15">
      <c r="A286" s="7" t="s">
        <v>689</v>
      </c>
      <c r="B286" s="104">
        <f>IRR(B284:G284)</f>
        <v>0.30071121996697991</v>
      </c>
    </row>
    <row r="287" spans="1:8" x14ac:dyDescent="0.15">
      <c r="A287" s="3" t="s">
        <v>1370</v>
      </c>
      <c r="B287" s="3">
        <f>-B278-$B$263</f>
        <v>1000</v>
      </c>
      <c r="C287" s="3">
        <f>B287-C281</f>
        <v>800</v>
      </c>
      <c r="D287" s="3">
        <f>C287-D281</f>
        <v>650</v>
      </c>
      <c r="E287" s="3">
        <f>D287-E281</f>
        <v>550</v>
      </c>
      <c r="F287" s="3">
        <f>E287-F281</f>
        <v>525</v>
      </c>
      <c r="G287" s="3">
        <f>F287-G281</f>
        <v>500</v>
      </c>
    </row>
    <row r="288" spans="1:8" x14ac:dyDescent="0.15">
      <c r="A288" s="3" t="s">
        <v>1371</v>
      </c>
      <c r="C288" s="81">
        <f>(C282-C283)/((B287+C287)/2)</f>
        <v>0.19416666666666665</v>
      </c>
      <c r="D288" s="81">
        <f>(D282-D283)/((C287+D287)/2)</f>
        <v>0.29275862068965519</v>
      </c>
      <c r="E288" s="81">
        <f>(E282-E283)/((D287+E287)/2)</f>
        <v>0.41625000000000001</v>
      </c>
      <c r="F288" s="81">
        <f>(F282-F283)/((E287+F287)/2)</f>
        <v>0.56930232558139537</v>
      </c>
      <c r="G288" s="81">
        <f>(G282-G283)/((F287+G287)/2)</f>
        <v>0.59707317073170729</v>
      </c>
      <c r="H288" s="193">
        <f>AVERAGE(C288:G288)</f>
        <v>0.41391015673388487</v>
      </c>
    </row>
    <row r="289" spans="1:1" x14ac:dyDescent="0.15">
      <c r="A289" s="3" t="s">
        <v>981</v>
      </c>
    </row>
    <row r="334" spans="1:1" x14ac:dyDescent="0.15">
      <c r="A334" s="7"/>
    </row>
    <row r="341" spans="1:3" x14ac:dyDescent="0.15">
      <c r="C341" s="80"/>
    </row>
    <row r="342" spans="1:3" x14ac:dyDescent="0.15">
      <c r="A342" s="194"/>
      <c r="C342" s="80"/>
    </row>
    <row r="343" spans="1:3" x14ac:dyDescent="0.15">
      <c r="A343" s="194"/>
    </row>
    <row r="346" spans="1:3" x14ac:dyDescent="0.15">
      <c r="B346" s="13"/>
    </row>
    <row r="349" spans="1:3" x14ac:dyDescent="0.15">
      <c r="B349" s="13"/>
    </row>
    <row r="350" spans="1:3" x14ac:dyDescent="0.15">
      <c r="B350" s="13"/>
    </row>
    <row r="351" spans="1:3" x14ac:dyDescent="0.15">
      <c r="B351" s="13"/>
    </row>
  </sheetData>
  <phoneticPr fontId="4" type="noConversion"/>
  <pageMargins left="0.78740157480314965" right="0.78740157480314965" top="0.98425196850393704" bottom="0.98425196850393704" header="0.51181102362204722" footer="0.51181102362204722"/>
  <pageSetup paperSize="9" fitToHeight="10"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euil33">
    <pageSetUpPr fitToPage="1"/>
  </sheetPr>
  <dimension ref="A1:IV94"/>
  <sheetViews>
    <sheetView showGridLines="0" workbookViewId="0"/>
  </sheetViews>
  <sheetFormatPr baseColWidth="10" defaultColWidth="11" defaultRowHeight="14" x14ac:dyDescent="0.15"/>
  <cols>
    <col min="1" max="1" width="15.83203125" style="3" customWidth="1"/>
    <col min="2" max="2" width="13.1640625" style="3" bestFit="1" customWidth="1"/>
    <col min="3" max="3" width="17.1640625" style="3" customWidth="1"/>
    <col min="4" max="16384" width="11" style="3"/>
  </cols>
  <sheetData>
    <row r="1" spans="1:256" ht="15" x14ac:dyDescent="0.15">
      <c r="A1" s="1" t="s">
        <v>1235</v>
      </c>
    </row>
    <row r="2" spans="1:256" ht="15" x14ac:dyDescent="0.15">
      <c r="A2" s="70" t="s">
        <v>783</v>
      </c>
      <c r="B2" s="3">
        <v>30.2</v>
      </c>
    </row>
    <row r="3" spans="1:256" x14ac:dyDescent="0.15">
      <c r="A3" s="3" t="s">
        <v>784</v>
      </c>
      <c r="B3" s="3">
        <v>5</v>
      </c>
    </row>
    <row r="4" spans="1:256" x14ac:dyDescent="0.15">
      <c r="A4" s="3" t="s">
        <v>785</v>
      </c>
      <c r="B4" s="3">
        <v>6</v>
      </c>
    </row>
    <row r="6" spans="1:256" x14ac:dyDescent="0.15">
      <c r="A6" s="60" t="s">
        <v>766</v>
      </c>
      <c r="J6" s="3" t="s">
        <v>353</v>
      </c>
    </row>
    <row r="7" spans="1:256" x14ac:dyDescent="0.15">
      <c r="A7" s="334" t="s">
        <v>718</v>
      </c>
      <c r="B7" s="334">
        <v>0</v>
      </c>
      <c r="C7" s="334">
        <v>1</v>
      </c>
      <c r="D7" s="334">
        <v>2</v>
      </c>
      <c r="E7" s="334">
        <v>3</v>
      </c>
      <c r="F7" s="334">
        <v>4</v>
      </c>
      <c r="G7" s="334">
        <v>5</v>
      </c>
      <c r="H7" s="334">
        <v>6</v>
      </c>
      <c r="I7" s="334">
        <f>H7+1</f>
        <v>7</v>
      </c>
      <c r="J7" s="334">
        <f t="shared" ref="J7:BU7" si="0">I7+1</f>
        <v>8</v>
      </c>
      <c r="K7" s="334">
        <f t="shared" si="0"/>
        <v>9</v>
      </c>
      <c r="L7" s="334">
        <f t="shared" si="0"/>
        <v>10</v>
      </c>
      <c r="M7" s="334">
        <f t="shared" si="0"/>
        <v>11</v>
      </c>
      <c r="N7" s="334">
        <f t="shared" si="0"/>
        <v>12</v>
      </c>
      <c r="O7" s="334">
        <f t="shared" si="0"/>
        <v>13</v>
      </c>
      <c r="P7" s="334">
        <f t="shared" si="0"/>
        <v>14</v>
      </c>
      <c r="Q7" s="334">
        <f t="shared" si="0"/>
        <v>15</v>
      </c>
      <c r="R7" s="334">
        <f t="shared" si="0"/>
        <v>16</v>
      </c>
      <c r="S7" s="334">
        <f t="shared" si="0"/>
        <v>17</v>
      </c>
      <c r="T7" s="334">
        <f t="shared" si="0"/>
        <v>18</v>
      </c>
      <c r="U7" s="334">
        <f t="shared" si="0"/>
        <v>19</v>
      </c>
      <c r="V7" s="334">
        <f t="shared" si="0"/>
        <v>20</v>
      </c>
      <c r="W7" s="334">
        <f t="shared" si="0"/>
        <v>21</v>
      </c>
      <c r="X7" s="334">
        <f t="shared" si="0"/>
        <v>22</v>
      </c>
      <c r="Y7" s="334">
        <f t="shared" si="0"/>
        <v>23</v>
      </c>
      <c r="Z7" s="334">
        <f t="shared" si="0"/>
        <v>24</v>
      </c>
      <c r="AA7" s="334">
        <f t="shared" si="0"/>
        <v>25</v>
      </c>
      <c r="AB7" s="334">
        <f t="shared" si="0"/>
        <v>26</v>
      </c>
      <c r="AC7" s="334">
        <f t="shared" si="0"/>
        <v>27</v>
      </c>
      <c r="AD7" s="334">
        <f t="shared" si="0"/>
        <v>28</v>
      </c>
      <c r="AE7" s="334">
        <f t="shared" si="0"/>
        <v>29</v>
      </c>
      <c r="AF7" s="334">
        <f t="shared" si="0"/>
        <v>30</v>
      </c>
      <c r="AG7" s="334">
        <f t="shared" si="0"/>
        <v>31</v>
      </c>
      <c r="AH7" s="334">
        <f t="shared" si="0"/>
        <v>32</v>
      </c>
      <c r="AI7" s="334">
        <f t="shared" si="0"/>
        <v>33</v>
      </c>
      <c r="AJ7" s="334">
        <f t="shared" si="0"/>
        <v>34</v>
      </c>
      <c r="AK7" s="334">
        <f t="shared" si="0"/>
        <v>35</v>
      </c>
      <c r="AL7" s="334">
        <f t="shared" si="0"/>
        <v>36</v>
      </c>
      <c r="AM7" s="334">
        <f t="shared" si="0"/>
        <v>37</v>
      </c>
      <c r="AN7" s="334">
        <f t="shared" si="0"/>
        <v>38</v>
      </c>
      <c r="AO7" s="334">
        <f t="shared" si="0"/>
        <v>39</v>
      </c>
      <c r="AP7" s="334">
        <f t="shared" si="0"/>
        <v>40</v>
      </c>
      <c r="AQ7" s="334">
        <f t="shared" si="0"/>
        <v>41</v>
      </c>
      <c r="AR7" s="334">
        <f t="shared" si="0"/>
        <v>42</v>
      </c>
      <c r="AS7" s="334">
        <f t="shared" si="0"/>
        <v>43</v>
      </c>
      <c r="AT7" s="334">
        <f t="shared" si="0"/>
        <v>44</v>
      </c>
      <c r="AU7" s="334">
        <f t="shared" si="0"/>
        <v>45</v>
      </c>
      <c r="AV7" s="334">
        <f t="shared" si="0"/>
        <v>46</v>
      </c>
      <c r="AW7" s="334">
        <f t="shared" si="0"/>
        <v>47</v>
      </c>
      <c r="AX7" s="334">
        <f t="shared" si="0"/>
        <v>48</v>
      </c>
      <c r="AY7" s="334">
        <f t="shared" si="0"/>
        <v>49</v>
      </c>
      <c r="AZ7" s="334">
        <f t="shared" si="0"/>
        <v>50</v>
      </c>
      <c r="BA7" s="334">
        <f t="shared" si="0"/>
        <v>51</v>
      </c>
      <c r="BB7" s="334">
        <f t="shared" si="0"/>
        <v>52</v>
      </c>
      <c r="BC7" s="334">
        <f t="shared" si="0"/>
        <v>53</v>
      </c>
      <c r="BD7" s="334">
        <f t="shared" si="0"/>
        <v>54</v>
      </c>
      <c r="BE7" s="334">
        <f t="shared" si="0"/>
        <v>55</v>
      </c>
      <c r="BF7" s="334">
        <f t="shared" si="0"/>
        <v>56</v>
      </c>
      <c r="BG7" s="334">
        <f t="shared" si="0"/>
        <v>57</v>
      </c>
      <c r="BH7" s="334">
        <f t="shared" si="0"/>
        <v>58</v>
      </c>
      <c r="BI7" s="334">
        <f t="shared" si="0"/>
        <v>59</v>
      </c>
      <c r="BJ7" s="334">
        <f t="shared" si="0"/>
        <v>60</v>
      </c>
      <c r="BK7" s="334">
        <f t="shared" si="0"/>
        <v>61</v>
      </c>
      <c r="BL7" s="334">
        <f t="shared" si="0"/>
        <v>62</v>
      </c>
      <c r="BM7" s="334">
        <f t="shared" si="0"/>
        <v>63</v>
      </c>
      <c r="BN7" s="334">
        <f t="shared" si="0"/>
        <v>64</v>
      </c>
      <c r="BO7" s="334">
        <f t="shared" si="0"/>
        <v>65</v>
      </c>
      <c r="BP7" s="334">
        <f t="shared" si="0"/>
        <v>66</v>
      </c>
      <c r="BQ7" s="334">
        <f t="shared" si="0"/>
        <v>67</v>
      </c>
      <c r="BR7" s="334">
        <f t="shared" si="0"/>
        <v>68</v>
      </c>
      <c r="BS7" s="334">
        <f t="shared" si="0"/>
        <v>69</v>
      </c>
      <c r="BT7" s="334">
        <f t="shared" si="0"/>
        <v>70</v>
      </c>
      <c r="BU7" s="334">
        <f t="shared" si="0"/>
        <v>71</v>
      </c>
      <c r="BV7" s="334">
        <f t="shared" ref="BV7:EG7" si="1">BU7+1</f>
        <v>72</v>
      </c>
      <c r="BW7" s="334">
        <f t="shared" si="1"/>
        <v>73</v>
      </c>
      <c r="BX7" s="334">
        <f t="shared" si="1"/>
        <v>74</v>
      </c>
      <c r="BY7" s="334">
        <f t="shared" si="1"/>
        <v>75</v>
      </c>
      <c r="BZ7" s="334">
        <f t="shared" si="1"/>
        <v>76</v>
      </c>
      <c r="CA7" s="334">
        <f t="shared" si="1"/>
        <v>77</v>
      </c>
      <c r="CB7" s="334">
        <f t="shared" si="1"/>
        <v>78</v>
      </c>
      <c r="CC7" s="334">
        <f t="shared" si="1"/>
        <v>79</v>
      </c>
      <c r="CD7" s="334">
        <f t="shared" si="1"/>
        <v>80</v>
      </c>
      <c r="CE7" s="334">
        <f t="shared" si="1"/>
        <v>81</v>
      </c>
      <c r="CF7" s="334">
        <f t="shared" si="1"/>
        <v>82</v>
      </c>
      <c r="CG7" s="334">
        <f t="shared" si="1"/>
        <v>83</v>
      </c>
      <c r="CH7" s="334">
        <f t="shared" si="1"/>
        <v>84</v>
      </c>
      <c r="CI7" s="334">
        <f t="shared" si="1"/>
        <v>85</v>
      </c>
      <c r="CJ7" s="334">
        <f t="shared" si="1"/>
        <v>86</v>
      </c>
      <c r="CK7" s="334">
        <f t="shared" si="1"/>
        <v>87</v>
      </c>
      <c r="CL7" s="334">
        <f t="shared" si="1"/>
        <v>88</v>
      </c>
      <c r="CM7" s="334">
        <f t="shared" si="1"/>
        <v>89</v>
      </c>
      <c r="CN7" s="334">
        <f t="shared" si="1"/>
        <v>90</v>
      </c>
      <c r="CO7" s="334">
        <f t="shared" si="1"/>
        <v>91</v>
      </c>
      <c r="CP7" s="334">
        <f t="shared" si="1"/>
        <v>92</v>
      </c>
      <c r="CQ7" s="334">
        <f t="shared" si="1"/>
        <v>93</v>
      </c>
      <c r="CR7" s="334">
        <f t="shared" si="1"/>
        <v>94</v>
      </c>
      <c r="CS7" s="334">
        <f t="shared" si="1"/>
        <v>95</v>
      </c>
      <c r="CT7" s="334">
        <f t="shared" si="1"/>
        <v>96</v>
      </c>
      <c r="CU7" s="334">
        <f t="shared" si="1"/>
        <v>97</v>
      </c>
      <c r="CV7" s="334">
        <f t="shared" si="1"/>
        <v>98</v>
      </c>
      <c r="CW7" s="334">
        <f t="shared" si="1"/>
        <v>99</v>
      </c>
      <c r="CX7" s="334">
        <f t="shared" si="1"/>
        <v>100</v>
      </c>
      <c r="CY7" s="334">
        <f t="shared" si="1"/>
        <v>101</v>
      </c>
      <c r="CZ7" s="334">
        <f t="shared" si="1"/>
        <v>102</v>
      </c>
      <c r="DA7" s="334">
        <f t="shared" si="1"/>
        <v>103</v>
      </c>
      <c r="DB7" s="334">
        <f t="shared" si="1"/>
        <v>104</v>
      </c>
      <c r="DC7" s="334">
        <f t="shared" si="1"/>
        <v>105</v>
      </c>
      <c r="DD7" s="334">
        <f t="shared" si="1"/>
        <v>106</v>
      </c>
      <c r="DE7" s="334">
        <f t="shared" si="1"/>
        <v>107</v>
      </c>
      <c r="DF7" s="334">
        <f t="shared" si="1"/>
        <v>108</v>
      </c>
      <c r="DG7" s="334">
        <f t="shared" si="1"/>
        <v>109</v>
      </c>
      <c r="DH7" s="334">
        <f t="shared" si="1"/>
        <v>110</v>
      </c>
      <c r="DI7" s="334">
        <f t="shared" si="1"/>
        <v>111</v>
      </c>
      <c r="DJ7" s="334">
        <f t="shared" si="1"/>
        <v>112</v>
      </c>
      <c r="DK7" s="334">
        <f t="shared" si="1"/>
        <v>113</v>
      </c>
      <c r="DL7" s="334">
        <f t="shared" si="1"/>
        <v>114</v>
      </c>
      <c r="DM7" s="334">
        <f t="shared" si="1"/>
        <v>115</v>
      </c>
      <c r="DN7" s="334">
        <f t="shared" si="1"/>
        <v>116</v>
      </c>
      <c r="DO7" s="334">
        <f t="shared" si="1"/>
        <v>117</v>
      </c>
      <c r="DP7" s="334">
        <f t="shared" si="1"/>
        <v>118</v>
      </c>
      <c r="DQ7" s="334">
        <f t="shared" si="1"/>
        <v>119</v>
      </c>
      <c r="DR7" s="334">
        <f t="shared" si="1"/>
        <v>120</v>
      </c>
      <c r="DS7" s="334">
        <f t="shared" si="1"/>
        <v>121</v>
      </c>
      <c r="DT7" s="334">
        <f t="shared" si="1"/>
        <v>122</v>
      </c>
      <c r="DU7" s="334">
        <f t="shared" si="1"/>
        <v>123</v>
      </c>
      <c r="DV7" s="334">
        <f t="shared" si="1"/>
        <v>124</v>
      </c>
      <c r="DW7" s="334">
        <f t="shared" si="1"/>
        <v>125</v>
      </c>
      <c r="DX7" s="334">
        <f t="shared" si="1"/>
        <v>126</v>
      </c>
      <c r="DY7" s="334">
        <f t="shared" si="1"/>
        <v>127</v>
      </c>
      <c r="DZ7" s="334">
        <f t="shared" si="1"/>
        <v>128</v>
      </c>
      <c r="EA7" s="334">
        <f t="shared" si="1"/>
        <v>129</v>
      </c>
      <c r="EB7" s="334">
        <f t="shared" si="1"/>
        <v>130</v>
      </c>
      <c r="EC7" s="334">
        <f t="shared" si="1"/>
        <v>131</v>
      </c>
      <c r="ED7" s="334">
        <f t="shared" si="1"/>
        <v>132</v>
      </c>
      <c r="EE7" s="334">
        <f t="shared" si="1"/>
        <v>133</v>
      </c>
      <c r="EF7" s="334">
        <f t="shared" si="1"/>
        <v>134</v>
      </c>
      <c r="EG7" s="334">
        <f t="shared" si="1"/>
        <v>135</v>
      </c>
      <c r="EH7" s="334">
        <f t="shared" ref="EH7:GS7" si="2">EG7+1</f>
        <v>136</v>
      </c>
      <c r="EI7" s="334">
        <f t="shared" si="2"/>
        <v>137</v>
      </c>
      <c r="EJ7" s="334">
        <f t="shared" si="2"/>
        <v>138</v>
      </c>
      <c r="EK7" s="334">
        <f t="shared" si="2"/>
        <v>139</v>
      </c>
      <c r="EL7" s="334">
        <f t="shared" si="2"/>
        <v>140</v>
      </c>
      <c r="EM7" s="334">
        <f t="shared" si="2"/>
        <v>141</v>
      </c>
      <c r="EN7" s="334">
        <f t="shared" si="2"/>
        <v>142</v>
      </c>
      <c r="EO7" s="334">
        <f t="shared" si="2"/>
        <v>143</v>
      </c>
      <c r="EP7" s="334">
        <f t="shared" si="2"/>
        <v>144</v>
      </c>
      <c r="EQ7" s="334">
        <f t="shared" si="2"/>
        <v>145</v>
      </c>
      <c r="ER7" s="334">
        <f t="shared" si="2"/>
        <v>146</v>
      </c>
      <c r="ES7" s="334">
        <f t="shared" si="2"/>
        <v>147</v>
      </c>
      <c r="ET7" s="334">
        <f t="shared" si="2"/>
        <v>148</v>
      </c>
      <c r="EU7" s="334">
        <f t="shared" si="2"/>
        <v>149</v>
      </c>
      <c r="EV7" s="334">
        <f t="shared" si="2"/>
        <v>150</v>
      </c>
      <c r="EW7" s="334">
        <f t="shared" si="2"/>
        <v>151</v>
      </c>
      <c r="EX7" s="334">
        <f t="shared" si="2"/>
        <v>152</v>
      </c>
      <c r="EY7" s="334">
        <f t="shared" si="2"/>
        <v>153</v>
      </c>
      <c r="EZ7" s="334">
        <f t="shared" si="2"/>
        <v>154</v>
      </c>
      <c r="FA7" s="334">
        <f t="shared" si="2"/>
        <v>155</v>
      </c>
      <c r="FB7" s="334">
        <f t="shared" si="2"/>
        <v>156</v>
      </c>
      <c r="FC7" s="334">
        <f t="shared" si="2"/>
        <v>157</v>
      </c>
      <c r="FD7" s="334">
        <f t="shared" si="2"/>
        <v>158</v>
      </c>
      <c r="FE7" s="334">
        <f t="shared" si="2"/>
        <v>159</v>
      </c>
      <c r="FF7" s="334">
        <f t="shared" si="2"/>
        <v>160</v>
      </c>
      <c r="FG7" s="334">
        <f t="shared" si="2"/>
        <v>161</v>
      </c>
      <c r="FH7" s="334">
        <f t="shared" si="2"/>
        <v>162</v>
      </c>
      <c r="FI7" s="334">
        <f t="shared" si="2"/>
        <v>163</v>
      </c>
      <c r="FJ7" s="334">
        <f t="shared" si="2"/>
        <v>164</v>
      </c>
      <c r="FK7" s="334">
        <f t="shared" si="2"/>
        <v>165</v>
      </c>
      <c r="FL7" s="334">
        <f t="shared" si="2"/>
        <v>166</v>
      </c>
      <c r="FM7" s="334">
        <f t="shared" si="2"/>
        <v>167</v>
      </c>
      <c r="FN7" s="334">
        <f t="shared" si="2"/>
        <v>168</v>
      </c>
      <c r="FO7" s="334">
        <f t="shared" si="2"/>
        <v>169</v>
      </c>
      <c r="FP7" s="334">
        <f t="shared" si="2"/>
        <v>170</v>
      </c>
      <c r="FQ7" s="334">
        <f t="shared" si="2"/>
        <v>171</v>
      </c>
      <c r="FR7" s="334">
        <f t="shared" si="2"/>
        <v>172</v>
      </c>
      <c r="FS7" s="334">
        <f t="shared" si="2"/>
        <v>173</v>
      </c>
      <c r="FT7" s="334">
        <f t="shared" si="2"/>
        <v>174</v>
      </c>
      <c r="FU7" s="334">
        <f t="shared" si="2"/>
        <v>175</v>
      </c>
      <c r="FV7" s="334">
        <f t="shared" si="2"/>
        <v>176</v>
      </c>
      <c r="FW7" s="334">
        <f t="shared" si="2"/>
        <v>177</v>
      </c>
      <c r="FX7" s="334">
        <f t="shared" si="2"/>
        <v>178</v>
      </c>
      <c r="FY7" s="334">
        <f t="shared" si="2"/>
        <v>179</v>
      </c>
      <c r="FZ7" s="334">
        <f t="shared" si="2"/>
        <v>180</v>
      </c>
      <c r="GA7" s="334">
        <f t="shared" si="2"/>
        <v>181</v>
      </c>
      <c r="GB7" s="334">
        <f t="shared" si="2"/>
        <v>182</v>
      </c>
      <c r="GC7" s="334">
        <f t="shared" si="2"/>
        <v>183</v>
      </c>
      <c r="GD7" s="334">
        <f t="shared" si="2"/>
        <v>184</v>
      </c>
      <c r="GE7" s="334">
        <f t="shared" si="2"/>
        <v>185</v>
      </c>
      <c r="GF7" s="334">
        <f t="shared" si="2"/>
        <v>186</v>
      </c>
      <c r="GG7" s="334">
        <f t="shared" si="2"/>
        <v>187</v>
      </c>
      <c r="GH7" s="334">
        <f t="shared" si="2"/>
        <v>188</v>
      </c>
      <c r="GI7" s="334">
        <f t="shared" si="2"/>
        <v>189</v>
      </c>
      <c r="GJ7" s="334">
        <f t="shared" si="2"/>
        <v>190</v>
      </c>
      <c r="GK7" s="334">
        <f t="shared" si="2"/>
        <v>191</v>
      </c>
      <c r="GL7" s="334">
        <f t="shared" si="2"/>
        <v>192</v>
      </c>
      <c r="GM7" s="334">
        <f t="shared" si="2"/>
        <v>193</v>
      </c>
      <c r="GN7" s="334">
        <f t="shared" si="2"/>
        <v>194</v>
      </c>
      <c r="GO7" s="334">
        <f t="shared" si="2"/>
        <v>195</v>
      </c>
      <c r="GP7" s="334">
        <f t="shared" si="2"/>
        <v>196</v>
      </c>
      <c r="GQ7" s="334">
        <f t="shared" si="2"/>
        <v>197</v>
      </c>
      <c r="GR7" s="334">
        <f t="shared" si="2"/>
        <v>198</v>
      </c>
      <c r="GS7" s="334">
        <f t="shared" si="2"/>
        <v>199</v>
      </c>
      <c r="GT7" s="334">
        <f t="shared" ref="GT7:IV7" si="3">GS7+1</f>
        <v>200</v>
      </c>
      <c r="GU7" s="334">
        <f t="shared" si="3"/>
        <v>201</v>
      </c>
      <c r="GV7" s="334">
        <f t="shared" si="3"/>
        <v>202</v>
      </c>
      <c r="GW7" s="334">
        <f t="shared" si="3"/>
        <v>203</v>
      </c>
      <c r="GX7" s="334">
        <f t="shared" si="3"/>
        <v>204</v>
      </c>
      <c r="GY7" s="334">
        <f t="shared" si="3"/>
        <v>205</v>
      </c>
      <c r="GZ7" s="334">
        <f t="shared" si="3"/>
        <v>206</v>
      </c>
      <c r="HA7" s="334">
        <f t="shared" si="3"/>
        <v>207</v>
      </c>
      <c r="HB7" s="334">
        <f t="shared" si="3"/>
        <v>208</v>
      </c>
      <c r="HC7" s="334">
        <f t="shared" si="3"/>
        <v>209</v>
      </c>
      <c r="HD7" s="334">
        <f t="shared" si="3"/>
        <v>210</v>
      </c>
      <c r="HE7" s="334">
        <f t="shared" si="3"/>
        <v>211</v>
      </c>
      <c r="HF7" s="334">
        <f t="shared" si="3"/>
        <v>212</v>
      </c>
      <c r="HG7" s="334">
        <f t="shared" si="3"/>
        <v>213</v>
      </c>
      <c r="HH7" s="334">
        <f t="shared" si="3"/>
        <v>214</v>
      </c>
      <c r="HI7" s="334">
        <f t="shared" si="3"/>
        <v>215</v>
      </c>
      <c r="HJ7" s="334">
        <f t="shared" si="3"/>
        <v>216</v>
      </c>
      <c r="HK7" s="334">
        <f t="shared" si="3"/>
        <v>217</v>
      </c>
      <c r="HL7" s="334">
        <f t="shared" si="3"/>
        <v>218</v>
      </c>
      <c r="HM7" s="334">
        <f t="shared" si="3"/>
        <v>219</v>
      </c>
      <c r="HN7" s="334">
        <f t="shared" si="3"/>
        <v>220</v>
      </c>
      <c r="HO7" s="334">
        <f t="shared" si="3"/>
        <v>221</v>
      </c>
      <c r="HP7" s="334">
        <f t="shared" si="3"/>
        <v>222</v>
      </c>
      <c r="HQ7" s="334">
        <f t="shared" si="3"/>
        <v>223</v>
      </c>
      <c r="HR7" s="334">
        <f t="shared" si="3"/>
        <v>224</v>
      </c>
      <c r="HS7" s="334">
        <f t="shared" si="3"/>
        <v>225</v>
      </c>
      <c r="HT7" s="334">
        <f t="shared" si="3"/>
        <v>226</v>
      </c>
      <c r="HU7" s="334">
        <f t="shared" si="3"/>
        <v>227</v>
      </c>
      <c r="HV7" s="334">
        <f t="shared" si="3"/>
        <v>228</v>
      </c>
      <c r="HW7" s="334">
        <f t="shared" si="3"/>
        <v>229</v>
      </c>
      <c r="HX7" s="334">
        <f t="shared" si="3"/>
        <v>230</v>
      </c>
      <c r="HY7" s="334">
        <f t="shared" si="3"/>
        <v>231</v>
      </c>
      <c r="HZ7" s="334">
        <f t="shared" si="3"/>
        <v>232</v>
      </c>
      <c r="IA7" s="334">
        <f t="shared" si="3"/>
        <v>233</v>
      </c>
      <c r="IB7" s="334">
        <f t="shared" si="3"/>
        <v>234</v>
      </c>
      <c r="IC7" s="334">
        <f t="shared" si="3"/>
        <v>235</v>
      </c>
      <c r="ID7" s="334">
        <f t="shared" si="3"/>
        <v>236</v>
      </c>
      <c r="IE7" s="334">
        <f t="shared" si="3"/>
        <v>237</v>
      </c>
      <c r="IF7" s="334">
        <f t="shared" si="3"/>
        <v>238</v>
      </c>
      <c r="IG7" s="334">
        <f t="shared" si="3"/>
        <v>239</v>
      </c>
      <c r="IH7" s="334">
        <f t="shared" si="3"/>
        <v>240</v>
      </c>
      <c r="II7" s="334">
        <f t="shared" si="3"/>
        <v>241</v>
      </c>
      <c r="IJ7" s="334">
        <f t="shared" si="3"/>
        <v>242</v>
      </c>
      <c r="IK7" s="334">
        <f t="shared" si="3"/>
        <v>243</v>
      </c>
      <c r="IL7" s="334">
        <f t="shared" si="3"/>
        <v>244</v>
      </c>
      <c r="IM7" s="334">
        <f t="shared" si="3"/>
        <v>245</v>
      </c>
      <c r="IN7" s="334">
        <f t="shared" si="3"/>
        <v>246</v>
      </c>
      <c r="IO7" s="334">
        <f t="shared" si="3"/>
        <v>247</v>
      </c>
      <c r="IP7" s="334">
        <f t="shared" si="3"/>
        <v>248</v>
      </c>
      <c r="IQ7" s="334">
        <f t="shared" si="3"/>
        <v>249</v>
      </c>
      <c r="IR7" s="334">
        <f t="shared" si="3"/>
        <v>250</v>
      </c>
      <c r="IS7" s="334">
        <f t="shared" si="3"/>
        <v>251</v>
      </c>
      <c r="IT7" s="334">
        <f t="shared" si="3"/>
        <v>252</v>
      </c>
      <c r="IU7" s="334">
        <f t="shared" si="3"/>
        <v>253</v>
      </c>
      <c r="IV7" s="334">
        <f t="shared" si="3"/>
        <v>254</v>
      </c>
    </row>
    <row r="8" spans="1:256" x14ac:dyDescent="0.15">
      <c r="A8" s="3" t="s">
        <v>518</v>
      </c>
      <c r="B8" s="3">
        <v>-30.2</v>
      </c>
      <c r="C8" s="3">
        <v>5</v>
      </c>
      <c r="D8" s="3">
        <v>5</v>
      </c>
      <c r="E8" s="3">
        <v>5</v>
      </c>
      <c r="F8" s="3">
        <v>5</v>
      </c>
      <c r="G8" s="3">
        <v>5</v>
      </c>
      <c r="H8" s="3">
        <v>6</v>
      </c>
      <c r="I8" s="3">
        <v>6</v>
      </c>
      <c r="J8" s="3">
        <v>6</v>
      </c>
      <c r="K8" s="3">
        <v>6</v>
      </c>
      <c r="L8" s="3">
        <v>6</v>
      </c>
      <c r="M8" s="3">
        <v>6</v>
      </c>
      <c r="N8" s="3">
        <v>6</v>
      </c>
      <c r="O8" s="3">
        <v>6</v>
      </c>
      <c r="P8" s="3">
        <v>6</v>
      </c>
      <c r="Q8" s="3">
        <v>6</v>
      </c>
      <c r="R8" s="3">
        <v>6</v>
      </c>
      <c r="S8" s="3">
        <v>6</v>
      </c>
      <c r="T8" s="3">
        <v>6</v>
      </c>
      <c r="U8" s="3">
        <v>6</v>
      </c>
      <c r="V8" s="3">
        <v>6</v>
      </c>
      <c r="W8" s="3">
        <v>6</v>
      </c>
      <c r="X8" s="3">
        <v>6</v>
      </c>
      <c r="Y8" s="3">
        <v>6</v>
      </c>
      <c r="Z8" s="3">
        <v>6</v>
      </c>
      <c r="AA8" s="3">
        <v>6</v>
      </c>
      <c r="AB8" s="3">
        <v>6</v>
      </c>
      <c r="AC8" s="3">
        <v>6</v>
      </c>
      <c r="AD8" s="3">
        <v>6</v>
      </c>
      <c r="AE8" s="3">
        <v>6</v>
      </c>
      <c r="AF8" s="3">
        <v>6</v>
      </c>
      <c r="AG8" s="3">
        <v>6</v>
      </c>
      <c r="AH8" s="3">
        <v>6</v>
      </c>
      <c r="AI8" s="3">
        <v>6</v>
      </c>
      <c r="AJ8" s="3">
        <v>6</v>
      </c>
      <c r="AK8" s="3">
        <v>6</v>
      </c>
      <c r="AL8" s="3">
        <v>6</v>
      </c>
      <c r="AM8" s="3">
        <v>6</v>
      </c>
      <c r="AN8" s="3">
        <v>6</v>
      </c>
      <c r="AO8" s="3">
        <v>6</v>
      </c>
      <c r="AP8" s="3">
        <v>6</v>
      </c>
      <c r="AQ8" s="3">
        <v>6</v>
      </c>
      <c r="AR8" s="3">
        <v>6</v>
      </c>
      <c r="AS8" s="3">
        <v>6</v>
      </c>
      <c r="AT8" s="3">
        <v>6</v>
      </c>
      <c r="AU8" s="3">
        <v>6</v>
      </c>
      <c r="AV8" s="3">
        <v>6</v>
      </c>
      <c r="AW8" s="3">
        <v>6</v>
      </c>
      <c r="AX8" s="3">
        <v>6</v>
      </c>
      <c r="AY8" s="3">
        <v>6</v>
      </c>
      <c r="AZ8" s="3">
        <v>6</v>
      </c>
      <c r="BA8" s="3">
        <v>6</v>
      </c>
      <c r="BB8" s="3">
        <v>6</v>
      </c>
      <c r="BC8" s="3">
        <v>6</v>
      </c>
      <c r="BD8" s="3">
        <v>6</v>
      </c>
      <c r="BE8" s="3">
        <v>6</v>
      </c>
      <c r="BF8" s="3">
        <v>6</v>
      </c>
      <c r="BG8" s="3">
        <v>6</v>
      </c>
      <c r="BH8" s="3">
        <v>6</v>
      </c>
      <c r="BI8" s="3">
        <v>6</v>
      </c>
      <c r="BJ8" s="3">
        <v>6</v>
      </c>
      <c r="BK8" s="3">
        <v>6</v>
      </c>
      <c r="BL8" s="3">
        <v>6</v>
      </c>
      <c r="BM8" s="3">
        <v>6</v>
      </c>
      <c r="BN8" s="3">
        <v>6</v>
      </c>
      <c r="BO8" s="3">
        <v>6</v>
      </c>
      <c r="BP8" s="3">
        <v>6</v>
      </c>
      <c r="BQ8" s="3">
        <v>6</v>
      </c>
      <c r="BR8" s="3">
        <v>6</v>
      </c>
      <c r="BS8" s="3">
        <v>6</v>
      </c>
      <c r="BT8" s="3">
        <v>6</v>
      </c>
      <c r="BU8" s="3">
        <v>6</v>
      </c>
      <c r="BV8" s="3">
        <v>6</v>
      </c>
      <c r="BW8" s="3">
        <v>6</v>
      </c>
      <c r="BX8" s="3">
        <v>6</v>
      </c>
      <c r="BY8" s="3">
        <v>6</v>
      </c>
      <c r="BZ8" s="3">
        <v>6</v>
      </c>
      <c r="CA8" s="3">
        <v>6</v>
      </c>
      <c r="CB8" s="3">
        <v>6</v>
      </c>
      <c r="CC8" s="3">
        <v>6</v>
      </c>
      <c r="CD8" s="3">
        <v>6</v>
      </c>
      <c r="CE8" s="3">
        <v>6</v>
      </c>
      <c r="CF8" s="3">
        <v>6</v>
      </c>
      <c r="CG8" s="3">
        <v>6</v>
      </c>
      <c r="CH8" s="3">
        <v>6</v>
      </c>
      <c r="CI8" s="3">
        <v>6</v>
      </c>
      <c r="CJ8" s="3">
        <v>6</v>
      </c>
      <c r="CK8" s="3">
        <v>6</v>
      </c>
      <c r="CL8" s="3">
        <v>6</v>
      </c>
      <c r="CM8" s="3">
        <v>6</v>
      </c>
      <c r="CN8" s="3">
        <v>6</v>
      </c>
      <c r="CO8" s="3">
        <v>6</v>
      </c>
      <c r="CP8" s="3">
        <v>6</v>
      </c>
      <c r="CQ8" s="3">
        <v>6</v>
      </c>
      <c r="CR8" s="3">
        <v>6</v>
      </c>
      <c r="CS8" s="3">
        <v>6</v>
      </c>
      <c r="CT8" s="3">
        <v>6</v>
      </c>
      <c r="CU8" s="3">
        <v>6</v>
      </c>
      <c r="CV8" s="3">
        <v>6</v>
      </c>
      <c r="CW8" s="3">
        <v>6</v>
      </c>
      <c r="CX8" s="3">
        <v>6</v>
      </c>
      <c r="CY8" s="3">
        <v>6</v>
      </c>
      <c r="CZ8" s="3">
        <v>6</v>
      </c>
      <c r="DA8" s="3">
        <v>6</v>
      </c>
      <c r="DB8" s="3">
        <v>6</v>
      </c>
      <c r="DC8" s="3">
        <v>6</v>
      </c>
      <c r="DD8" s="3">
        <v>6</v>
      </c>
      <c r="DE8" s="3">
        <v>6</v>
      </c>
      <c r="DF8" s="3">
        <v>6</v>
      </c>
      <c r="DG8" s="3">
        <v>6</v>
      </c>
      <c r="DH8" s="3">
        <v>6</v>
      </c>
      <c r="DI8" s="3">
        <v>6</v>
      </c>
      <c r="DJ8" s="3">
        <v>6</v>
      </c>
      <c r="DK8" s="3">
        <v>6</v>
      </c>
      <c r="DL8" s="3">
        <v>6</v>
      </c>
      <c r="DM8" s="3">
        <v>6</v>
      </c>
      <c r="DN8" s="3">
        <v>6</v>
      </c>
      <c r="DO8" s="3">
        <v>6</v>
      </c>
      <c r="DP8" s="3">
        <v>6</v>
      </c>
      <c r="DQ8" s="3">
        <v>6</v>
      </c>
      <c r="DR8" s="3">
        <v>6</v>
      </c>
      <c r="DS8" s="3">
        <v>6</v>
      </c>
      <c r="DT8" s="3">
        <v>6</v>
      </c>
      <c r="DU8" s="3">
        <v>6</v>
      </c>
      <c r="DV8" s="3">
        <v>6</v>
      </c>
      <c r="DW8" s="3">
        <v>6</v>
      </c>
      <c r="DX8" s="3">
        <v>6</v>
      </c>
      <c r="DY8" s="3">
        <v>6</v>
      </c>
      <c r="DZ8" s="3">
        <v>6</v>
      </c>
      <c r="EA8" s="3">
        <v>6</v>
      </c>
      <c r="EB8" s="3">
        <v>6</v>
      </c>
      <c r="EC8" s="3">
        <v>6</v>
      </c>
      <c r="ED8" s="3">
        <v>6</v>
      </c>
      <c r="EE8" s="3">
        <v>6</v>
      </c>
      <c r="EF8" s="3">
        <v>6</v>
      </c>
      <c r="EG8" s="3">
        <v>6</v>
      </c>
      <c r="EH8" s="3">
        <v>6</v>
      </c>
      <c r="EI8" s="3">
        <v>6</v>
      </c>
      <c r="EJ8" s="3">
        <v>6</v>
      </c>
      <c r="EK8" s="3">
        <v>6</v>
      </c>
      <c r="EL8" s="3">
        <v>6</v>
      </c>
      <c r="EM8" s="3">
        <v>6</v>
      </c>
      <c r="EN8" s="3">
        <v>6</v>
      </c>
      <c r="EO8" s="3">
        <v>6</v>
      </c>
      <c r="EP8" s="3">
        <v>6</v>
      </c>
      <c r="EQ8" s="3">
        <v>6</v>
      </c>
      <c r="ER8" s="3">
        <v>6</v>
      </c>
      <c r="ES8" s="3">
        <v>6</v>
      </c>
      <c r="ET8" s="3">
        <v>6</v>
      </c>
      <c r="EU8" s="3">
        <v>6</v>
      </c>
      <c r="EV8" s="3">
        <v>6</v>
      </c>
      <c r="EW8" s="3">
        <v>6</v>
      </c>
      <c r="EX8" s="3">
        <v>6</v>
      </c>
      <c r="EY8" s="3">
        <v>6</v>
      </c>
      <c r="EZ8" s="3">
        <v>6</v>
      </c>
      <c r="FA8" s="3">
        <v>6</v>
      </c>
      <c r="FB8" s="3">
        <v>6</v>
      </c>
      <c r="FC8" s="3">
        <v>6</v>
      </c>
      <c r="FD8" s="3">
        <v>6</v>
      </c>
      <c r="FE8" s="3">
        <v>6</v>
      </c>
      <c r="FF8" s="3">
        <v>6</v>
      </c>
      <c r="FG8" s="3">
        <v>6</v>
      </c>
      <c r="FH8" s="3">
        <v>6</v>
      </c>
      <c r="FI8" s="3">
        <v>6</v>
      </c>
      <c r="FJ8" s="3">
        <v>6</v>
      </c>
      <c r="FK8" s="3">
        <v>6</v>
      </c>
      <c r="FL8" s="3">
        <v>6</v>
      </c>
      <c r="FM8" s="3">
        <v>6</v>
      </c>
      <c r="FN8" s="3">
        <v>6</v>
      </c>
      <c r="FO8" s="3">
        <v>6</v>
      </c>
      <c r="FP8" s="3">
        <v>6</v>
      </c>
      <c r="FQ8" s="3">
        <v>6</v>
      </c>
      <c r="FR8" s="3">
        <v>6</v>
      </c>
      <c r="FS8" s="3">
        <v>6</v>
      </c>
      <c r="FT8" s="3">
        <v>6</v>
      </c>
      <c r="FU8" s="3">
        <v>6</v>
      </c>
      <c r="FV8" s="3">
        <v>6</v>
      </c>
      <c r="FW8" s="3">
        <v>6</v>
      </c>
      <c r="FX8" s="3">
        <v>6</v>
      </c>
      <c r="FY8" s="3">
        <v>6</v>
      </c>
      <c r="FZ8" s="3">
        <v>6</v>
      </c>
      <c r="GA8" s="3">
        <v>6</v>
      </c>
      <c r="GB8" s="3">
        <v>6</v>
      </c>
      <c r="GC8" s="3">
        <v>6</v>
      </c>
      <c r="GD8" s="3">
        <v>6</v>
      </c>
      <c r="GE8" s="3">
        <v>6</v>
      </c>
      <c r="GF8" s="3">
        <v>6</v>
      </c>
      <c r="GG8" s="3">
        <v>6</v>
      </c>
      <c r="GH8" s="3">
        <v>6</v>
      </c>
      <c r="GI8" s="3">
        <v>6</v>
      </c>
      <c r="GJ8" s="3">
        <v>6</v>
      </c>
      <c r="GK8" s="3">
        <v>6</v>
      </c>
      <c r="GL8" s="3">
        <v>6</v>
      </c>
      <c r="GM8" s="3">
        <v>6</v>
      </c>
      <c r="GN8" s="3">
        <v>6</v>
      </c>
      <c r="GO8" s="3">
        <v>6</v>
      </c>
      <c r="GP8" s="3">
        <v>6</v>
      </c>
      <c r="GQ8" s="3">
        <v>6</v>
      </c>
      <c r="GR8" s="3">
        <v>6</v>
      </c>
      <c r="GS8" s="3">
        <v>6</v>
      </c>
      <c r="GT8" s="3">
        <v>6</v>
      </c>
      <c r="GU8" s="3">
        <v>6</v>
      </c>
      <c r="GV8" s="3">
        <v>6</v>
      </c>
      <c r="GW8" s="3">
        <v>6</v>
      </c>
      <c r="GX8" s="3">
        <v>6</v>
      </c>
      <c r="GY8" s="3">
        <v>6</v>
      </c>
      <c r="GZ8" s="3">
        <v>6</v>
      </c>
      <c r="HA8" s="3">
        <v>6</v>
      </c>
      <c r="HB8" s="3">
        <v>6</v>
      </c>
      <c r="HC8" s="3">
        <v>6</v>
      </c>
      <c r="HD8" s="3">
        <v>6</v>
      </c>
      <c r="HE8" s="3">
        <v>6</v>
      </c>
      <c r="HF8" s="3">
        <v>6</v>
      </c>
      <c r="HG8" s="3">
        <v>6</v>
      </c>
      <c r="HH8" s="3">
        <v>6</v>
      </c>
      <c r="HI8" s="3">
        <v>6</v>
      </c>
      <c r="HJ8" s="3">
        <v>6</v>
      </c>
      <c r="HK8" s="3">
        <v>6</v>
      </c>
      <c r="HL8" s="3">
        <v>6</v>
      </c>
      <c r="HM8" s="3">
        <v>6</v>
      </c>
      <c r="HN8" s="3">
        <v>6</v>
      </c>
      <c r="HO8" s="3">
        <v>6</v>
      </c>
      <c r="HP8" s="3">
        <v>6</v>
      </c>
      <c r="HQ8" s="3">
        <v>6</v>
      </c>
      <c r="HR8" s="3">
        <v>6</v>
      </c>
      <c r="HS8" s="3">
        <v>6</v>
      </c>
      <c r="HT8" s="3">
        <v>6</v>
      </c>
      <c r="HU8" s="3">
        <v>6</v>
      </c>
      <c r="HV8" s="3">
        <v>6</v>
      </c>
      <c r="HW8" s="3">
        <v>6</v>
      </c>
      <c r="HX8" s="3">
        <v>6</v>
      </c>
      <c r="HY8" s="3">
        <v>6</v>
      </c>
      <c r="HZ8" s="3">
        <v>6</v>
      </c>
      <c r="IA8" s="3">
        <v>6</v>
      </c>
      <c r="IB8" s="3">
        <v>6</v>
      </c>
      <c r="IC8" s="3">
        <v>6</v>
      </c>
      <c r="ID8" s="3">
        <v>6</v>
      </c>
      <c r="IE8" s="3">
        <v>6</v>
      </c>
      <c r="IF8" s="3">
        <v>6</v>
      </c>
      <c r="IG8" s="3">
        <v>6</v>
      </c>
      <c r="IH8" s="3">
        <v>6</v>
      </c>
      <c r="II8" s="3">
        <v>6</v>
      </c>
      <c r="IJ8" s="3">
        <v>6</v>
      </c>
      <c r="IK8" s="3">
        <v>6</v>
      </c>
      <c r="IL8" s="3">
        <v>6</v>
      </c>
      <c r="IM8" s="3">
        <v>6</v>
      </c>
      <c r="IN8" s="3">
        <v>6</v>
      </c>
      <c r="IO8" s="3">
        <v>6</v>
      </c>
      <c r="IP8" s="3">
        <v>6</v>
      </c>
      <c r="IQ8" s="3">
        <v>6</v>
      </c>
      <c r="IR8" s="3">
        <v>6</v>
      </c>
      <c r="IS8" s="3">
        <v>6</v>
      </c>
      <c r="IT8" s="3">
        <v>6</v>
      </c>
      <c r="IU8" s="3">
        <v>6</v>
      </c>
      <c r="IV8" s="3">
        <v>6</v>
      </c>
    </row>
    <row r="9" spans="1:256" x14ac:dyDescent="0.15">
      <c r="A9" s="3" t="s">
        <v>353</v>
      </c>
      <c r="B9" s="74" t="s">
        <v>353</v>
      </c>
      <c r="C9" s="74" t="s">
        <v>353</v>
      </c>
      <c r="D9" s="74" t="s">
        <v>353</v>
      </c>
      <c r="E9" s="74" t="s">
        <v>353</v>
      </c>
      <c r="F9" s="74" t="s">
        <v>353</v>
      </c>
      <c r="G9" s="74" t="s">
        <v>353</v>
      </c>
      <c r="H9" s="74" t="s">
        <v>353</v>
      </c>
    </row>
    <row r="10" spans="1:256" x14ac:dyDescent="0.15">
      <c r="A10" s="7" t="s">
        <v>598</v>
      </c>
      <c r="B10" s="111">
        <f>IRR(B8:IS8)</f>
        <v>0.18003460677684546</v>
      </c>
    </row>
    <row r="11" spans="1:256" x14ac:dyDescent="0.15">
      <c r="A11" s="3" t="s">
        <v>353</v>
      </c>
      <c r="B11" s="102" t="s">
        <v>353</v>
      </c>
    </row>
    <row r="13" spans="1:256" ht="15" x14ac:dyDescent="0.15">
      <c r="A13" s="8" t="s">
        <v>1237</v>
      </c>
    </row>
    <row r="14" spans="1:256" ht="30" x14ac:dyDescent="0.15">
      <c r="A14" s="70" t="s">
        <v>787</v>
      </c>
      <c r="B14" s="74">
        <v>1000</v>
      </c>
    </row>
    <row r="15" spans="1:256" ht="15" x14ac:dyDescent="0.15">
      <c r="A15" s="70" t="s">
        <v>788</v>
      </c>
      <c r="B15" s="74">
        <v>1037.9000000000001</v>
      </c>
    </row>
    <row r="16" spans="1:256" ht="15" x14ac:dyDescent="0.15">
      <c r="A16" s="70" t="s">
        <v>789</v>
      </c>
      <c r="B16" s="104">
        <v>0.11</v>
      </c>
    </row>
    <row r="18" spans="1:7" x14ac:dyDescent="0.15">
      <c r="A18" s="60" t="s">
        <v>766</v>
      </c>
    </row>
    <row r="19" spans="1:7" ht="15" x14ac:dyDescent="0.15">
      <c r="A19" s="384" t="s">
        <v>718</v>
      </c>
      <c r="B19" s="334">
        <v>0</v>
      </c>
      <c r="C19" s="334">
        <v>1</v>
      </c>
      <c r="D19" s="334">
        <v>2</v>
      </c>
      <c r="E19" s="334">
        <v>3</v>
      </c>
      <c r="F19" s="334">
        <v>4</v>
      </c>
      <c r="G19" s="334">
        <v>5</v>
      </c>
    </row>
    <row r="20" spans="1:7" ht="15" x14ac:dyDescent="0.15">
      <c r="A20" s="70" t="s">
        <v>786</v>
      </c>
      <c r="B20" s="74">
        <f>-B15</f>
        <v>-1037.9000000000001</v>
      </c>
      <c r="C20" s="74">
        <v>110</v>
      </c>
      <c r="D20" s="3">
        <v>110</v>
      </c>
      <c r="E20" s="3">
        <v>110</v>
      </c>
      <c r="F20" s="3">
        <v>110</v>
      </c>
      <c r="G20" s="3">
        <v>1110</v>
      </c>
    </row>
    <row r="21" spans="1:7" ht="15" x14ac:dyDescent="0.15">
      <c r="A21" s="70" t="s">
        <v>790</v>
      </c>
      <c r="B21" s="74" t="s">
        <v>353</v>
      </c>
      <c r="C21" s="74" t="s">
        <v>353</v>
      </c>
    </row>
    <row r="22" spans="1:7" ht="15" x14ac:dyDescent="0.15">
      <c r="A22" s="76" t="s">
        <v>600</v>
      </c>
      <c r="B22" s="110">
        <f>IRR(B20:G20)</f>
        <v>0.10000202377975009</v>
      </c>
    </row>
    <row r="23" spans="1:7" ht="15" x14ac:dyDescent="0.15">
      <c r="A23" s="70" t="s">
        <v>353</v>
      </c>
      <c r="B23" s="74" t="s">
        <v>353</v>
      </c>
    </row>
    <row r="25" spans="1:7" ht="15" x14ac:dyDescent="0.15">
      <c r="A25" s="8" t="s">
        <v>196</v>
      </c>
    </row>
    <row r="26" spans="1:7" ht="15" x14ac:dyDescent="0.15">
      <c r="A26" s="70" t="s">
        <v>791</v>
      </c>
      <c r="B26" s="3">
        <v>1000</v>
      </c>
    </row>
    <row r="28" spans="1:7" x14ac:dyDescent="0.15">
      <c r="A28" s="3" t="s">
        <v>598</v>
      </c>
      <c r="B28" s="104">
        <f>B10</f>
        <v>0.18003460677684546</v>
      </c>
    </row>
    <row r="29" spans="1:7" x14ac:dyDescent="0.15">
      <c r="A29" s="3" t="s">
        <v>604</v>
      </c>
      <c r="B29" s="74">
        <f>B26*B2</f>
        <v>30200</v>
      </c>
    </row>
    <row r="30" spans="1:7" x14ac:dyDescent="0.15">
      <c r="A30" s="3" t="s">
        <v>600</v>
      </c>
      <c r="B30" s="104">
        <f>B22</f>
        <v>0.10000202377975009</v>
      </c>
    </row>
    <row r="31" spans="1:7" x14ac:dyDescent="0.15">
      <c r="A31" s="3" t="s">
        <v>605</v>
      </c>
      <c r="B31" s="74">
        <f>B15</f>
        <v>1037.9000000000001</v>
      </c>
    </row>
    <row r="32" spans="1:7" x14ac:dyDescent="0.15">
      <c r="A32" s="3" t="s">
        <v>905</v>
      </c>
      <c r="B32" s="80">
        <v>0.34</v>
      </c>
    </row>
    <row r="33" spans="1:4" x14ac:dyDescent="0.15">
      <c r="A33" s="7" t="s">
        <v>601</v>
      </c>
      <c r="B33" s="110">
        <f>(B28*B29+B30*(1-B32)*B31)/(B29+B31)</f>
        <v>0.17624577551558185</v>
      </c>
      <c r="C33" s="103"/>
    </row>
    <row r="35" spans="1:4" ht="15" x14ac:dyDescent="0.15">
      <c r="A35" s="8" t="s">
        <v>160</v>
      </c>
    </row>
    <row r="36" spans="1:4" x14ac:dyDescent="0.15">
      <c r="B36" s="82" t="s">
        <v>793</v>
      </c>
      <c r="C36" s="82" t="s">
        <v>77</v>
      </c>
    </row>
    <row r="37" spans="1:4" ht="15" x14ac:dyDescent="0.15">
      <c r="A37" s="70" t="s">
        <v>792</v>
      </c>
      <c r="B37" s="74">
        <v>10000</v>
      </c>
      <c r="C37" s="74">
        <v>1000</v>
      </c>
    </row>
    <row r="38" spans="1:4" ht="15" x14ac:dyDescent="0.15">
      <c r="A38" s="70" t="s">
        <v>469</v>
      </c>
      <c r="B38" s="74">
        <v>12000</v>
      </c>
      <c r="C38" s="74">
        <v>1000</v>
      </c>
    </row>
    <row r="39" spans="1:4" ht="30" x14ac:dyDescent="0.15">
      <c r="A39" s="70" t="s">
        <v>796</v>
      </c>
      <c r="B39" s="74">
        <v>1800</v>
      </c>
      <c r="C39" s="74">
        <v>100</v>
      </c>
    </row>
    <row r="41" spans="1:4" x14ac:dyDescent="0.15">
      <c r="A41" s="60" t="s">
        <v>797</v>
      </c>
      <c r="D41" s="7" t="s">
        <v>938</v>
      </c>
    </row>
    <row r="42" spans="1:4" x14ac:dyDescent="0.15">
      <c r="B42" s="104">
        <f>B39/B38</f>
        <v>0.15</v>
      </c>
      <c r="C42" s="104">
        <f>C39/C38</f>
        <v>0.1</v>
      </c>
      <c r="D42" s="152">
        <f>SUM(B39:C39)/SUM(B38:C38)</f>
        <v>0.14615384615384616</v>
      </c>
    </row>
    <row r="44" spans="1:4" ht="15" x14ac:dyDescent="0.15">
      <c r="A44" s="8" t="s">
        <v>174</v>
      </c>
    </row>
    <row r="45" spans="1:4" x14ac:dyDescent="0.15">
      <c r="A45" s="3" t="s">
        <v>798</v>
      </c>
      <c r="B45" s="3">
        <v>100</v>
      </c>
    </row>
    <row r="46" spans="1:4" x14ac:dyDescent="0.15">
      <c r="A46" s="3" t="s">
        <v>799</v>
      </c>
      <c r="B46" s="3">
        <v>26</v>
      </c>
    </row>
    <row r="47" spans="1:4" x14ac:dyDescent="0.15">
      <c r="A47" s="3" t="s">
        <v>189</v>
      </c>
      <c r="B47" s="80">
        <v>0.25</v>
      </c>
    </row>
    <row r="48" spans="1:4" x14ac:dyDescent="0.15">
      <c r="A48" s="60" t="s">
        <v>800</v>
      </c>
    </row>
    <row r="49" spans="1:4" x14ac:dyDescent="0.15">
      <c r="B49" s="83" t="s">
        <v>801</v>
      </c>
      <c r="C49" s="83" t="s">
        <v>802</v>
      </c>
      <c r="D49" s="83" t="s">
        <v>803</v>
      </c>
    </row>
    <row r="50" spans="1:4" x14ac:dyDescent="0.15">
      <c r="A50" s="3" t="s">
        <v>793</v>
      </c>
      <c r="B50" s="80">
        <v>0.6</v>
      </c>
      <c r="C50" s="80">
        <v>0.12</v>
      </c>
      <c r="D50" s="80">
        <v>0.12</v>
      </c>
    </row>
    <row r="51" spans="1:4" x14ac:dyDescent="0.15">
      <c r="A51" s="3" t="s">
        <v>77</v>
      </c>
      <c r="B51" s="80">
        <v>0.4</v>
      </c>
      <c r="C51" s="80">
        <v>0.04</v>
      </c>
      <c r="D51" s="80">
        <v>0.03</v>
      </c>
    </row>
    <row r="52" spans="1:4" x14ac:dyDescent="0.15">
      <c r="B52" s="80"/>
      <c r="C52" s="80"/>
      <c r="D52" s="80"/>
    </row>
    <row r="53" spans="1:4" x14ac:dyDescent="0.15">
      <c r="A53" s="3" t="s">
        <v>793</v>
      </c>
      <c r="B53" s="74"/>
      <c r="C53" s="74">
        <f>B46-C54</f>
        <v>24.4</v>
      </c>
      <c r="D53" s="74">
        <f>C53*(1-B47)</f>
        <v>18.299999999999997</v>
      </c>
    </row>
    <row r="54" spans="1:4" x14ac:dyDescent="0.15">
      <c r="A54" s="3" t="s">
        <v>77</v>
      </c>
      <c r="B54" s="74">
        <f>B45*B51</f>
        <v>40</v>
      </c>
      <c r="C54" s="74">
        <f>B54*C51</f>
        <v>1.6</v>
      </c>
      <c r="D54" s="74">
        <f>C54</f>
        <v>1.6</v>
      </c>
    </row>
    <row r="55" spans="1:4" x14ac:dyDescent="0.15">
      <c r="A55" s="3" t="s">
        <v>398</v>
      </c>
      <c r="B55" s="80"/>
      <c r="C55" s="74">
        <f>SUM(C53:C54)</f>
        <v>26</v>
      </c>
      <c r="D55" s="74">
        <f>SUM(D53:D54)</f>
        <v>19.899999999999999</v>
      </c>
    </row>
    <row r="57" spans="1:4" x14ac:dyDescent="0.15">
      <c r="A57" s="60" t="s">
        <v>511</v>
      </c>
    </row>
    <row r="58" spans="1:4" x14ac:dyDescent="0.15">
      <c r="A58" s="3" t="s">
        <v>718</v>
      </c>
      <c r="B58" s="3">
        <v>0</v>
      </c>
      <c r="C58" s="3">
        <v>0</v>
      </c>
    </row>
    <row r="59" spans="1:4" x14ac:dyDescent="0.15">
      <c r="A59" s="3" t="s">
        <v>804</v>
      </c>
      <c r="B59" s="74">
        <f>-B$45</f>
        <v>-100</v>
      </c>
      <c r="C59" s="74">
        <f>SUM($C53:$C54)/B60</f>
        <v>295.4545454545455</v>
      </c>
    </row>
    <row r="60" spans="1:4" x14ac:dyDescent="0.15">
      <c r="A60" s="7" t="s">
        <v>601</v>
      </c>
      <c r="B60" s="111">
        <f>B50*C50+B51*C51</f>
        <v>8.7999999999999995E-2</v>
      </c>
      <c r="C60" s="146"/>
    </row>
    <row r="61" spans="1:4" x14ac:dyDescent="0.15">
      <c r="A61" s="7" t="s">
        <v>779</v>
      </c>
      <c r="B61" s="184">
        <f>SUMPRODUCT(B59:C59,POWER(1+B60,-B58:C58))</f>
        <v>195.4545454545455</v>
      </c>
      <c r="C61" s="146"/>
    </row>
    <row r="62" spans="1:4" x14ac:dyDescent="0.15">
      <c r="C62" s="146"/>
    </row>
    <row r="63" spans="1:4" x14ac:dyDescent="0.15">
      <c r="A63" s="3" t="s">
        <v>805</v>
      </c>
      <c r="B63" s="74">
        <f>-B$45</f>
        <v>-100</v>
      </c>
      <c r="C63" s="74">
        <f>B46*(1-B47)/B64</f>
        <v>232.14285714285717</v>
      </c>
    </row>
    <row r="64" spans="1:4" x14ac:dyDescent="0.15">
      <c r="A64" s="7" t="s">
        <v>601</v>
      </c>
      <c r="B64" s="111">
        <f>B50*D50+B51*D51</f>
        <v>8.3999999999999991E-2</v>
      </c>
    </row>
    <row r="65" spans="1:4" x14ac:dyDescent="0.15">
      <c r="A65" s="7" t="s">
        <v>780</v>
      </c>
      <c r="B65" s="184">
        <f>B63+C63</f>
        <v>132.14285714285717</v>
      </c>
    </row>
    <row r="67" spans="1:4" ht="15" x14ac:dyDescent="0.15">
      <c r="A67" s="8" t="s">
        <v>806</v>
      </c>
    </row>
    <row r="68" spans="1:4" ht="24" x14ac:dyDescent="0.15">
      <c r="A68" s="334"/>
      <c r="B68" s="364" t="s">
        <v>1404</v>
      </c>
      <c r="C68" s="364" t="s">
        <v>807</v>
      </c>
      <c r="D68" s="364" t="s">
        <v>808</v>
      </c>
    </row>
    <row r="69" spans="1:4" ht="30" x14ac:dyDescent="0.15">
      <c r="A69" s="70" t="s">
        <v>809</v>
      </c>
      <c r="B69" s="166">
        <v>2160</v>
      </c>
      <c r="C69" s="166">
        <v>18500</v>
      </c>
      <c r="D69" s="166">
        <v>632</v>
      </c>
    </row>
    <row r="70" spans="1:4" ht="15" x14ac:dyDescent="0.15">
      <c r="A70" s="70" t="s">
        <v>793</v>
      </c>
      <c r="B70" s="166">
        <v>1580</v>
      </c>
      <c r="C70" s="166">
        <v>10512</v>
      </c>
      <c r="D70" s="166">
        <v>824</v>
      </c>
    </row>
    <row r="71" spans="1:4" ht="15" x14ac:dyDescent="0.15">
      <c r="A71" s="70" t="s">
        <v>77</v>
      </c>
      <c r="B71" s="166">
        <v>812</v>
      </c>
      <c r="C71" s="166">
        <v>-12</v>
      </c>
      <c r="D71" s="166">
        <v>1356</v>
      </c>
    </row>
    <row r="72" spans="1:4" ht="15" x14ac:dyDescent="0.15">
      <c r="A72" s="70" t="s">
        <v>765</v>
      </c>
      <c r="B72" s="166">
        <v>22210</v>
      </c>
      <c r="C72" s="166">
        <v>23724</v>
      </c>
      <c r="D72" s="166">
        <v>701</v>
      </c>
    </row>
    <row r="73" spans="1:4" ht="15" x14ac:dyDescent="0.15">
      <c r="A73" s="70" t="s">
        <v>810</v>
      </c>
      <c r="B73" s="166">
        <v>405</v>
      </c>
      <c r="C73" s="166">
        <v>1625</v>
      </c>
      <c r="D73" s="166">
        <v>82</v>
      </c>
    </row>
    <row r="74" spans="1:4" ht="15" x14ac:dyDescent="0.15">
      <c r="A74" s="70" t="s">
        <v>1051</v>
      </c>
      <c r="B74" s="166">
        <v>226</v>
      </c>
      <c r="C74" s="166">
        <v>1057</v>
      </c>
      <c r="D74" s="166">
        <v>-24</v>
      </c>
    </row>
    <row r="75" spans="1:4" ht="15" x14ac:dyDescent="0.15">
      <c r="A75" s="70" t="s">
        <v>812</v>
      </c>
      <c r="B75" s="3">
        <v>0.8</v>
      </c>
      <c r="C75" s="3">
        <v>0.5</v>
      </c>
      <c r="D75" s="3">
        <v>1.2</v>
      </c>
    </row>
    <row r="76" spans="1:4" ht="15" x14ac:dyDescent="0.15">
      <c r="A76" s="70" t="s">
        <v>811</v>
      </c>
      <c r="B76" s="3">
        <v>0.1</v>
      </c>
      <c r="C76" s="3">
        <v>0</v>
      </c>
      <c r="D76" s="3">
        <v>0.3</v>
      </c>
    </row>
    <row r="77" spans="1:4" ht="15" x14ac:dyDescent="0.15">
      <c r="A77" s="70" t="s">
        <v>189</v>
      </c>
      <c r="B77" s="80">
        <v>0.25</v>
      </c>
      <c r="C77" s="80">
        <v>0.25</v>
      </c>
      <c r="D77" s="80">
        <v>0.25</v>
      </c>
    </row>
    <row r="79" spans="1:4" ht="15" x14ac:dyDescent="0.15">
      <c r="A79" s="70" t="s">
        <v>813</v>
      </c>
      <c r="B79" s="55">
        <v>5.0000000000000001E-3</v>
      </c>
    </row>
    <row r="80" spans="1:4" ht="15" x14ac:dyDescent="0.15">
      <c r="A80" s="70" t="s">
        <v>814</v>
      </c>
      <c r="B80" s="55">
        <v>0.08</v>
      </c>
    </row>
    <row r="82" spans="1:5" x14ac:dyDescent="0.15">
      <c r="A82" s="334"/>
      <c r="B82" s="334"/>
      <c r="C82" s="334"/>
      <c r="D82" s="334"/>
      <c r="E82" s="364" t="s">
        <v>815</v>
      </c>
    </row>
    <row r="83" spans="1:5" x14ac:dyDescent="0.15">
      <c r="A83" s="3" t="s">
        <v>598</v>
      </c>
      <c r="B83" s="248">
        <f>$B79+B75*($B80-$B79)</f>
        <v>6.5000000000000002E-2</v>
      </c>
      <c r="C83" s="248">
        <f>$B79+C75*($B80-$B79)</f>
        <v>4.2499999999999996E-2</v>
      </c>
      <c r="D83" s="248">
        <f>$B79+D75*($B80-$B79)</f>
        <v>9.5000000000000001E-2</v>
      </c>
      <c r="E83" s="248">
        <f>SUMPRODUCT(B83:D83,B69:D69)/SUM(B69:D69)</f>
        <v>4.634087920345669E-2</v>
      </c>
    </row>
    <row r="84" spans="1:5" x14ac:dyDescent="0.15">
      <c r="A84" s="3" t="s">
        <v>600</v>
      </c>
      <c r="B84" s="248">
        <f>($B79+B76*($B80-$B79))*(1-B77)</f>
        <v>9.3750000000000014E-3</v>
      </c>
      <c r="C84" s="248">
        <f>($B79+C76*($B80-$B79))*(1-C77)</f>
        <v>3.7499999999999999E-3</v>
      </c>
      <c r="D84" s="248">
        <f>($B79+D76*($B80-$B79))*(1-D77)</f>
        <v>2.0625000000000001E-2</v>
      </c>
      <c r="E84" s="248">
        <f>SUMPRODUCT(B84:D84,B71:D71)/SUM(B71:D71)</f>
        <v>1.6481910946196662E-2</v>
      </c>
    </row>
    <row r="85" spans="1:5" x14ac:dyDescent="0.15">
      <c r="A85" s="7" t="s">
        <v>601</v>
      </c>
      <c r="B85" s="248">
        <f>(B83*B69+B84*B71)/(B69+B71)</f>
        <v>4.9802321668909834E-2</v>
      </c>
      <c r="C85" s="248">
        <f>(C83*C69+C84*C71)/(C69+C71)</f>
        <v>4.2525151449588919E-2</v>
      </c>
      <c r="D85" s="248">
        <f>(D83*D69+D84*D71)/(D69+D71)</f>
        <v>4.4269366197183094E-2</v>
      </c>
      <c r="E85" s="385">
        <f>SUMPRODUCT(B85:D85,B69:D69+B71:D71)/SUM(B69:D69,B71:D71)</f>
        <v>4.3595402592971677E-2</v>
      </c>
    </row>
    <row r="90" spans="1:5" x14ac:dyDescent="0.15">
      <c r="A90" s="70"/>
    </row>
    <row r="91" spans="1:5" x14ac:dyDescent="0.15">
      <c r="A91" s="70"/>
      <c r="B91" s="50"/>
      <c r="C91" s="50"/>
      <c r="D91" s="50"/>
    </row>
    <row r="93" spans="1:5" x14ac:dyDescent="0.15">
      <c r="A93" s="70"/>
    </row>
    <row r="94" spans="1:5" x14ac:dyDescent="0.15">
      <c r="A94" s="76"/>
      <c r="B94" s="116"/>
    </row>
  </sheetData>
  <phoneticPr fontId="4" type="noConversion"/>
  <pageMargins left="0.78740157480314965" right="0.78740157480314965" top="0.98425196850393704" bottom="0.98425196850393704" header="0.51181102362204722" footer="0.51181102362204722"/>
  <pageSetup paperSize="9" scale="10"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ignoredErrors>
    <ignoredError sqref="B10" formulaRange="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euil34"/>
  <dimension ref="A1:F32"/>
  <sheetViews>
    <sheetView showGridLines="0" workbookViewId="0">
      <selection activeCell="A18" sqref="A18:F32"/>
    </sheetView>
  </sheetViews>
  <sheetFormatPr baseColWidth="10" defaultColWidth="11" defaultRowHeight="14" x14ac:dyDescent="0.15"/>
  <cols>
    <col min="1" max="1" width="16.83203125" style="3" customWidth="1"/>
    <col min="2" max="16384" width="11" style="3"/>
  </cols>
  <sheetData>
    <row r="1" spans="1:4" ht="15" x14ac:dyDescent="0.15">
      <c r="A1" s="1" t="s">
        <v>995</v>
      </c>
    </row>
    <row r="2" spans="1:4" ht="15" x14ac:dyDescent="0.15">
      <c r="A2" s="70" t="s">
        <v>816</v>
      </c>
      <c r="B2" s="68">
        <v>-2.5</v>
      </c>
      <c r="C2" s="3" t="s">
        <v>678</v>
      </c>
    </row>
    <row r="3" spans="1:4" ht="15" x14ac:dyDescent="0.15">
      <c r="A3" s="70" t="s">
        <v>817</v>
      </c>
      <c r="B3" s="68">
        <v>5</v>
      </c>
      <c r="C3" s="3" t="s">
        <v>678</v>
      </c>
    </row>
    <row r="4" spans="1:4" x14ac:dyDescent="0.15">
      <c r="A4" s="70"/>
    </row>
    <row r="5" spans="1:4" ht="15" x14ac:dyDescent="0.15">
      <c r="A5" s="76" t="s">
        <v>449</v>
      </c>
      <c r="B5" s="116">
        <v>0.14869806393960094</v>
      </c>
    </row>
    <row r="6" spans="1:4" ht="15" x14ac:dyDescent="0.15">
      <c r="A6" s="70" t="s">
        <v>399</v>
      </c>
      <c r="B6" s="68">
        <f>B2+B3*POWER(1+B5,-5)</f>
        <v>3.1672550715455827E-6</v>
      </c>
    </row>
    <row r="7" spans="1:4" x14ac:dyDescent="0.15">
      <c r="A7" s="70"/>
    </row>
    <row r="8" spans="1:4" ht="15" x14ac:dyDescent="0.15">
      <c r="A8" s="70" t="s">
        <v>817</v>
      </c>
      <c r="B8" s="68">
        <v>5</v>
      </c>
      <c r="C8" s="3" t="s">
        <v>678</v>
      </c>
    </row>
    <row r="9" spans="1:4" ht="15" x14ac:dyDescent="0.15">
      <c r="A9" s="70" t="s">
        <v>449</v>
      </c>
      <c r="B9" s="67">
        <v>0.2</v>
      </c>
    </row>
    <row r="10" spans="1:4" ht="15" x14ac:dyDescent="0.15">
      <c r="A10" s="70" t="s">
        <v>399</v>
      </c>
      <c r="B10" s="68">
        <f>B12+B8*POWER(1+B9,-5)</f>
        <v>0</v>
      </c>
    </row>
    <row r="11" spans="1:4" x14ac:dyDescent="0.15">
      <c r="A11" s="70"/>
    </row>
    <row r="12" spans="1:4" ht="30" x14ac:dyDescent="0.15">
      <c r="A12" s="76" t="s">
        <v>819</v>
      </c>
      <c r="B12" s="98">
        <v>-2.0093878600823043</v>
      </c>
      <c r="C12" s="7" t="s">
        <v>678</v>
      </c>
      <c r="D12" s="3" t="s">
        <v>818</v>
      </c>
    </row>
    <row r="15" spans="1:4" ht="15" x14ac:dyDescent="0.15">
      <c r="A15" s="8" t="s">
        <v>29</v>
      </c>
    </row>
    <row r="16" spans="1:4" ht="15" x14ac:dyDescent="0.15">
      <c r="A16" s="8" t="s">
        <v>996</v>
      </c>
    </row>
    <row r="18" spans="1:6" x14ac:dyDescent="0.15">
      <c r="A18" s="516" t="s">
        <v>1679</v>
      </c>
      <c r="B18" s="517"/>
      <c r="C18" s="517"/>
      <c r="D18" s="517"/>
      <c r="E18" s="517"/>
      <c r="F18" s="517"/>
    </row>
    <row r="19" spans="1:6" x14ac:dyDescent="0.15">
      <c r="A19" s="517"/>
      <c r="B19" s="517"/>
      <c r="C19" s="517"/>
      <c r="D19" s="517"/>
      <c r="E19" s="517"/>
      <c r="F19" s="517"/>
    </row>
    <row r="20" spans="1:6" x14ac:dyDescent="0.15">
      <c r="A20" s="517"/>
      <c r="B20" s="517"/>
      <c r="C20" s="517"/>
      <c r="D20" s="517"/>
      <c r="E20" s="517"/>
      <c r="F20" s="517"/>
    </row>
    <row r="21" spans="1:6" x14ac:dyDescent="0.15">
      <c r="A21" s="517"/>
      <c r="B21" s="517"/>
      <c r="C21" s="517"/>
      <c r="D21" s="517"/>
      <c r="E21" s="517"/>
      <c r="F21" s="517"/>
    </row>
    <row r="22" spans="1:6" x14ac:dyDescent="0.15">
      <c r="A22" s="517"/>
      <c r="B22" s="517"/>
      <c r="C22" s="517"/>
      <c r="D22" s="517"/>
      <c r="E22" s="517"/>
      <c r="F22" s="517"/>
    </row>
    <row r="23" spans="1:6" x14ac:dyDescent="0.15">
      <c r="A23" s="517"/>
      <c r="B23" s="517"/>
      <c r="C23" s="517"/>
      <c r="D23" s="517"/>
      <c r="E23" s="517"/>
      <c r="F23" s="517"/>
    </row>
    <row r="24" spans="1:6" x14ac:dyDescent="0.15">
      <c r="A24" s="517"/>
      <c r="B24" s="517"/>
      <c r="C24" s="517"/>
      <c r="D24" s="517"/>
      <c r="E24" s="517"/>
      <c r="F24" s="517"/>
    </row>
    <row r="25" spans="1:6" x14ac:dyDescent="0.15">
      <c r="A25" s="517"/>
      <c r="B25" s="517"/>
      <c r="C25" s="517"/>
      <c r="D25" s="517"/>
      <c r="E25" s="517"/>
      <c r="F25" s="517"/>
    </row>
    <row r="26" spans="1:6" x14ac:dyDescent="0.15">
      <c r="A26" s="517"/>
      <c r="B26" s="517"/>
      <c r="C26" s="517"/>
      <c r="D26" s="517"/>
      <c r="E26" s="517"/>
      <c r="F26" s="517"/>
    </row>
    <row r="27" spans="1:6" x14ac:dyDescent="0.15">
      <c r="A27" s="517"/>
      <c r="B27" s="517"/>
      <c r="C27" s="517"/>
      <c r="D27" s="517"/>
      <c r="E27" s="517"/>
      <c r="F27" s="517"/>
    </row>
    <row r="28" spans="1:6" x14ac:dyDescent="0.15">
      <c r="A28" s="517"/>
      <c r="B28" s="517"/>
      <c r="C28" s="517"/>
      <c r="D28" s="517"/>
      <c r="E28" s="517"/>
      <c r="F28" s="517"/>
    </row>
    <row r="29" spans="1:6" x14ac:dyDescent="0.15">
      <c r="A29" s="517"/>
      <c r="B29" s="517"/>
      <c r="C29" s="517"/>
      <c r="D29" s="517"/>
      <c r="E29" s="517"/>
      <c r="F29" s="517"/>
    </row>
    <row r="30" spans="1:6" x14ac:dyDescent="0.15">
      <c r="A30" s="517"/>
      <c r="B30" s="517"/>
      <c r="C30" s="517"/>
      <c r="D30" s="517"/>
      <c r="E30" s="517"/>
      <c r="F30" s="517"/>
    </row>
    <row r="31" spans="1:6" x14ac:dyDescent="0.15">
      <c r="A31" s="517"/>
      <c r="B31" s="517"/>
      <c r="C31" s="517"/>
      <c r="D31" s="517"/>
      <c r="E31" s="517"/>
      <c r="F31" s="517"/>
    </row>
    <row r="32" spans="1:6" x14ac:dyDescent="0.15">
      <c r="A32" s="517"/>
      <c r="B32" s="517"/>
      <c r="C32" s="517"/>
      <c r="D32" s="517"/>
      <c r="E32" s="517"/>
      <c r="F32" s="517"/>
    </row>
  </sheetData>
  <mergeCells count="1">
    <mergeCell ref="A18:F32"/>
  </mergeCells>
  <phoneticPr fontId="4" type="noConversion"/>
  <pageMargins left="0.78740157480314965" right="0.78740157480314965" top="0.98425196850393704" bottom="0.98425196850393704" header="0.51181102362204722" footer="0.51181102362204722"/>
  <pageSetup paperSize="9"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euil40">
    <pageSetUpPr fitToPage="1"/>
  </sheetPr>
  <dimension ref="A1:J85"/>
  <sheetViews>
    <sheetView showGridLines="0" workbookViewId="0">
      <selection activeCell="D22" sqref="D22"/>
    </sheetView>
  </sheetViews>
  <sheetFormatPr baseColWidth="10" defaultColWidth="11" defaultRowHeight="14" x14ac:dyDescent="0.15"/>
  <cols>
    <col min="1" max="1" width="29.1640625" style="3" bestFit="1" customWidth="1"/>
    <col min="2" max="9" width="12" style="3" customWidth="1"/>
    <col min="10" max="16384" width="11" style="3"/>
  </cols>
  <sheetData>
    <row r="1" spans="1:10" ht="15" x14ac:dyDescent="0.15">
      <c r="A1" s="1" t="s">
        <v>1067</v>
      </c>
    </row>
    <row r="2" spans="1:10" s="97" customFormat="1" ht="12" x14ac:dyDescent="0.15"/>
    <row r="3" spans="1:10" x14ac:dyDescent="0.15">
      <c r="A3" s="3" t="s">
        <v>555</v>
      </c>
      <c r="B3" s="180">
        <v>120</v>
      </c>
      <c r="C3" s="180">
        <v>120</v>
      </c>
      <c r="D3" s="180"/>
      <c r="E3" s="181"/>
      <c r="F3" s="181"/>
      <c r="G3" s="181"/>
      <c r="H3" s="181"/>
      <c r="I3" s="181"/>
      <c r="J3" s="181"/>
    </row>
    <row r="5" spans="1:10" x14ac:dyDescent="0.15">
      <c r="A5" s="3" t="s">
        <v>877</v>
      </c>
      <c r="B5" s="3">
        <v>21</v>
      </c>
      <c r="C5" s="3">
        <v>14</v>
      </c>
    </row>
    <row r="6" spans="1:10" x14ac:dyDescent="0.15">
      <c r="A6" s="3" t="s">
        <v>537</v>
      </c>
      <c r="B6" s="524">
        <v>30</v>
      </c>
      <c r="C6" s="524"/>
      <c r="D6" s="82"/>
    </row>
    <row r="7" spans="1:10" x14ac:dyDescent="0.15">
      <c r="A7" s="3" t="s">
        <v>909</v>
      </c>
      <c r="B7" s="3">
        <f>+B5*B6</f>
        <v>630</v>
      </c>
      <c r="C7" s="3">
        <f>+C5*B6</f>
        <v>420</v>
      </c>
    </row>
    <row r="8" spans="1:10" x14ac:dyDescent="0.15">
      <c r="A8" s="3" t="s">
        <v>923</v>
      </c>
      <c r="B8" s="3">
        <v>5</v>
      </c>
      <c r="C8" s="3">
        <v>5</v>
      </c>
    </row>
    <row r="10" spans="1:10" x14ac:dyDescent="0.15">
      <c r="A10" s="3" t="s">
        <v>367</v>
      </c>
      <c r="B10" s="80">
        <v>0.25</v>
      </c>
      <c r="C10" s="80">
        <v>0.25</v>
      </c>
      <c r="D10" s="80"/>
    </row>
    <row r="12" spans="1:10" x14ac:dyDescent="0.15">
      <c r="A12" s="7" t="s">
        <v>371</v>
      </c>
      <c r="B12" s="133">
        <f>-B3+(B7)*POWER(1+B10,-B8)</f>
        <v>86.43840000000003</v>
      </c>
      <c r="C12" s="133">
        <f>-C3+(C7)*POWER(1+C10,-C8)</f>
        <v>17.62560000000002</v>
      </c>
      <c r="D12" s="133"/>
    </row>
    <row r="15" spans="1:10" ht="15" x14ac:dyDescent="0.15">
      <c r="A15" s="8" t="s">
        <v>545</v>
      </c>
    </row>
    <row r="16" spans="1:10" x14ac:dyDescent="0.15">
      <c r="A16" s="359" t="s">
        <v>411</v>
      </c>
      <c r="B16" s="371">
        <v>1</v>
      </c>
      <c r="C16" s="371">
        <v>2</v>
      </c>
      <c r="D16" s="371">
        <v>3</v>
      </c>
      <c r="E16" s="371">
        <v>4</v>
      </c>
      <c r="F16" s="371">
        <v>5</v>
      </c>
      <c r="H16" s="386"/>
      <c r="I16" s="386"/>
    </row>
    <row r="17" spans="1:8" x14ac:dyDescent="0.15">
      <c r="A17" s="3" t="s">
        <v>765</v>
      </c>
      <c r="B17" s="3">
        <v>3960</v>
      </c>
      <c r="C17" s="3">
        <v>4080</v>
      </c>
      <c r="D17" s="3">
        <v>4200</v>
      </c>
      <c r="E17" s="3">
        <v>4326</v>
      </c>
      <c r="F17" s="3">
        <v>4458</v>
      </c>
    </row>
    <row r="18" spans="1:8" x14ac:dyDescent="0.15">
      <c r="A18" s="3" t="s">
        <v>924</v>
      </c>
      <c r="B18" s="3">
        <v>1782</v>
      </c>
      <c r="C18" s="3">
        <v>1794</v>
      </c>
      <c r="D18" s="3">
        <v>1806</v>
      </c>
      <c r="E18" s="3">
        <v>1860</v>
      </c>
      <c r="F18" s="3">
        <v>1917</v>
      </c>
    </row>
    <row r="19" spans="1:8" x14ac:dyDescent="0.15">
      <c r="A19" s="3" t="s">
        <v>936</v>
      </c>
      <c r="B19" s="3">
        <v>870</v>
      </c>
      <c r="C19" s="3">
        <v>897</v>
      </c>
      <c r="D19" s="3">
        <v>924</v>
      </c>
      <c r="E19" s="3">
        <v>996</v>
      </c>
      <c r="F19" s="3">
        <v>1026</v>
      </c>
    </row>
    <row r="20" spans="1:8" x14ac:dyDescent="0.15">
      <c r="A20" s="3" t="s">
        <v>1183</v>
      </c>
      <c r="B20" s="3">
        <v>396</v>
      </c>
      <c r="C20" s="3">
        <v>408</v>
      </c>
      <c r="D20" s="3">
        <v>420</v>
      </c>
      <c r="E20" s="3">
        <v>432</v>
      </c>
      <c r="F20" s="3">
        <v>447</v>
      </c>
    </row>
    <row r="21" spans="1:8" x14ac:dyDescent="0.15">
      <c r="A21" s="3" t="s">
        <v>71</v>
      </c>
      <c r="B21" s="3">
        <v>912</v>
      </c>
      <c r="C21" s="3">
        <v>981</v>
      </c>
      <c r="D21" s="3">
        <v>1050</v>
      </c>
      <c r="E21" s="3">
        <v>1038</v>
      </c>
      <c r="F21" s="3">
        <v>1068</v>
      </c>
    </row>
    <row r="22" spans="1:8" x14ac:dyDescent="0.15">
      <c r="A22" s="3" t="s">
        <v>986</v>
      </c>
      <c r="B22" s="3">
        <v>330</v>
      </c>
      <c r="C22" s="3">
        <v>315</v>
      </c>
      <c r="D22" s="3">
        <v>300</v>
      </c>
      <c r="E22" s="3">
        <v>300</v>
      </c>
      <c r="F22" s="3">
        <v>300</v>
      </c>
    </row>
    <row r="23" spans="1:8" x14ac:dyDescent="0.15">
      <c r="A23" s="3" t="s">
        <v>1014</v>
      </c>
      <c r="B23" s="3">
        <f>B21-B22</f>
        <v>582</v>
      </c>
      <c r="C23" s="3">
        <f>C21-C22</f>
        <v>666</v>
      </c>
      <c r="D23" s="3">
        <f>D21-D22</f>
        <v>750</v>
      </c>
      <c r="E23" s="3">
        <f>E21-E22</f>
        <v>738</v>
      </c>
      <c r="F23" s="3">
        <f>F21-F22</f>
        <v>768</v>
      </c>
    </row>
    <row r="25" spans="1:8" x14ac:dyDescent="0.15">
      <c r="A25" s="3" t="s">
        <v>217</v>
      </c>
      <c r="B25" s="3">
        <v>300</v>
      </c>
      <c r="C25" s="3">
        <v>300</v>
      </c>
      <c r="D25" s="3">
        <v>300</v>
      </c>
      <c r="E25" s="3">
        <v>300</v>
      </c>
      <c r="F25" s="3">
        <v>300</v>
      </c>
    </row>
    <row r="26" spans="1:8" ht="15" x14ac:dyDescent="0.15">
      <c r="A26" s="6" t="s">
        <v>186</v>
      </c>
      <c r="B26" s="3">
        <v>50</v>
      </c>
      <c r="C26" s="3">
        <v>50</v>
      </c>
    </row>
    <row r="27" spans="1:8" x14ac:dyDescent="0.15">
      <c r="A27" s="6"/>
    </row>
    <row r="28" spans="1:8" ht="15" x14ac:dyDescent="0.15">
      <c r="A28" s="6" t="s">
        <v>99</v>
      </c>
    </row>
    <row r="29" spans="1:8" ht="15" x14ac:dyDescent="0.15">
      <c r="A29" s="6" t="s">
        <v>793</v>
      </c>
      <c r="B29" s="80">
        <f>2/3</f>
        <v>0.66666666666666663</v>
      </c>
    </row>
    <row r="30" spans="1:8" ht="15" x14ac:dyDescent="0.15">
      <c r="A30" s="6" t="s">
        <v>77</v>
      </c>
      <c r="B30" s="80">
        <f>1-B29</f>
        <v>0.33333333333333337</v>
      </c>
    </row>
    <row r="31" spans="1:8" x14ac:dyDescent="0.15">
      <c r="A31" s="3" t="s">
        <v>598</v>
      </c>
      <c r="B31" s="80">
        <v>0.1</v>
      </c>
      <c r="C31" s="80"/>
      <c r="D31" s="80"/>
      <c r="E31" s="80"/>
      <c r="F31" s="80"/>
      <c r="G31" s="80"/>
      <c r="H31" s="80"/>
    </row>
    <row r="32" spans="1:8" x14ac:dyDescent="0.15">
      <c r="A32" s="3" t="s">
        <v>600</v>
      </c>
      <c r="B32" s="80">
        <v>0.06</v>
      </c>
      <c r="C32" s="80"/>
      <c r="D32" s="80"/>
      <c r="E32" s="80"/>
      <c r="F32" s="80"/>
      <c r="G32" s="80"/>
      <c r="H32" s="80"/>
    </row>
    <row r="33" spans="1:8" x14ac:dyDescent="0.15">
      <c r="A33" s="7" t="s">
        <v>601</v>
      </c>
      <c r="B33" s="111">
        <f>B31*B29+B32*(1-B35)*B30</f>
        <v>7.9266666666666666E-2</v>
      </c>
      <c r="C33" s="55"/>
      <c r="D33" s="55"/>
      <c r="E33" s="55"/>
      <c r="F33" s="55"/>
      <c r="G33" s="55"/>
      <c r="H33" s="55"/>
    </row>
    <row r="35" spans="1:8" x14ac:dyDescent="0.15">
      <c r="A35" s="3" t="s">
        <v>878</v>
      </c>
      <c r="B35" s="80">
        <v>0.37</v>
      </c>
      <c r="C35" s="80"/>
      <c r="D35" s="80"/>
      <c r="E35" s="80"/>
      <c r="F35" s="80"/>
      <c r="G35" s="80"/>
      <c r="H35" s="80"/>
    </row>
    <row r="36" spans="1:8" x14ac:dyDescent="0.15">
      <c r="A36" s="3" t="s">
        <v>100</v>
      </c>
      <c r="B36" s="80">
        <v>0.02</v>
      </c>
    </row>
    <row r="37" spans="1:8" x14ac:dyDescent="0.15">
      <c r="B37" s="80"/>
    </row>
    <row r="38" spans="1:8" x14ac:dyDescent="0.15">
      <c r="A38" s="334"/>
      <c r="B38" s="360">
        <v>1</v>
      </c>
      <c r="C38" s="360">
        <v>2</v>
      </c>
      <c r="D38" s="360">
        <v>3</v>
      </c>
      <c r="E38" s="360">
        <v>4</v>
      </c>
      <c r="F38" s="360">
        <v>5</v>
      </c>
      <c r="G38" s="360"/>
      <c r="H38" s="360" t="s">
        <v>107</v>
      </c>
    </row>
    <row r="39" spans="1:8" x14ac:dyDescent="0.15">
      <c r="B39" s="55"/>
      <c r="C39" s="55"/>
      <c r="D39" s="55"/>
      <c r="E39" s="55"/>
      <c r="F39" s="55"/>
      <c r="G39" s="55"/>
    </row>
    <row r="40" spans="1:8" x14ac:dyDescent="0.15">
      <c r="A40" s="3" t="s">
        <v>71</v>
      </c>
      <c r="B40" s="29">
        <f>B21</f>
        <v>912</v>
      </c>
      <c r="C40" s="29">
        <f>C21</f>
        <v>981</v>
      </c>
      <c r="D40" s="29">
        <f>D21</f>
        <v>1050</v>
      </c>
      <c r="E40" s="29">
        <f>E21</f>
        <v>1038</v>
      </c>
      <c r="F40" s="29">
        <f>F21</f>
        <v>1068</v>
      </c>
      <c r="G40" s="29"/>
    </row>
    <row r="41" spans="1:8" x14ac:dyDescent="0.15">
      <c r="A41" s="86" t="s">
        <v>98</v>
      </c>
      <c r="B41" s="29">
        <f>$B$35*B23</f>
        <v>215.34</v>
      </c>
      <c r="C41" s="29">
        <f>$B$35*C23</f>
        <v>246.42</v>
      </c>
      <c r="D41" s="29">
        <f>$B$35*D23</f>
        <v>277.5</v>
      </c>
      <c r="E41" s="29">
        <f>$B$35*E23</f>
        <v>273.06</v>
      </c>
      <c r="F41" s="29">
        <f>$B$35*F23</f>
        <v>284.15999999999997</v>
      </c>
      <c r="G41" s="29"/>
    </row>
    <row r="42" spans="1:8" x14ac:dyDescent="0.15">
      <c r="A42" s="86" t="s">
        <v>710</v>
      </c>
      <c r="B42" s="29">
        <f t="shared" ref="B42:C43" si="0">B25</f>
        <v>300</v>
      </c>
      <c r="C42" s="29">
        <f t="shared" si="0"/>
        <v>300</v>
      </c>
      <c r="D42" s="29">
        <f>D25</f>
        <v>300</v>
      </c>
      <c r="E42" s="29">
        <f>E25</f>
        <v>300</v>
      </c>
      <c r="F42" s="29">
        <f>F25</f>
        <v>300</v>
      </c>
      <c r="G42" s="29"/>
    </row>
    <row r="43" spans="1:8" ht="15" x14ac:dyDescent="0.15">
      <c r="A43" s="182" t="s">
        <v>903</v>
      </c>
      <c r="B43" s="29">
        <f t="shared" si="0"/>
        <v>50</v>
      </c>
      <c r="C43" s="29">
        <f t="shared" si="0"/>
        <v>50</v>
      </c>
      <c r="D43" s="29">
        <f>E26</f>
        <v>0</v>
      </c>
      <c r="E43" s="29">
        <f>F26</f>
        <v>0</v>
      </c>
      <c r="F43" s="29">
        <f>G26</f>
        <v>0</v>
      </c>
      <c r="G43" s="29"/>
    </row>
    <row r="44" spans="1:8" x14ac:dyDescent="0.15">
      <c r="B44" s="88"/>
      <c r="C44" s="88"/>
      <c r="D44" s="88"/>
      <c r="E44" s="88"/>
      <c r="F44" s="88"/>
      <c r="G44" s="183"/>
      <c r="H44" s="88"/>
    </row>
    <row r="45" spans="1:8" x14ac:dyDescent="0.15">
      <c r="A45" s="3" t="s">
        <v>204</v>
      </c>
      <c r="B45" s="13">
        <f>B40-B41-B42-B43</f>
        <v>346.65999999999997</v>
      </c>
      <c r="C45" s="13">
        <f>C40-C41-C42-C43</f>
        <v>384.58000000000004</v>
      </c>
      <c r="D45" s="13">
        <f>D40-D41-D42-D43</f>
        <v>472.5</v>
      </c>
      <c r="E45" s="13">
        <f>E40-E41-E42-E43</f>
        <v>464.94000000000005</v>
      </c>
      <c r="F45" s="13">
        <f>F40-F41-F42-F43</f>
        <v>483.84000000000003</v>
      </c>
      <c r="G45" s="13"/>
      <c r="H45" s="13">
        <f>F45*(1+B36)</f>
        <v>493.51680000000005</v>
      </c>
    </row>
    <row r="46" spans="1:8" x14ac:dyDescent="0.15">
      <c r="A46" s="3" t="s">
        <v>101</v>
      </c>
      <c r="B46" s="29"/>
      <c r="C46" s="29"/>
      <c r="D46" s="29"/>
      <c r="E46" s="29"/>
      <c r="F46" s="13">
        <f>H45/(B33-B36)</f>
        <v>8327.0551181102383</v>
      </c>
      <c r="G46" s="13"/>
      <c r="H46" s="29"/>
    </row>
    <row r="47" spans="1:8" x14ac:dyDescent="0.15">
      <c r="B47" s="29"/>
      <c r="C47" s="29"/>
      <c r="D47" s="29"/>
      <c r="E47" s="29"/>
      <c r="F47" s="29"/>
      <c r="G47" s="29"/>
      <c r="H47" s="29"/>
    </row>
    <row r="48" spans="1:8" x14ac:dyDescent="0.15">
      <c r="A48" s="3" t="s">
        <v>360</v>
      </c>
      <c r="B48" s="29"/>
      <c r="C48" s="29"/>
      <c r="D48" s="29"/>
      <c r="E48" s="29"/>
      <c r="F48" s="29"/>
      <c r="G48" s="29"/>
      <c r="H48" s="29"/>
    </row>
    <row r="49" spans="1:8" x14ac:dyDescent="0.15">
      <c r="A49" s="86" t="s">
        <v>104</v>
      </c>
      <c r="B49" s="13">
        <f>B45*POWER(1+$B$33,-B38)</f>
        <v>321.1995799617024</v>
      </c>
      <c r="C49" s="13">
        <f>C45*POWER(1+$B$33,-C38)</f>
        <v>330.16358158315376</v>
      </c>
      <c r="D49" s="13">
        <f>D45*POWER(1+$B$33,-D38)</f>
        <v>375.85083620660959</v>
      </c>
      <c r="E49" s="13">
        <f>E45*POWER(1+$B$33,-E38)</f>
        <v>342.6745532404446</v>
      </c>
      <c r="F49" s="13">
        <f>F45*POWER(1+$B$33,-F38)</f>
        <v>330.4136263465324</v>
      </c>
      <c r="G49" s="13"/>
    </row>
    <row r="50" spans="1:8" x14ac:dyDescent="0.15">
      <c r="A50" s="86" t="s">
        <v>105</v>
      </c>
      <c r="B50" s="13">
        <f>F46*POWER(1+B33,-F38)</f>
        <v>5686.5337267738432</v>
      </c>
      <c r="C50" s="29"/>
      <c r="D50" s="29"/>
      <c r="E50" s="29"/>
      <c r="F50" s="29"/>
      <c r="G50" s="29"/>
    </row>
    <row r="51" spans="1:8" x14ac:dyDescent="0.15">
      <c r="B51" s="13"/>
      <c r="C51" s="29"/>
      <c r="D51" s="29"/>
      <c r="E51" s="29"/>
      <c r="F51" s="29"/>
      <c r="G51" s="29"/>
      <c r="H51" s="29"/>
    </row>
    <row r="52" spans="1:8" x14ac:dyDescent="0.15">
      <c r="A52" s="7" t="s">
        <v>303</v>
      </c>
      <c r="B52" s="77">
        <f>SUM(B49:F49)+B50</f>
        <v>7386.8359041122858</v>
      </c>
    </row>
    <row r="53" spans="1:8" x14ac:dyDescent="0.15">
      <c r="A53" s="3" t="s">
        <v>102</v>
      </c>
      <c r="B53" s="13">
        <v>2250</v>
      </c>
    </row>
    <row r="54" spans="1:8" x14ac:dyDescent="0.15">
      <c r="A54" s="7" t="s">
        <v>103</v>
      </c>
      <c r="B54" s="77">
        <f>B52-B53</f>
        <v>5136.8359041122858</v>
      </c>
    </row>
    <row r="56" spans="1:8" ht="15" x14ac:dyDescent="0.15">
      <c r="A56" s="8" t="s">
        <v>1068</v>
      </c>
    </row>
    <row r="58" spans="1:8" x14ac:dyDescent="0.15">
      <c r="A58" s="3" t="s">
        <v>106</v>
      </c>
      <c r="B58" s="3">
        <v>10</v>
      </c>
    </row>
    <row r="59" spans="1:8" x14ac:dyDescent="0.15">
      <c r="A59" s="3" t="s">
        <v>926</v>
      </c>
      <c r="B59" s="3">
        <v>15</v>
      </c>
    </row>
    <row r="61" spans="1:8" x14ac:dyDescent="0.15">
      <c r="A61" s="3" t="s">
        <v>1785</v>
      </c>
      <c r="B61" s="3">
        <v>100</v>
      </c>
    </row>
    <row r="62" spans="1:8" x14ac:dyDescent="0.15">
      <c r="A62" s="3" t="s">
        <v>1786</v>
      </c>
      <c r="B62" s="3">
        <v>60</v>
      </c>
    </row>
    <row r="63" spans="1:8" x14ac:dyDescent="0.15">
      <c r="A63" s="3" t="s">
        <v>1787</v>
      </c>
      <c r="B63" s="3">
        <v>32</v>
      </c>
    </row>
    <row r="65" spans="1:3" x14ac:dyDescent="0.15">
      <c r="A65" s="7" t="s">
        <v>654</v>
      </c>
      <c r="B65" s="7">
        <f>B58*B62</f>
        <v>600</v>
      </c>
    </row>
    <row r="66" spans="1:3" x14ac:dyDescent="0.15">
      <c r="A66" s="7" t="s">
        <v>605</v>
      </c>
      <c r="B66" s="7">
        <f>B61</f>
        <v>100</v>
      </c>
    </row>
    <row r="67" spans="1:3" x14ac:dyDescent="0.15">
      <c r="A67" s="7" t="s">
        <v>604</v>
      </c>
      <c r="B67" s="7">
        <f>B65-B66</f>
        <v>500</v>
      </c>
    </row>
    <row r="68" spans="1:3" x14ac:dyDescent="0.15">
      <c r="A68" s="7"/>
      <c r="B68" s="7"/>
    </row>
    <row r="69" spans="1:3" x14ac:dyDescent="0.15">
      <c r="A69" s="7" t="s">
        <v>283</v>
      </c>
      <c r="B69" s="7"/>
    </row>
    <row r="70" spans="1:3" x14ac:dyDescent="0.15">
      <c r="A70" s="7" t="s">
        <v>604</v>
      </c>
      <c r="B70" s="7">
        <f>B59*B63</f>
        <v>480</v>
      </c>
    </row>
    <row r="72" spans="1:3" ht="15" x14ac:dyDescent="0.15">
      <c r="A72" s="8" t="s">
        <v>1069</v>
      </c>
    </row>
    <row r="73" spans="1:3" x14ac:dyDescent="0.15">
      <c r="B73" s="82" t="s">
        <v>1073</v>
      </c>
    </row>
    <row r="74" spans="1:3" x14ac:dyDescent="0.15">
      <c r="A74" s="3" t="s">
        <v>1788</v>
      </c>
      <c r="B74" s="29">
        <v>12.2</v>
      </c>
    </row>
    <row r="75" spans="1:3" x14ac:dyDescent="0.15">
      <c r="A75" s="3" t="s">
        <v>1785</v>
      </c>
      <c r="B75" s="29">
        <v>32.9</v>
      </c>
    </row>
    <row r="77" spans="1:3" x14ac:dyDescent="0.15">
      <c r="A77" s="3" t="s">
        <v>1072</v>
      </c>
    </row>
    <row r="78" spans="1:3" x14ac:dyDescent="0.15">
      <c r="A78" s="3" t="s">
        <v>1070</v>
      </c>
      <c r="B78" s="104">
        <v>0.20100000000000001</v>
      </c>
      <c r="C78" s="3" t="s">
        <v>1071</v>
      </c>
    </row>
    <row r="79" spans="1:3" x14ac:dyDescent="0.15">
      <c r="A79" s="3" t="s">
        <v>809</v>
      </c>
      <c r="B79" s="3">
        <v>233</v>
      </c>
      <c r="C79" s="3" t="s">
        <v>1617</v>
      </c>
    </row>
    <row r="81" spans="1:4" x14ac:dyDescent="0.15">
      <c r="A81" s="3" t="s">
        <v>1789</v>
      </c>
      <c r="B81" s="3">
        <v>20</v>
      </c>
      <c r="C81" s="181" t="s">
        <v>353</v>
      </c>
      <c r="D81" s="181"/>
    </row>
    <row r="83" spans="1:4" x14ac:dyDescent="0.15">
      <c r="A83" s="3" t="s">
        <v>353</v>
      </c>
      <c r="B83" s="3" t="s">
        <v>353</v>
      </c>
    </row>
    <row r="85" spans="1:4" x14ac:dyDescent="0.15">
      <c r="A85" s="7" t="s">
        <v>1074</v>
      </c>
      <c r="B85" s="133">
        <f>B81*B74-B75+B79*B78</f>
        <v>257.93299999999999</v>
      </c>
      <c r="C85" s="181" t="s">
        <v>353</v>
      </c>
      <c r="D85" s="181"/>
    </row>
  </sheetData>
  <mergeCells count="1">
    <mergeCell ref="B6:C6"/>
  </mergeCells>
  <phoneticPr fontId="4" type="noConversion"/>
  <pageMargins left="0.78740157480314965" right="0.78740157480314965" top="0.98425196850393704" bottom="0.98425196850393704" header="0.51181102362204722" footer="0.51181102362204722"/>
  <pageSetup paperSize="9" scale="32" orientation="portrait"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euil29">
    <pageSetUpPr fitToPage="1"/>
  </sheetPr>
  <dimension ref="A1:F133"/>
  <sheetViews>
    <sheetView showGridLines="0" workbookViewId="0">
      <selection activeCell="A2" sqref="A2"/>
    </sheetView>
  </sheetViews>
  <sheetFormatPr baseColWidth="10" defaultColWidth="11" defaultRowHeight="14" x14ac:dyDescent="0.15"/>
  <cols>
    <col min="1" max="1" width="21.83203125" style="3" customWidth="1"/>
    <col min="2" max="2" width="9.83203125" style="3" bestFit="1" customWidth="1"/>
    <col min="3" max="3" width="10" style="3" bestFit="1" customWidth="1"/>
    <col min="4" max="4" width="11" style="3"/>
    <col min="5" max="5" width="12.1640625" style="3" bestFit="1" customWidth="1"/>
    <col min="6" max="16384" width="11" style="3"/>
  </cols>
  <sheetData>
    <row r="1" spans="1:3" ht="15" x14ac:dyDescent="0.15">
      <c r="A1" s="1" t="s">
        <v>1235</v>
      </c>
    </row>
    <row r="2" spans="1:3" ht="15" x14ac:dyDescent="0.15">
      <c r="A2" s="8" t="s">
        <v>988</v>
      </c>
    </row>
    <row r="3" spans="1:3" x14ac:dyDescent="0.15">
      <c r="A3" s="3" t="s">
        <v>597</v>
      </c>
      <c r="B3" s="80">
        <v>0.6</v>
      </c>
    </row>
    <row r="4" spans="1:3" x14ac:dyDescent="0.15">
      <c r="A4" s="3" t="s">
        <v>598</v>
      </c>
      <c r="B4" s="104">
        <v>0.09</v>
      </c>
    </row>
    <row r="5" spans="1:3" x14ac:dyDescent="0.15">
      <c r="A5" s="3" t="s">
        <v>599</v>
      </c>
      <c r="B5" s="80">
        <f>1-B3</f>
        <v>0.4</v>
      </c>
    </row>
    <row r="6" spans="1:3" x14ac:dyDescent="0.15">
      <c r="A6" s="3" t="s">
        <v>600</v>
      </c>
      <c r="B6" s="104">
        <v>0.05</v>
      </c>
    </row>
    <row r="8" spans="1:3" x14ac:dyDescent="0.15">
      <c r="A8" s="7" t="s">
        <v>601</v>
      </c>
      <c r="B8" s="111">
        <f>B3*B4+B5*B6</f>
        <v>7.400000000000001E-2</v>
      </c>
    </row>
    <row r="10" spans="1:3" ht="15" x14ac:dyDescent="0.15">
      <c r="A10" s="8" t="s">
        <v>1237</v>
      </c>
    </row>
    <row r="11" spans="1:3" ht="15" x14ac:dyDescent="0.15">
      <c r="A11" s="8" t="s">
        <v>989</v>
      </c>
    </row>
    <row r="12" spans="1:3" x14ac:dyDescent="0.15">
      <c r="A12" s="334" t="s">
        <v>602</v>
      </c>
      <c r="B12" s="360" t="s">
        <v>990</v>
      </c>
      <c r="C12" s="360" t="s">
        <v>991</v>
      </c>
    </row>
    <row r="13" spans="1:3" x14ac:dyDescent="0.15">
      <c r="A13" s="3" t="s">
        <v>603</v>
      </c>
      <c r="B13" s="166">
        <v>10000</v>
      </c>
      <c r="C13" s="166">
        <v>10000</v>
      </c>
    </row>
    <row r="14" spans="1:3" x14ac:dyDescent="0.15">
      <c r="A14" s="100" t="s">
        <v>609</v>
      </c>
      <c r="B14" s="167"/>
      <c r="C14" s="167">
        <v>24000</v>
      </c>
    </row>
    <row r="15" spans="1:3" x14ac:dyDescent="0.15">
      <c r="A15" s="100" t="s">
        <v>600</v>
      </c>
      <c r="B15" s="525">
        <v>0.05</v>
      </c>
      <c r="C15" s="525"/>
    </row>
    <row r="16" spans="1:3" x14ac:dyDescent="0.15">
      <c r="A16" s="3" t="s">
        <v>1185</v>
      </c>
      <c r="B16" s="166">
        <f>B14*B15</f>
        <v>0</v>
      </c>
      <c r="C16" s="166">
        <f>C14*B15</f>
        <v>1200</v>
      </c>
    </row>
    <row r="17" spans="1:6" x14ac:dyDescent="0.15">
      <c r="A17" s="3" t="s">
        <v>1051</v>
      </c>
      <c r="B17" s="166">
        <f>B13-B16</f>
        <v>10000</v>
      </c>
      <c r="C17" s="166">
        <f>C13-C16</f>
        <v>8800</v>
      </c>
    </row>
    <row r="18" spans="1:6" ht="16" x14ac:dyDescent="0.15">
      <c r="A18" s="3" t="s">
        <v>1662</v>
      </c>
      <c r="B18" s="104">
        <v>0.08</v>
      </c>
      <c r="C18" s="104">
        <v>0.11</v>
      </c>
    </row>
    <row r="19" spans="1:6" ht="16" x14ac:dyDescent="0.15">
      <c r="A19" s="3" t="s">
        <v>1663</v>
      </c>
      <c r="B19" s="166">
        <v>125000</v>
      </c>
      <c r="C19" s="166">
        <v>80000</v>
      </c>
      <c r="E19" s="3">
        <v>1.5</v>
      </c>
      <c r="F19" s="104">
        <f>1-C23</f>
        <v>0.76923076923076916</v>
      </c>
    </row>
    <row r="20" spans="1:6" ht="16" x14ac:dyDescent="0.15">
      <c r="A20" s="3" t="s">
        <v>1664</v>
      </c>
      <c r="B20" s="166">
        <f>B14</f>
        <v>0</v>
      </c>
      <c r="C20" s="166">
        <f>C14</f>
        <v>24000</v>
      </c>
      <c r="D20" s="80">
        <f>C20/C19</f>
        <v>0.3</v>
      </c>
      <c r="E20" s="3">
        <v>0.3</v>
      </c>
      <c r="F20" s="104">
        <f>1-F19</f>
        <v>0.23076923076923084</v>
      </c>
    </row>
    <row r="21" spans="1:6" x14ac:dyDescent="0.15">
      <c r="A21" s="3" t="s">
        <v>533</v>
      </c>
      <c r="B21" s="166">
        <f>B19+B20</f>
        <v>125000</v>
      </c>
      <c r="C21" s="166">
        <f>C19+C20</f>
        <v>104000</v>
      </c>
      <c r="E21" s="29">
        <f>E19*F19+E20*F20</f>
        <v>1.223076923076923</v>
      </c>
    </row>
    <row r="22" spans="1:6" x14ac:dyDescent="0.15">
      <c r="A22" s="3" t="s">
        <v>601</v>
      </c>
      <c r="B22" s="67">
        <f>B18*B19/B21+B15*B20/B21</f>
        <v>0.08</v>
      </c>
      <c r="C22" s="50">
        <f>C18*C19/C21+B15*C20/C21</f>
        <v>9.6153846153846159E-2</v>
      </c>
    </row>
    <row r="23" spans="1:6" ht="16" x14ac:dyDescent="0.15">
      <c r="A23" s="3" t="s">
        <v>1665</v>
      </c>
      <c r="B23" s="67">
        <f>B20/B21</f>
        <v>0</v>
      </c>
      <c r="C23" s="67">
        <f>C20/C21</f>
        <v>0.23076923076923078</v>
      </c>
    </row>
    <row r="24" spans="1:6" x14ac:dyDescent="0.15">
      <c r="A24" s="3" t="s">
        <v>607</v>
      </c>
      <c r="B24" s="104">
        <v>1</v>
      </c>
      <c r="C24" s="104">
        <v>1</v>
      </c>
    </row>
    <row r="26" spans="1:6" x14ac:dyDescent="0.15">
      <c r="A26" s="149" t="s">
        <v>610</v>
      </c>
    </row>
    <row r="27" spans="1:6" x14ac:dyDescent="0.15">
      <c r="A27" s="3" t="s">
        <v>612</v>
      </c>
      <c r="B27" s="104">
        <v>0.01</v>
      </c>
      <c r="C27" s="104">
        <f>C28/C$19</f>
        <v>1.26953125E-2</v>
      </c>
      <c r="E27" s="168" t="s">
        <v>278</v>
      </c>
    </row>
    <row r="28" spans="1:6" x14ac:dyDescent="0.15">
      <c r="A28" s="3" t="s">
        <v>611</v>
      </c>
      <c r="B28" s="166">
        <f>B$19*B27</f>
        <v>1250</v>
      </c>
      <c r="C28" s="166">
        <f>B28/(1+C$23)</f>
        <v>1015.625</v>
      </c>
      <c r="D28" s="81">
        <f>C28/B$28</f>
        <v>0.8125</v>
      </c>
      <c r="E28" s="167">
        <f>C28*C23</f>
        <v>234.375</v>
      </c>
    </row>
    <row r="29" spans="1:6" x14ac:dyDescent="0.15">
      <c r="A29" s="88" t="s">
        <v>608</v>
      </c>
      <c r="B29" s="169">
        <f>B$17*B27</f>
        <v>100</v>
      </c>
      <c r="C29" s="169">
        <f>C$17*C27</f>
        <v>111.71875</v>
      </c>
    </row>
    <row r="30" spans="1:6" x14ac:dyDescent="0.15">
      <c r="A30" s="3" t="s">
        <v>614</v>
      </c>
    </row>
    <row r="31" spans="1:6" x14ac:dyDescent="0.15">
      <c r="A31" s="100" t="s">
        <v>613</v>
      </c>
      <c r="B31" s="167">
        <f>B28*B23</f>
        <v>0</v>
      </c>
      <c r="C31" s="167">
        <f>B28-C28</f>
        <v>234.375</v>
      </c>
      <c r="D31" s="81">
        <f>C31/B$28</f>
        <v>0.1875</v>
      </c>
    </row>
    <row r="32" spans="1:6" x14ac:dyDescent="0.15">
      <c r="A32" s="170" t="s">
        <v>1666</v>
      </c>
      <c r="B32" s="171">
        <f>B15</f>
        <v>0.05</v>
      </c>
      <c r="C32" s="171">
        <f>B$15</f>
        <v>0.05</v>
      </c>
    </row>
    <row r="33" spans="1:6" x14ac:dyDescent="0.15">
      <c r="A33" s="7" t="s">
        <v>615</v>
      </c>
      <c r="B33" s="147">
        <f>B29+B31*B32</f>
        <v>100</v>
      </c>
      <c r="C33" s="147">
        <f>C29+C31*C32</f>
        <v>123.4375</v>
      </c>
    </row>
    <row r="34" spans="1:6" x14ac:dyDescent="0.15">
      <c r="A34" s="3" t="s">
        <v>601</v>
      </c>
      <c r="B34" s="67">
        <f>B33/B$28</f>
        <v>0.08</v>
      </c>
      <c r="C34" s="67">
        <f>C33/C$28</f>
        <v>0.12153846153846154</v>
      </c>
    </row>
    <row r="36" spans="1:6" x14ac:dyDescent="0.15">
      <c r="A36" s="149" t="s">
        <v>616</v>
      </c>
    </row>
    <row r="37" spans="1:6" x14ac:dyDescent="0.15">
      <c r="A37" s="149"/>
    </row>
    <row r="38" spans="1:6" x14ac:dyDescent="0.15">
      <c r="A38" s="3" t="s">
        <v>284</v>
      </c>
      <c r="B38" s="166">
        <f>B28</f>
        <v>1250</v>
      </c>
    </row>
    <row r="39" spans="1:6" x14ac:dyDescent="0.15">
      <c r="A39" s="3" t="s">
        <v>292</v>
      </c>
      <c r="C39" s="166">
        <f>B38</f>
        <v>1250</v>
      </c>
    </row>
    <row r="40" spans="1:6" x14ac:dyDescent="0.15">
      <c r="C40" s="166"/>
    </row>
    <row r="41" spans="1:6" x14ac:dyDescent="0.15">
      <c r="A41" s="172" t="s">
        <v>285</v>
      </c>
      <c r="B41" s="104"/>
    </row>
    <row r="42" spans="1:6" x14ac:dyDescent="0.15">
      <c r="A42" s="172"/>
      <c r="B42" s="104"/>
    </row>
    <row r="43" spans="1:6" x14ac:dyDescent="0.15">
      <c r="A43" s="103" t="s">
        <v>291</v>
      </c>
      <c r="B43" s="104"/>
    </row>
    <row r="44" spans="1:6" x14ac:dyDescent="0.15">
      <c r="A44" s="3" t="s">
        <v>293</v>
      </c>
      <c r="C44" s="104">
        <f>C23</f>
        <v>0.23076923076923078</v>
      </c>
    </row>
    <row r="45" spans="1:6" x14ac:dyDescent="0.15">
      <c r="A45" s="149"/>
      <c r="C45" s="104"/>
    </row>
    <row r="46" spans="1:6" x14ac:dyDescent="0.15">
      <c r="A46" s="3" t="s">
        <v>286</v>
      </c>
      <c r="C46" s="166">
        <f>C39*(1-C44)</f>
        <v>961.53846153846143</v>
      </c>
      <c r="D46" s="80"/>
      <c r="F46" s="29"/>
    </row>
    <row r="47" spans="1:6" x14ac:dyDescent="0.15">
      <c r="A47" s="3" t="s">
        <v>287</v>
      </c>
      <c r="C47" s="169">
        <f>C39-C46</f>
        <v>288.46153846153857</v>
      </c>
      <c r="D47" s="80"/>
      <c r="F47" s="29"/>
    </row>
    <row r="48" spans="1:6" x14ac:dyDescent="0.15">
      <c r="C48" s="166">
        <f>C46+C47</f>
        <v>1250</v>
      </c>
      <c r="E48" s="29"/>
      <c r="F48" s="29"/>
    </row>
    <row r="49" spans="1:3" x14ac:dyDescent="0.15">
      <c r="C49" s="104"/>
    </row>
    <row r="50" spans="1:3" x14ac:dyDescent="0.15">
      <c r="A50" s="3" t="s">
        <v>288</v>
      </c>
      <c r="C50" s="166">
        <f>C46*C18</f>
        <v>105.76923076923076</v>
      </c>
    </row>
    <row r="51" spans="1:3" x14ac:dyDescent="0.15">
      <c r="A51" s="3" t="s">
        <v>289</v>
      </c>
      <c r="C51" s="169">
        <f>C47*B15</f>
        <v>14.423076923076929</v>
      </c>
    </row>
    <row r="52" spans="1:3" x14ac:dyDescent="0.15">
      <c r="C52" s="166">
        <f>C50+C51</f>
        <v>120.19230769230769</v>
      </c>
    </row>
    <row r="53" spans="1:3" x14ac:dyDescent="0.15">
      <c r="C53" s="104"/>
    </row>
    <row r="54" spans="1:3" x14ac:dyDescent="0.15">
      <c r="A54" s="3" t="s">
        <v>290</v>
      </c>
      <c r="C54" s="173">
        <f>C52/C39</f>
        <v>9.6153846153846159E-2</v>
      </c>
    </row>
    <row r="55" spans="1:3" x14ac:dyDescent="0.15">
      <c r="A55" s="149"/>
      <c r="C55" s="104"/>
    </row>
    <row r="56" spans="1:3" x14ac:dyDescent="0.15">
      <c r="A56" s="3" t="s">
        <v>294</v>
      </c>
      <c r="C56" s="104"/>
    </row>
    <row r="57" spans="1:3" x14ac:dyDescent="0.15">
      <c r="A57" s="149"/>
      <c r="C57" s="104"/>
    </row>
    <row r="58" spans="1:3" x14ac:dyDescent="0.15">
      <c r="A58" s="149" t="s">
        <v>295</v>
      </c>
      <c r="C58" s="104"/>
    </row>
    <row r="59" spans="1:3" x14ac:dyDescent="0.15">
      <c r="A59" s="3" t="s">
        <v>1387</v>
      </c>
      <c r="B59" s="105">
        <v>114000</v>
      </c>
      <c r="C59" s="104"/>
    </row>
    <row r="60" spans="1:3" x14ac:dyDescent="0.15">
      <c r="A60" s="149"/>
      <c r="C60" s="104"/>
    </row>
    <row r="61" spans="1:3" x14ac:dyDescent="0.15">
      <c r="A61" s="368"/>
      <c r="B61" s="360" t="s">
        <v>75</v>
      </c>
      <c r="C61" s="388" t="s">
        <v>76</v>
      </c>
    </row>
    <row r="62" spans="1:3" x14ac:dyDescent="0.15">
      <c r="A62" s="3" t="s">
        <v>296</v>
      </c>
      <c r="B62" s="92">
        <f>B59/B17</f>
        <v>11.4</v>
      </c>
      <c r="C62" s="92">
        <f>(B59-C20)/C17</f>
        <v>10.227272727272727</v>
      </c>
    </row>
    <row r="63" spans="1:3" x14ac:dyDescent="0.15">
      <c r="A63" s="149"/>
      <c r="C63" s="104"/>
    </row>
    <row r="64" spans="1:3" x14ac:dyDescent="0.15">
      <c r="A64" s="149"/>
      <c r="C64" s="104"/>
    </row>
    <row r="65" spans="1:5" x14ac:dyDescent="0.15">
      <c r="A65" s="174"/>
      <c r="B65" s="175"/>
      <c r="C65" s="176"/>
      <c r="D65" s="175"/>
      <c r="E65" s="175"/>
    </row>
    <row r="66" spans="1:5" x14ac:dyDescent="0.15">
      <c r="A66" s="7" t="s">
        <v>866</v>
      </c>
      <c r="B66" s="166">
        <v>111400</v>
      </c>
      <c r="C66" s="166">
        <f>B66</f>
        <v>111400</v>
      </c>
    </row>
    <row r="67" spans="1:5" x14ac:dyDescent="0.15">
      <c r="A67" s="3" t="s">
        <v>605</v>
      </c>
      <c r="B67" s="166">
        <f>B20</f>
        <v>0</v>
      </c>
      <c r="C67" s="166">
        <v>21000</v>
      </c>
    </row>
    <row r="68" spans="1:5" x14ac:dyDescent="0.15">
      <c r="A68" s="3" t="s">
        <v>604</v>
      </c>
      <c r="B68" s="166">
        <f>B66-B67</f>
        <v>111400</v>
      </c>
      <c r="C68" s="166">
        <f>C66-C67</f>
        <v>90400</v>
      </c>
    </row>
    <row r="69" spans="1:5" x14ac:dyDescent="0.15">
      <c r="A69" s="3" t="s">
        <v>606</v>
      </c>
      <c r="B69" s="67">
        <f>B67/B66</f>
        <v>0</v>
      </c>
      <c r="C69" s="67">
        <f>C67/C66</f>
        <v>0.18850987432675045</v>
      </c>
    </row>
    <row r="70" spans="1:5" x14ac:dyDescent="0.15">
      <c r="A70" s="100" t="s">
        <v>598</v>
      </c>
      <c r="B70" s="125">
        <f>B17/B68</f>
        <v>8.9766606822262118E-2</v>
      </c>
      <c r="C70" s="125">
        <f>C17/C68</f>
        <v>9.7345132743362831E-2</v>
      </c>
    </row>
    <row r="71" spans="1:5" x14ac:dyDescent="0.15">
      <c r="A71" s="100" t="s">
        <v>600</v>
      </c>
      <c r="B71" s="125"/>
      <c r="C71" s="125">
        <f>C16/C67</f>
        <v>5.7142857142857141E-2</v>
      </c>
    </row>
    <row r="72" spans="1:5" x14ac:dyDescent="0.15">
      <c r="A72" s="100" t="s">
        <v>601</v>
      </c>
      <c r="B72" s="125">
        <f>(B70*B68+B71*B67)/(B68+B67)</f>
        <v>8.9766606822262118E-2</v>
      </c>
      <c r="C72" s="125">
        <f>(C70*C68+C71*C67)/(C68+C67)</f>
        <v>8.9766606822262118E-2</v>
      </c>
    </row>
    <row r="73" spans="1:5" x14ac:dyDescent="0.15">
      <c r="B73" s="166"/>
      <c r="C73" s="166"/>
    </row>
    <row r="74" spans="1:5" x14ac:dyDescent="0.15">
      <c r="A74" s="3" t="s">
        <v>871</v>
      </c>
      <c r="B74" s="166">
        <v>1250</v>
      </c>
      <c r="C74" s="166">
        <f>B74</f>
        <v>1250</v>
      </c>
    </row>
    <row r="75" spans="1:5" x14ac:dyDescent="0.15">
      <c r="B75" s="166"/>
      <c r="C75" s="166"/>
    </row>
    <row r="76" spans="1:5" x14ac:dyDescent="0.15">
      <c r="A76" s="88" t="s">
        <v>869</v>
      </c>
      <c r="B76" s="177"/>
      <c r="C76" s="177"/>
      <c r="E76" s="168"/>
    </row>
    <row r="77" spans="1:5" x14ac:dyDescent="0.15">
      <c r="A77" s="3" t="s">
        <v>870</v>
      </c>
      <c r="B77" s="55">
        <f>B78/B68</f>
        <v>1.1220825852782765E-2</v>
      </c>
      <c r="C77" s="55">
        <f>C78/C68</f>
        <v>1.1634260620805819E-2</v>
      </c>
      <c r="E77" s="168" t="s">
        <v>617</v>
      </c>
    </row>
    <row r="78" spans="1:5" x14ac:dyDescent="0.15">
      <c r="A78" s="100" t="s">
        <v>611</v>
      </c>
      <c r="B78" s="167">
        <f>B74</f>
        <v>1250</v>
      </c>
      <c r="C78" s="167">
        <f>C74*D78</f>
        <v>1051.7371601208461</v>
      </c>
      <c r="D78" s="67">
        <f>1/(1+C69)</f>
        <v>0.84138972809667678</v>
      </c>
      <c r="E78" s="167">
        <f>C78*C69</f>
        <v>198.26283987915411</v>
      </c>
    </row>
    <row r="79" spans="1:5" x14ac:dyDescent="0.15">
      <c r="A79" s="100" t="s">
        <v>608</v>
      </c>
      <c r="B79" s="167">
        <f>B17*B77</f>
        <v>112.20825852782765</v>
      </c>
      <c r="C79" s="167">
        <f>C17*C77</f>
        <v>102.3814934630912</v>
      </c>
    </row>
    <row r="80" spans="1:5" x14ac:dyDescent="0.15">
      <c r="A80" s="100" t="s">
        <v>601</v>
      </c>
      <c r="B80" s="178">
        <f>B79/B78</f>
        <v>8.9766606822262118E-2</v>
      </c>
      <c r="C80" s="178">
        <f>C79/C78</f>
        <v>9.7345132743362831E-2</v>
      </c>
    </row>
    <row r="81" spans="1:4" x14ac:dyDescent="0.15">
      <c r="A81" s="88" t="s">
        <v>867</v>
      </c>
      <c r="B81" s="88"/>
      <c r="C81" s="88"/>
    </row>
    <row r="82" spans="1:4" x14ac:dyDescent="0.15">
      <c r="A82" s="100" t="s">
        <v>613</v>
      </c>
      <c r="B82" s="22"/>
      <c r="C82" s="167">
        <f>B78-C78</f>
        <v>198.26283987915394</v>
      </c>
      <c r="D82" s="67">
        <f>C82/B78</f>
        <v>0.15861027190332316</v>
      </c>
    </row>
    <row r="83" spans="1:4" x14ac:dyDescent="0.15">
      <c r="A83" s="100" t="s">
        <v>868</v>
      </c>
      <c r="B83" s="22"/>
      <c r="C83" s="167">
        <f>C82*C84</f>
        <v>9.9131419939576979</v>
      </c>
      <c r="D83" s="67"/>
    </row>
    <row r="84" spans="1:4" x14ac:dyDescent="0.15">
      <c r="A84" s="170" t="s">
        <v>601</v>
      </c>
      <c r="B84" s="171">
        <f>+B15</f>
        <v>0.05</v>
      </c>
      <c r="C84" s="171">
        <f>B$15</f>
        <v>0.05</v>
      </c>
    </row>
    <row r="85" spans="1:4" x14ac:dyDescent="0.15">
      <c r="A85" s="3" t="s">
        <v>615</v>
      </c>
      <c r="B85" s="166">
        <f>B79+B82*B84</f>
        <v>112.20825852782765</v>
      </c>
      <c r="C85" s="166">
        <f>C79+C82*C84</f>
        <v>112.2946354570489</v>
      </c>
      <c r="D85" s="166">
        <f>C85-B85</f>
        <v>8.6376929221245291E-2</v>
      </c>
    </row>
    <row r="86" spans="1:4" x14ac:dyDescent="0.15">
      <c r="A86" s="3" t="s">
        <v>601</v>
      </c>
      <c r="B86" s="50">
        <f>B85/B78</f>
        <v>8.9766606822262118E-2</v>
      </c>
      <c r="C86" s="50">
        <f>C85/(C78+C82)</f>
        <v>8.9835708365639116E-2</v>
      </c>
    </row>
    <row r="87" spans="1:4" x14ac:dyDescent="0.15">
      <c r="A87" s="7" t="s">
        <v>537</v>
      </c>
      <c r="B87" s="68">
        <f>B68/B17</f>
        <v>11.14</v>
      </c>
      <c r="C87" s="68">
        <f>C68/C17</f>
        <v>10.272727272727273</v>
      </c>
    </row>
    <row r="89" spans="1:4" ht="15" x14ac:dyDescent="0.15">
      <c r="A89" s="8" t="s">
        <v>196</v>
      </c>
    </row>
    <row r="90" spans="1:4" ht="15" x14ac:dyDescent="0.15">
      <c r="A90" s="8"/>
    </row>
    <row r="91" spans="1:4" ht="15" x14ac:dyDescent="0.15">
      <c r="A91" s="117" t="s">
        <v>67</v>
      </c>
    </row>
    <row r="92" spans="1:4" x14ac:dyDescent="0.15">
      <c r="A92" s="3" t="s">
        <v>620</v>
      </c>
      <c r="B92" s="67">
        <v>0.08</v>
      </c>
    </row>
    <row r="93" spans="1:4" x14ac:dyDescent="0.15">
      <c r="A93" s="7" t="s">
        <v>618</v>
      </c>
      <c r="B93" s="110">
        <f>B92</f>
        <v>0.08</v>
      </c>
    </row>
    <row r="94" spans="1:4" x14ac:dyDescent="0.15">
      <c r="A94" s="3" t="s">
        <v>621</v>
      </c>
      <c r="B94" s="102">
        <v>100</v>
      </c>
    </row>
    <row r="95" spans="1:4" x14ac:dyDescent="0.15">
      <c r="B95" s="102"/>
    </row>
    <row r="96" spans="1:4" x14ac:dyDescent="0.15">
      <c r="A96" s="3" t="s">
        <v>68</v>
      </c>
    </row>
    <row r="97" spans="1:2" x14ac:dyDescent="0.15">
      <c r="A97" s="3" t="s">
        <v>624</v>
      </c>
      <c r="B97" s="146">
        <f>B94</f>
        <v>100</v>
      </c>
    </row>
    <row r="98" spans="1:2" x14ac:dyDescent="0.15">
      <c r="A98" s="3" t="s">
        <v>622</v>
      </c>
      <c r="B98" s="146">
        <f>B94/3</f>
        <v>33.333333333333336</v>
      </c>
    </row>
    <row r="99" spans="1:2" x14ac:dyDescent="0.15">
      <c r="A99" s="3" t="s">
        <v>619</v>
      </c>
      <c r="B99" s="67">
        <v>0.05</v>
      </c>
    </row>
    <row r="100" spans="1:2" x14ac:dyDescent="0.15">
      <c r="A100" s="3" t="s">
        <v>623</v>
      </c>
      <c r="B100" s="146">
        <f>B97-B98</f>
        <v>66.666666666666657</v>
      </c>
    </row>
    <row r="101" spans="1:2" x14ac:dyDescent="0.15">
      <c r="A101" s="7" t="s">
        <v>625</v>
      </c>
      <c r="B101" s="110">
        <f>(B92-B99*B98/B97)*B97/B100</f>
        <v>9.5000000000000001E-2</v>
      </c>
    </row>
    <row r="102" spans="1:2" x14ac:dyDescent="0.15">
      <c r="A102" s="3" t="s">
        <v>627</v>
      </c>
      <c r="B102" s="67">
        <f>B99*B98/B97+B101*B100/B97</f>
        <v>7.9999999999999988E-2</v>
      </c>
    </row>
    <row r="103" spans="1:2" x14ac:dyDescent="0.15">
      <c r="B103" s="67"/>
    </row>
    <row r="104" spans="1:2" x14ac:dyDescent="0.15">
      <c r="A104" s="3" t="s">
        <v>228</v>
      </c>
    </row>
    <row r="105" spans="1:2" x14ac:dyDescent="0.15">
      <c r="A105" s="3" t="s">
        <v>629</v>
      </c>
      <c r="B105" s="99">
        <v>1.2</v>
      </c>
    </row>
    <row r="106" spans="1:2" x14ac:dyDescent="0.15">
      <c r="A106" s="3" t="s">
        <v>492</v>
      </c>
      <c r="B106" s="80">
        <v>0.04</v>
      </c>
    </row>
    <row r="107" spans="1:2" x14ac:dyDescent="0.15">
      <c r="A107" s="7" t="s">
        <v>630</v>
      </c>
      <c r="B107" s="98">
        <f>(B105*B106+B101-B93)/B106</f>
        <v>1.5750000000000004</v>
      </c>
    </row>
    <row r="109" spans="1:2" x14ac:dyDescent="0.15">
      <c r="A109" s="3" t="s">
        <v>626</v>
      </c>
      <c r="B109" s="99">
        <f>B105</f>
        <v>1.2</v>
      </c>
    </row>
    <row r="110" spans="1:2" x14ac:dyDescent="0.15">
      <c r="A110" s="3" t="s">
        <v>628</v>
      </c>
      <c r="B110" s="99">
        <f>B109</f>
        <v>1.2</v>
      </c>
    </row>
    <row r="111" spans="1:2" x14ac:dyDescent="0.15">
      <c r="A111" s="7" t="s">
        <v>631</v>
      </c>
      <c r="B111" s="98">
        <f>(B110-B107*B100/B97)*B97/B98</f>
        <v>0.44999999999999968</v>
      </c>
    </row>
    <row r="113" spans="1:3" ht="15" x14ac:dyDescent="0.15">
      <c r="A113" s="8" t="s">
        <v>160</v>
      </c>
    </row>
    <row r="114" spans="1:3" x14ac:dyDescent="0.15">
      <c r="A114" s="3" t="s">
        <v>1525</v>
      </c>
      <c r="B114" s="68">
        <v>0.67</v>
      </c>
    </row>
    <row r="115" spans="1:3" x14ac:dyDescent="0.15">
      <c r="A115" s="3" t="s">
        <v>1372</v>
      </c>
      <c r="B115" s="68">
        <v>0.8</v>
      </c>
    </row>
    <row r="116" spans="1:3" x14ac:dyDescent="0.15">
      <c r="B116" s="68"/>
    </row>
    <row r="117" spans="1:3" x14ac:dyDescent="0.15">
      <c r="A117" s="3" t="s">
        <v>489</v>
      </c>
      <c r="B117" s="104">
        <v>0.03</v>
      </c>
    </row>
    <row r="118" spans="1:3" x14ac:dyDescent="0.15">
      <c r="A118" s="3" t="s">
        <v>492</v>
      </c>
      <c r="B118" s="104">
        <v>0.09</v>
      </c>
    </row>
    <row r="119" spans="1:3" x14ac:dyDescent="0.15">
      <c r="B119" s="68"/>
    </row>
    <row r="120" spans="1:3" x14ac:dyDescent="0.15">
      <c r="A120" s="7" t="s">
        <v>1459</v>
      </c>
      <c r="B120" s="111">
        <f>B$117+B$118*B114</f>
        <v>9.0299999999999991E-2</v>
      </c>
    </row>
    <row r="121" spans="1:3" x14ac:dyDescent="0.15">
      <c r="A121" s="7" t="s">
        <v>1373</v>
      </c>
      <c r="B121" s="111">
        <f>B$117+B$118*B115</f>
        <v>0.10199999999999999</v>
      </c>
    </row>
    <row r="123" spans="1:3" x14ac:dyDescent="0.15">
      <c r="A123" s="3" t="s">
        <v>1460</v>
      </c>
      <c r="B123" s="104">
        <v>0.05</v>
      </c>
    </row>
    <row r="124" spans="1:3" x14ac:dyDescent="0.15">
      <c r="A124" s="3" t="s">
        <v>1461</v>
      </c>
      <c r="B124" s="80">
        <v>1</v>
      </c>
    </row>
    <row r="125" spans="1:3" x14ac:dyDescent="0.15">
      <c r="A125" s="3" t="s">
        <v>1462</v>
      </c>
      <c r="B125" s="80">
        <f>1/(1+B124)</f>
        <v>0.5</v>
      </c>
    </row>
    <row r="126" spans="1:3" x14ac:dyDescent="0.15">
      <c r="A126" s="3" t="s">
        <v>1463</v>
      </c>
      <c r="B126" s="80">
        <f>B124/(B124+1)</f>
        <v>0.5</v>
      </c>
      <c r="C126" s="80"/>
    </row>
    <row r="127" spans="1:3" x14ac:dyDescent="0.15">
      <c r="A127" s="3" t="s">
        <v>1464</v>
      </c>
      <c r="B127" s="104">
        <f>B120*B125+B123*B126</f>
        <v>7.014999999999999E-2</v>
      </c>
    </row>
    <row r="128" spans="1:3" x14ac:dyDescent="0.15">
      <c r="B128" s="80"/>
    </row>
    <row r="129" spans="1:3" x14ac:dyDescent="0.15">
      <c r="A129" s="3" t="s">
        <v>1374</v>
      </c>
      <c r="B129" s="104">
        <f>B127</f>
        <v>7.014999999999999E-2</v>
      </c>
      <c r="C129" s="56"/>
    </row>
    <row r="130" spans="1:3" x14ac:dyDescent="0.15">
      <c r="A130" s="3" t="s">
        <v>1375</v>
      </c>
      <c r="B130" s="104">
        <v>5.3999999999999999E-2</v>
      </c>
    </row>
    <row r="131" spans="1:3" x14ac:dyDescent="0.15">
      <c r="A131" s="3" t="s">
        <v>1376</v>
      </c>
      <c r="B131" s="80">
        <f>(B129-B130)/(B121-B130)</f>
        <v>0.33645833333333319</v>
      </c>
    </row>
    <row r="132" spans="1:3" x14ac:dyDescent="0.15">
      <c r="A132" s="3" t="s">
        <v>1377</v>
      </c>
      <c r="B132" s="80">
        <f>1-B131</f>
        <v>0.66354166666666681</v>
      </c>
    </row>
    <row r="133" spans="1:3" x14ac:dyDescent="0.15">
      <c r="A133" s="3" t="s">
        <v>1378</v>
      </c>
      <c r="B133" s="179">
        <f>B132/B131</f>
        <v>1.972136222910218</v>
      </c>
    </row>
  </sheetData>
  <mergeCells count="1">
    <mergeCell ref="B15:C15"/>
  </mergeCells>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CA50"/>
  <sheetViews>
    <sheetView showGridLines="0" zoomScaleNormal="100" workbookViewId="0">
      <selection sqref="A1:XFD1048576"/>
    </sheetView>
  </sheetViews>
  <sheetFormatPr baseColWidth="10" defaultColWidth="11" defaultRowHeight="14" x14ac:dyDescent="0.15"/>
  <cols>
    <col min="1" max="1" width="60.1640625" style="3" customWidth="1"/>
    <col min="2" max="2" width="15.1640625" style="108" customWidth="1"/>
    <col min="3" max="4" width="11" style="3"/>
    <col min="5" max="5" width="10.1640625" style="3" customWidth="1"/>
    <col min="6" max="6" width="31.1640625" style="3" bestFit="1" customWidth="1"/>
    <col min="7" max="7" width="11" style="3"/>
    <col min="8" max="8" width="2.83203125" style="3" customWidth="1"/>
    <col min="9" max="9" width="3.83203125" style="3" customWidth="1"/>
    <col min="10" max="10" width="41.5" style="3" bestFit="1" customWidth="1"/>
    <col min="11" max="16384" width="11" style="3"/>
  </cols>
  <sheetData>
    <row r="1" spans="1:79" ht="15" x14ac:dyDescent="0.15">
      <c r="A1" s="1" t="s">
        <v>1722</v>
      </c>
      <c r="B1" s="321"/>
    </row>
    <row r="2" spans="1:79" ht="15" x14ac:dyDescent="0.15">
      <c r="A2" s="380" t="s">
        <v>941</v>
      </c>
      <c r="B2" s="399"/>
      <c r="C2" s="360" t="s">
        <v>1163</v>
      </c>
      <c r="D2" s="360" t="s">
        <v>1164</v>
      </c>
      <c r="E2" s="360" t="s">
        <v>1165</v>
      </c>
      <c r="F2" s="360" t="s">
        <v>1175</v>
      </c>
    </row>
    <row r="3" spans="1:79" ht="15" x14ac:dyDescent="0.15">
      <c r="A3" s="322" t="s">
        <v>1052</v>
      </c>
      <c r="B3" s="482"/>
      <c r="C3" s="169">
        <v>0</v>
      </c>
      <c r="D3" s="169">
        <f>-'[1]Chapitre 2'!F20-'[1] Chapitre 3'!B74</f>
        <v>24</v>
      </c>
      <c r="E3" s="169">
        <f>D3-'[1] Chapitre 3'!C74</f>
        <v>18</v>
      </c>
      <c r="F3" s="169">
        <f>E3-'[1] Chapitre 3'!D74</f>
        <v>12</v>
      </c>
    </row>
    <row r="4" spans="1:79" ht="15" x14ac:dyDescent="0.15">
      <c r="A4" s="182" t="s">
        <v>935</v>
      </c>
      <c r="B4" s="323"/>
      <c r="C4" s="166">
        <f>C5+C6</f>
        <v>0</v>
      </c>
      <c r="D4" s="166">
        <f>D5+D6</f>
        <v>14</v>
      </c>
      <c r="E4" s="166">
        <f>E5+E6</f>
        <v>14</v>
      </c>
      <c r="F4" s="166">
        <f>F5+F6</f>
        <v>14</v>
      </c>
    </row>
    <row r="5" spans="1:79" s="22" customFormat="1" ht="12" x14ac:dyDescent="0.15">
      <c r="A5" s="17" t="s">
        <v>1166</v>
      </c>
      <c r="B5" s="324"/>
      <c r="C5" s="481">
        <v>0</v>
      </c>
      <c r="D5" s="167">
        <f>'[1] Chapitre 3'!B68</f>
        <v>10</v>
      </c>
      <c r="E5" s="167">
        <f>D5</f>
        <v>10</v>
      </c>
      <c r="F5" s="167">
        <f>E5</f>
        <v>10</v>
      </c>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row>
    <row r="6" spans="1:79" s="22" customFormat="1" ht="12" x14ac:dyDescent="0.15">
      <c r="A6" s="17" t="s">
        <v>1167</v>
      </c>
      <c r="B6" s="324"/>
      <c r="C6" s="481">
        <v>0</v>
      </c>
      <c r="D6" s="167">
        <v>4</v>
      </c>
      <c r="E6" s="167">
        <v>4</v>
      </c>
      <c r="F6" s="167">
        <v>4</v>
      </c>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row>
    <row r="7" spans="1:79" ht="15" x14ac:dyDescent="0.15">
      <c r="A7" s="182" t="s">
        <v>1129</v>
      </c>
      <c r="B7" s="323"/>
      <c r="C7" s="166">
        <v>0</v>
      </c>
      <c r="D7" s="166">
        <v>36</v>
      </c>
      <c r="E7" s="166">
        <f>D7</f>
        <v>36</v>
      </c>
      <c r="F7" s="166">
        <f>E7</f>
        <v>36</v>
      </c>
    </row>
    <row r="8" spans="1:79" ht="15" x14ac:dyDescent="0.15">
      <c r="A8" s="182" t="s">
        <v>1130</v>
      </c>
      <c r="B8" s="323"/>
      <c r="C8" s="166">
        <v>0</v>
      </c>
      <c r="D8" s="166">
        <f>52-'[1]Chapitre 2'!C30+'[1]Chapitre 2'!G17</f>
        <v>14</v>
      </c>
      <c r="E8" s="166">
        <f>D8</f>
        <v>14</v>
      </c>
      <c r="F8" s="166">
        <f>E8</f>
        <v>14</v>
      </c>
    </row>
    <row r="9" spans="1:79" ht="15" x14ac:dyDescent="0.15">
      <c r="A9" s="325" t="s">
        <v>1131</v>
      </c>
      <c r="B9" s="326"/>
      <c r="C9" s="166">
        <f>C4-C7+C8</f>
        <v>0</v>
      </c>
      <c r="D9" s="166">
        <f>D4+D7-D8</f>
        <v>36</v>
      </c>
      <c r="E9" s="166">
        <f>E4+E7-E8</f>
        <v>36</v>
      </c>
      <c r="F9" s="166">
        <f>F4+F7-F8</f>
        <v>36</v>
      </c>
    </row>
    <row r="10" spans="1:79" ht="15" x14ac:dyDescent="0.15">
      <c r="A10" s="182" t="s">
        <v>1132</v>
      </c>
      <c r="B10" s="323"/>
      <c r="C10" s="166">
        <v>0</v>
      </c>
      <c r="D10" s="166">
        <v>0</v>
      </c>
      <c r="E10" s="166">
        <v>0</v>
      </c>
      <c r="F10" s="166">
        <v>0</v>
      </c>
    </row>
    <row r="11" spans="1:79" ht="15" x14ac:dyDescent="0.15">
      <c r="A11" s="327" t="s">
        <v>1133</v>
      </c>
      <c r="B11" s="483"/>
      <c r="C11" s="169">
        <f>C9+C10</f>
        <v>0</v>
      </c>
      <c r="D11" s="169">
        <f>D9+D10</f>
        <v>36</v>
      </c>
      <c r="E11" s="169">
        <f>E9+E10</f>
        <v>36</v>
      </c>
      <c r="F11" s="169">
        <f>F9+F10</f>
        <v>36</v>
      </c>
    </row>
    <row r="12" spans="1:79" ht="15" x14ac:dyDescent="0.15">
      <c r="A12" s="328" t="s">
        <v>1053</v>
      </c>
      <c r="B12" s="329"/>
      <c r="C12" s="166">
        <f>C3+C11</f>
        <v>0</v>
      </c>
      <c r="D12" s="166">
        <f>D3+D11</f>
        <v>60</v>
      </c>
      <c r="E12" s="166">
        <f>E3+E11</f>
        <v>54</v>
      </c>
      <c r="F12" s="166">
        <f>F3+F11</f>
        <v>48</v>
      </c>
    </row>
    <row r="13" spans="1:79" x14ac:dyDescent="0.15">
      <c r="A13" s="6"/>
      <c r="B13" s="330"/>
      <c r="C13" s="166"/>
      <c r="D13" s="264"/>
      <c r="E13" s="264"/>
      <c r="F13" s="264"/>
    </row>
    <row r="14" spans="1:79" x14ac:dyDescent="0.15">
      <c r="A14" s="7" t="s">
        <v>1054</v>
      </c>
      <c r="B14" s="286"/>
      <c r="C14" s="166">
        <v>40</v>
      </c>
      <c r="D14" s="264">
        <f>C14+'[1] Chapitre 3'!B79</f>
        <v>54.1</v>
      </c>
      <c r="E14" s="264">
        <f>D14+'[1] Chapitre 3'!C79</f>
        <v>70.599999999999994</v>
      </c>
      <c r="F14" s="264">
        <f>E14+'[1] Chapitre 3'!D79</f>
        <v>87.5</v>
      </c>
    </row>
    <row r="15" spans="1:79" x14ac:dyDescent="0.15">
      <c r="A15" s="88" t="s">
        <v>1055</v>
      </c>
      <c r="B15" s="484"/>
      <c r="C15" s="169">
        <v>0</v>
      </c>
      <c r="D15" s="299"/>
      <c r="E15" s="299"/>
      <c r="F15" s="299"/>
    </row>
    <row r="16" spans="1:79" x14ac:dyDescent="0.15">
      <c r="A16" s="3" t="s">
        <v>1125</v>
      </c>
      <c r="C16" s="166">
        <v>0</v>
      </c>
      <c r="D16" s="166">
        <f>-SUM('[1]Chapitre 2'!$C37:C37)</f>
        <v>16</v>
      </c>
      <c r="E16" s="166">
        <f>-SUM('[1]Chapitre 2'!$C37:D37)</f>
        <v>12</v>
      </c>
      <c r="F16" s="166">
        <f>-SUM('[1]Chapitre 2'!$C37:E37)</f>
        <v>8</v>
      </c>
    </row>
    <row r="17" spans="1:11" x14ac:dyDescent="0.15">
      <c r="A17" s="86" t="s">
        <v>1127</v>
      </c>
      <c r="B17" s="331"/>
      <c r="C17" s="166">
        <v>0</v>
      </c>
      <c r="D17" s="166">
        <v>0</v>
      </c>
      <c r="E17" s="166">
        <v>0</v>
      </c>
      <c r="F17" s="166">
        <v>0</v>
      </c>
    </row>
    <row r="18" spans="1:11" x14ac:dyDescent="0.15">
      <c r="A18" s="86" t="s">
        <v>1126</v>
      </c>
      <c r="B18" s="331"/>
      <c r="C18" s="166">
        <v>40</v>
      </c>
      <c r="D18" s="264">
        <f>C18+'[1]Chapitre 2'!C39</f>
        <v>10.100000000000001</v>
      </c>
      <c r="E18" s="264">
        <f>D18+'[1]Chapitre 2'!D39</f>
        <v>28.6</v>
      </c>
      <c r="F18" s="264">
        <f>E18+'[1]Chapitre 2'!E39</f>
        <v>47.5</v>
      </c>
    </row>
    <row r="19" spans="1:11" x14ac:dyDescent="0.15">
      <c r="A19" s="308" t="s">
        <v>1134</v>
      </c>
      <c r="B19" s="485"/>
      <c r="C19" s="169">
        <f>C16-C17-C18</f>
        <v>-40</v>
      </c>
      <c r="D19" s="299">
        <f>D16-D17-D18</f>
        <v>5.8999999999999986</v>
      </c>
      <c r="E19" s="299">
        <f>E16-E17-E18</f>
        <v>-16.600000000000001</v>
      </c>
      <c r="F19" s="299">
        <f>F16-F17-F18</f>
        <v>-39.5</v>
      </c>
    </row>
    <row r="20" spans="1:11" x14ac:dyDescent="0.15">
      <c r="A20" s="172" t="s">
        <v>1128</v>
      </c>
      <c r="B20" s="332"/>
      <c r="C20" s="166">
        <f>C14+C19</f>
        <v>0</v>
      </c>
      <c r="D20" s="166">
        <f>D14+D19</f>
        <v>60</v>
      </c>
      <c r="E20" s="166">
        <f>E14+E19</f>
        <v>53.999999999999993</v>
      </c>
      <c r="F20" s="166">
        <f>F14+F19</f>
        <v>48</v>
      </c>
    </row>
    <row r="25" spans="1:11" ht="15" x14ac:dyDescent="0.15">
      <c r="A25" s="8" t="s">
        <v>1723</v>
      </c>
      <c r="B25" s="321"/>
    </row>
    <row r="26" spans="1:11" x14ac:dyDescent="0.15">
      <c r="A26" s="103"/>
      <c r="B26" s="333"/>
    </row>
    <row r="27" spans="1:11" x14ac:dyDescent="0.2">
      <c r="A27" s="334" t="s">
        <v>1657</v>
      </c>
      <c r="B27" s="335"/>
      <c r="C27" s="334">
        <v>2021</v>
      </c>
      <c r="D27" s="486"/>
      <c r="E27" s="469" t="s">
        <v>1210</v>
      </c>
      <c r="F27" s="469"/>
      <c r="G27" s="469"/>
      <c r="H27" s="470"/>
      <c r="I27" s="469" t="s">
        <v>1217</v>
      </c>
      <c r="J27" s="469"/>
      <c r="K27" s="469"/>
    </row>
    <row r="28" spans="1:11" x14ac:dyDescent="0.2">
      <c r="A28" s="336" t="s">
        <v>1290</v>
      </c>
      <c r="B28" s="337" t="str">
        <f>TEXT(G34,"#,##0")&amp;" - "&amp;TEXT(G32,"#,##0")</f>
        <v>28,083 - 576</v>
      </c>
      <c r="C28" s="338">
        <f>G34-G32</f>
        <v>27507</v>
      </c>
      <c r="D28" s="487"/>
      <c r="E28" s="45"/>
      <c r="F28" s="45" t="s">
        <v>1634</v>
      </c>
      <c r="G28" s="45">
        <v>11181</v>
      </c>
      <c r="H28" s="45"/>
      <c r="I28" s="471"/>
      <c r="J28" s="471" t="s">
        <v>1638</v>
      </c>
      <c r="K28" s="471">
        <v>20911</v>
      </c>
    </row>
    <row r="29" spans="1:11" x14ac:dyDescent="0.2">
      <c r="A29" s="3" t="s">
        <v>1291</v>
      </c>
      <c r="C29" s="105">
        <f>G35</f>
        <v>6598</v>
      </c>
      <c r="D29" s="488"/>
      <c r="E29" s="45"/>
      <c r="F29" s="45" t="s">
        <v>1340</v>
      </c>
      <c r="G29" s="45">
        <v>2705</v>
      </c>
      <c r="H29" s="45"/>
      <c r="I29" s="45"/>
      <c r="J29" s="45" t="s">
        <v>1234</v>
      </c>
      <c r="K29" s="45">
        <v>411</v>
      </c>
    </row>
    <row r="30" spans="1:11" x14ac:dyDescent="0.2">
      <c r="A30" s="86" t="s">
        <v>1292</v>
      </c>
      <c r="B30" s="331"/>
      <c r="C30" s="105">
        <f>+G36</f>
        <v>5104</v>
      </c>
      <c r="D30" s="488"/>
      <c r="E30" s="45"/>
      <c r="F30" s="45" t="s">
        <v>1188</v>
      </c>
      <c r="G30" s="45">
        <v>11663</v>
      </c>
      <c r="H30" s="45"/>
      <c r="I30" s="471"/>
      <c r="J30" s="471" t="s">
        <v>1639</v>
      </c>
      <c r="K30" s="471">
        <f>K28+K29</f>
        <v>21322</v>
      </c>
    </row>
    <row r="31" spans="1:11" x14ac:dyDescent="0.2">
      <c r="A31" s="86" t="s">
        <v>1288</v>
      </c>
      <c r="B31" s="331" t="str">
        <f>TEXT(G37,"#,##0")&amp;" + "&amp;TEXT(G38,"#,##0")</f>
        <v>166 + 1,504</v>
      </c>
      <c r="C31" s="105">
        <f>G37+G38</f>
        <v>1670</v>
      </c>
      <c r="D31" s="488"/>
      <c r="E31" s="45"/>
      <c r="F31" s="45" t="s">
        <v>1635</v>
      </c>
      <c r="G31" s="45">
        <v>536</v>
      </c>
      <c r="H31" s="45"/>
      <c r="I31" s="45"/>
      <c r="J31" s="45" t="s">
        <v>1641</v>
      </c>
      <c r="K31" s="45">
        <v>9194</v>
      </c>
    </row>
    <row r="32" spans="1:11" x14ac:dyDescent="0.2">
      <c r="A32" s="339" t="s">
        <v>1293</v>
      </c>
      <c r="B32" s="340"/>
      <c r="C32" s="341">
        <f>SUM(C29:C31)</f>
        <v>13372</v>
      </c>
      <c r="D32" s="488"/>
      <c r="E32" s="45"/>
      <c r="F32" s="45" t="s">
        <v>1636</v>
      </c>
      <c r="G32" s="45">
        <v>576</v>
      </c>
      <c r="H32" s="45"/>
      <c r="I32" s="45"/>
      <c r="J32" s="45" t="s">
        <v>1643</v>
      </c>
      <c r="K32" s="45">
        <v>2014</v>
      </c>
    </row>
    <row r="33" spans="1:11" x14ac:dyDescent="0.2">
      <c r="A33" s="3" t="s">
        <v>1294</v>
      </c>
      <c r="C33" s="105">
        <f>K38</f>
        <v>6903</v>
      </c>
      <c r="D33" s="488"/>
      <c r="E33" s="45"/>
      <c r="F33" s="45" t="s">
        <v>1332</v>
      </c>
      <c r="G33" s="45">
        <v>1422</v>
      </c>
      <c r="H33" s="45"/>
      <c r="I33" s="45"/>
      <c r="J33" s="45" t="s">
        <v>1338</v>
      </c>
      <c r="K33" s="45">
        <v>555</v>
      </c>
    </row>
    <row r="34" spans="1:11" x14ac:dyDescent="0.2">
      <c r="A34" s="86" t="s">
        <v>1289</v>
      </c>
      <c r="B34" s="331" t="str">
        <f>TEXT(K37,"#,##0")&amp;" + "&amp;TEXT(K39,"#,##0")&amp;" + "&amp;TEXT(K40,"#,##0")</f>
        <v>479 + 236 + 4,808</v>
      </c>
      <c r="C34" s="105">
        <f>K37+K39+K40</f>
        <v>5523</v>
      </c>
      <c r="D34" s="488"/>
      <c r="E34" s="471"/>
      <c r="F34" s="471" t="s">
        <v>1637</v>
      </c>
      <c r="G34" s="471">
        <f>SUM(G28:G33)</f>
        <v>28083</v>
      </c>
      <c r="H34" s="45"/>
      <c r="I34" s="45"/>
      <c r="J34" s="45" t="s">
        <v>1646</v>
      </c>
      <c r="K34" s="45">
        <v>1066</v>
      </c>
    </row>
    <row r="35" spans="1:11" x14ac:dyDescent="0.2">
      <c r="A35" s="339" t="s">
        <v>1295</v>
      </c>
      <c r="B35" s="340"/>
      <c r="C35" s="341">
        <f>SUM(C33:C34)</f>
        <v>12426</v>
      </c>
      <c r="D35" s="488"/>
      <c r="E35" s="45"/>
      <c r="F35" s="45" t="s">
        <v>1195</v>
      </c>
      <c r="G35" s="45">
        <v>6598</v>
      </c>
      <c r="H35" s="45"/>
      <c r="I35" s="471"/>
      <c r="J35" s="471" t="s">
        <v>1648</v>
      </c>
      <c r="K35" s="471">
        <f>SUM(K31:K34)</f>
        <v>12829</v>
      </c>
    </row>
    <row r="36" spans="1:11" ht="15" x14ac:dyDescent="0.2">
      <c r="A36" s="325" t="s">
        <v>1670</v>
      </c>
      <c r="B36" s="326"/>
      <c r="C36" s="239">
        <f>C32-C35</f>
        <v>946</v>
      </c>
      <c r="D36" s="488"/>
      <c r="E36" s="45"/>
      <c r="F36" s="45" t="s">
        <v>328</v>
      </c>
      <c r="G36" s="45">
        <v>5104</v>
      </c>
      <c r="H36" s="45"/>
      <c r="I36" s="45"/>
      <c r="J36" s="45" t="s">
        <v>1649</v>
      </c>
      <c r="K36" s="45">
        <v>1336</v>
      </c>
    </row>
    <row r="37" spans="1:11" x14ac:dyDescent="0.2">
      <c r="A37" s="306" t="s">
        <v>1296</v>
      </c>
      <c r="B37" s="340"/>
      <c r="C37" s="342">
        <f>G39-K41</f>
        <v>60</v>
      </c>
      <c r="D37" s="489"/>
      <c r="E37" s="45"/>
      <c r="F37" s="45" t="s">
        <v>1640</v>
      </c>
      <c r="G37" s="45">
        <v>166</v>
      </c>
      <c r="H37" s="45"/>
      <c r="I37" s="45"/>
      <c r="J37" s="45" t="s">
        <v>1650</v>
      </c>
      <c r="K37" s="45">
        <v>479</v>
      </c>
    </row>
    <row r="38" spans="1:11" x14ac:dyDescent="0.2">
      <c r="A38" s="259" t="s">
        <v>1763</v>
      </c>
      <c r="B38" s="343"/>
      <c r="C38" s="338">
        <f>+C36+C37</f>
        <v>1006</v>
      </c>
      <c r="D38" s="488"/>
      <c r="E38" s="45"/>
      <c r="F38" s="45" t="s">
        <v>1642</v>
      </c>
      <c r="G38" s="45">
        <v>1504</v>
      </c>
      <c r="H38" s="45"/>
      <c r="I38" s="45"/>
      <c r="J38" s="45" t="s">
        <v>1287</v>
      </c>
      <c r="K38" s="45">
        <v>6903</v>
      </c>
    </row>
    <row r="39" spans="1:11" x14ac:dyDescent="0.2">
      <c r="A39" s="259" t="s">
        <v>1297</v>
      </c>
      <c r="B39" s="343"/>
      <c r="C39" s="338">
        <f>C36+C28+C37</f>
        <v>28513</v>
      </c>
      <c r="D39" s="488"/>
      <c r="E39" s="45"/>
      <c r="F39" s="45" t="s">
        <v>1644</v>
      </c>
      <c r="G39" s="45">
        <v>227</v>
      </c>
      <c r="H39" s="45"/>
      <c r="I39" s="45"/>
      <c r="J39" s="45" t="s">
        <v>1651</v>
      </c>
      <c r="K39" s="45">
        <v>236</v>
      </c>
    </row>
    <row r="40" spans="1:11" x14ac:dyDescent="0.2">
      <c r="C40" s="105"/>
      <c r="D40" s="488"/>
      <c r="E40" s="45"/>
      <c r="F40" s="45" t="s">
        <v>1645</v>
      </c>
      <c r="G40" s="45">
        <v>6943</v>
      </c>
      <c r="H40" s="45"/>
      <c r="I40" s="45"/>
      <c r="J40" s="45" t="s">
        <v>1652</v>
      </c>
      <c r="K40" s="45">
        <v>4808</v>
      </c>
    </row>
    <row r="41" spans="1:11" x14ac:dyDescent="0.2">
      <c r="A41" s="336" t="s">
        <v>1298</v>
      </c>
      <c r="B41" s="337" t="str">
        <f>TEXT(K30,"#,##0")&amp;" + "&amp;TEXT(K33,"#,##0")&amp;" - "&amp;TEXT(G32,"#,##0")</f>
        <v>21,322 + 555 - 576</v>
      </c>
      <c r="C41" s="338">
        <f>K30+K33-G32</f>
        <v>21301</v>
      </c>
      <c r="D41" s="488"/>
      <c r="E41" s="471"/>
      <c r="F41" s="471" t="s">
        <v>1647</v>
      </c>
      <c r="G41" s="471">
        <f>SUM(G35:G40)</f>
        <v>20542</v>
      </c>
      <c r="H41" s="45"/>
      <c r="I41" s="45"/>
      <c r="J41" s="45" t="s">
        <v>1653</v>
      </c>
      <c r="K41" s="45">
        <v>167</v>
      </c>
    </row>
    <row r="42" spans="1:11" x14ac:dyDescent="0.2">
      <c r="A42" s="3" t="s">
        <v>1299</v>
      </c>
      <c r="C42" s="105">
        <f>K31</f>
        <v>9194</v>
      </c>
      <c r="D42" s="488"/>
      <c r="E42" s="45"/>
      <c r="F42" s="45"/>
      <c r="G42" s="45"/>
      <c r="H42" s="45"/>
      <c r="I42" s="45"/>
      <c r="J42" s="45" t="s">
        <v>1654</v>
      </c>
      <c r="K42" s="45">
        <v>545</v>
      </c>
    </row>
    <row r="43" spans="1:11" x14ac:dyDescent="0.2">
      <c r="A43" s="86" t="s">
        <v>1300</v>
      </c>
      <c r="B43" s="331" t="str">
        <f>TEXT(K36,"#,##0")&amp;" + "&amp;TEXT(K42,"#,##0")</f>
        <v>1,336 + 545</v>
      </c>
      <c r="C43" s="105">
        <f>K36+K42</f>
        <v>1881</v>
      </c>
      <c r="D43" s="488"/>
      <c r="E43" s="45"/>
      <c r="F43" s="45"/>
      <c r="G43" s="45"/>
      <c r="H43" s="45"/>
      <c r="I43" s="471"/>
      <c r="J43" s="471" t="s">
        <v>1655</v>
      </c>
      <c r="K43" s="471">
        <f>SUM(K36:K42)</f>
        <v>14474</v>
      </c>
    </row>
    <row r="44" spans="1:11" x14ac:dyDescent="0.2">
      <c r="A44" s="86" t="s">
        <v>1301</v>
      </c>
      <c r="B44" s="331"/>
      <c r="C44" s="105">
        <f>G40</f>
        <v>6943</v>
      </c>
      <c r="D44" s="488"/>
      <c r="E44" s="471"/>
      <c r="F44" s="471" t="s">
        <v>1096</v>
      </c>
      <c r="G44" s="471">
        <f>G34+G41</f>
        <v>48625</v>
      </c>
      <c r="H44" s="45"/>
      <c r="I44" s="471"/>
      <c r="J44" s="471" t="s">
        <v>1656</v>
      </c>
      <c r="K44" s="471">
        <f>K30+K35+K43</f>
        <v>48625</v>
      </c>
    </row>
    <row r="45" spans="1:11" x14ac:dyDescent="0.2">
      <c r="A45" s="86" t="s">
        <v>1313</v>
      </c>
      <c r="B45" s="331" t="str">
        <f>TEXT(K34,"#,##0")&amp;" + "&amp;TEXT(K32,"#,##0")</f>
        <v>1,066 + 2,014</v>
      </c>
      <c r="C45" s="105">
        <f>K34+K32</f>
        <v>3080</v>
      </c>
      <c r="D45" s="488"/>
      <c r="E45" s="45"/>
      <c r="F45" s="45"/>
      <c r="G45" s="45"/>
      <c r="H45" s="45"/>
    </row>
    <row r="46" spans="1:11" x14ac:dyDescent="0.2">
      <c r="A46" s="309" t="s">
        <v>1302</v>
      </c>
      <c r="B46" s="344"/>
      <c r="C46" s="239">
        <f>C42+C43+C45-C44</f>
        <v>7212</v>
      </c>
      <c r="D46" s="488"/>
      <c r="E46" s="45"/>
      <c r="F46" s="45"/>
      <c r="G46" s="45"/>
      <c r="H46" s="45"/>
    </row>
    <row r="47" spans="1:11" x14ac:dyDescent="0.2">
      <c r="A47" s="345" t="s">
        <v>1450</v>
      </c>
      <c r="B47" s="337"/>
      <c r="C47" s="338">
        <f>C46+C41</f>
        <v>28513</v>
      </c>
      <c r="E47" s="45"/>
      <c r="F47" s="45"/>
      <c r="G47" s="45"/>
      <c r="H47" s="45"/>
    </row>
    <row r="48" spans="1:11" x14ac:dyDescent="0.2">
      <c r="E48" s="45"/>
      <c r="F48" s="45"/>
      <c r="G48" s="45"/>
      <c r="H48" s="45"/>
    </row>
    <row r="49" spans="5:8" x14ac:dyDescent="0.2">
      <c r="E49" s="45"/>
      <c r="F49" s="45"/>
      <c r="G49" s="45"/>
      <c r="H49" s="45"/>
    </row>
    <row r="50" spans="5:8" x14ac:dyDescent="0.2">
      <c r="H50" s="45"/>
    </row>
  </sheetData>
  <phoneticPr fontId="4" type="noConversion"/>
  <pageMargins left="0.78740157480314965" right="0.78740157480314965" top="0.98425196850393704" bottom="0.98425196850393704" header="0.51181102362204722" footer="0.51181102362204722"/>
  <pageSetup paperSize="9" scale="54" fitToHeight="2" orientation="landscape" r:id="rId1"/>
  <headerFooter alignWithMargins="0">
    <oddFooter>&amp;C&amp;P / &amp;N&amp;R&amp;"Verdana,Italique"&amp;9&amp;D - &amp;T&amp;L&amp;"Calibri"&amp;11&amp;K000000&amp;"Verdana,Italique"&amp;9&amp;F - &amp;A_x000D_&amp;1#&amp;"Calibri"&amp;1&amp;KFFFFFFC1 - Public Natixis</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euil30">
    <pageSetUpPr fitToPage="1"/>
  </sheetPr>
  <dimension ref="A1:G114"/>
  <sheetViews>
    <sheetView showGridLines="0" workbookViewId="0">
      <selection activeCell="G1" sqref="G1"/>
    </sheetView>
  </sheetViews>
  <sheetFormatPr baseColWidth="10" defaultColWidth="10.83203125" defaultRowHeight="14" x14ac:dyDescent="0.15"/>
  <cols>
    <col min="1" max="1" width="3.83203125" style="3" customWidth="1"/>
    <col min="2" max="2" width="29.1640625" style="3" customWidth="1"/>
    <col min="3" max="3" width="10.83203125" style="3"/>
    <col min="4" max="4" width="11.83203125" style="3" bestFit="1" customWidth="1"/>
    <col min="5" max="6" width="10.83203125" style="3"/>
    <col min="7" max="7" width="11.83203125" style="3" bestFit="1" customWidth="1"/>
    <col min="8" max="16384" width="10.83203125" style="3"/>
  </cols>
  <sheetData>
    <row r="1" spans="1:5" ht="15" x14ac:dyDescent="0.15">
      <c r="A1" s="2"/>
      <c r="B1" s="54" t="s">
        <v>1235</v>
      </c>
    </row>
    <row r="2" spans="1:5" x14ac:dyDescent="0.15">
      <c r="B2" s="54" t="s">
        <v>992</v>
      </c>
    </row>
    <row r="3" spans="1:5" x14ac:dyDescent="0.15">
      <c r="B3" s="3" t="s">
        <v>597</v>
      </c>
      <c r="C3" s="80">
        <v>0.7</v>
      </c>
    </row>
    <row r="4" spans="1:5" x14ac:dyDescent="0.15">
      <c r="B4" s="3" t="s">
        <v>598</v>
      </c>
      <c r="C4" s="80">
        <v>0.1</v>
      </c>
    </row>
    <row r="5" spans="1:5" x14ac:dyDescent="0.15">
      <c r="B5" s="3" t="s">
        <v>599</v>
      </c>
      <c r="C5" s="80">
        <f>1-C3</f>
        <v>0.30000000000000004</v>
      </c>
    </row>
    <row r="6" spans="1:5" x14ac:dyDescent="0.15">
      <c r="B6" s="3" t="s">
        <v>600</v>
      </c>
      <c r="C6" s="80">
        <v>0.06</v>
      </c>
    </row>
    <row r="8" spans="1:5" x14ac:dyDescent="0.15">
      <c r="B8" s="3" t="s">
        <v>632</v>
      </c>
      <c r="C8" s="80">
        <v>0.2</v>
      </c>
      <c r="D8" s="80">
        <v>0.5</v>
      </c>
      <c r="E8" s="80">
        <v>0.8</v>
      </c>
    </row>
    <row r="9" spans="1:5" x14ac:dyDescent="0.15">
      <c r="B9" s="7" t="s">
        <v>601</v>
      </c>
      <c r="C9" s="152">
        <f>$C4*$C3+$C6*$C5*(1-C8)</f>
        <v>8.4400000000000003E-2</v>
      </c>
      <c r="D9" s="152">
        <f>$C4*$C3+$C6*$C5*(1-D8)</f>
        <v>7.8999999999999987E-2</v>
      </c>
      <c r="E9" s="152">
        <f>$C4*$C3+$C6*$C5*(1-E8)</f>
        <v>7.3599999999999999E-2</v>
      </c>
    </row>
    <row r="11" spans="1:5" x14ac:dyDescent="0.15">
      <c r="B11" s="54" t="s">
        <v>1237</v>
      </c>
    </row>
    <row r="12" spans="1:5" x14ac:dyDescent="0.15">
      <c r="B12" s="54" t="s">
        <v>993</v>
      </c>
    </row>
    <row r="13" spans="1:5" x14ac:dyDescent="0.15">
      <c r="B13" s="3" t="s">
        <v>633</v>
      </c>
      <c r="C13" s="29">
        <v>200</v>
      </c>
    </row>
    <row r="14" spans="1:5" x14ac:dyDescent="0.15">
      <c r="B14" s="3" t="s">
        <v>632</v>
      </c>
      <c r="C14" s="80">
        <v>0.3</v>
      </c>
    </row>
    <row r="16" spans="1:5" x14ac:dyDescent="0.15">
      <c r="B16" s="3" t="s">
        <v>622</v>
      </c>
      <c r="C16" s="29">
        <v>50</v>
      </c>
    </row>
    <row r="17" spans="2:3" x14ac:dyDescent="0.15">
      <c r="B17" s="3" t="s">
        <v>619</v>
      </c>
      <c r="C17" s="80">
        <v>0.06</v>
      </c>
    </row>
    <row r="18" spans="2:3" x14ac:dyDescent="0.15">
      <c r="B18" s="3" t="s">
        <v>623</v>
      </c>
      <c r="C18" s="29">
        <f>C13-C16</f>
        <v>150</v>
      </c>
    </row>
    <row r="19" spans="2:3" x14ac:dyDescent="0.15">
      <c r="B19" s="3" t="s">
        <v>625</v>
      </c>
      <c r="C19" s="80">
        <v>0.11</v>
      </c>
    </row>
    <row r="21" spans="2:3" x14ac:dyDescent="0.15">
      <c r="B21" s="3" t="s">
        <v>634</v>
      </c>
      <c r="C21" s="29">
        <f>C16*C17*C14/C19</f>
        <v>8.1818181818181817</v>
      </c>
    </row>
    <row r="22" spans="2:3" x14ac:dyDescent="0.15">
      <c r="C22" s="29"/>
    </row>
    <row r="23" spans="2:3" x14ac:dyDescent="0.15">
      <c r="B23" s="7" t="s">
        <v>297</v>
      </c>
      <c r="C23" s="133">
        <f>C13+C21</f>
        <v>208.18181818181819</v>
      </c>
    </row>
    <row r="25" spans="2:3" x14ac:dyDescent="0.15">
      <c r="B25" s="54" t="s">
        <v>196</v>
      </c>
    </row>
    <row r="26" spans="2:3" x14ac:dyDescent="0.15">
      <c r="B26" s="54" t="s">
        <v>994</v>
      </c>
    </row>
    <row r="27" spans="2:3" x14ac:dyDescent="0.15">
      <c r="B27" s="3" t="s">
        <v>604</v>
      </c>
      <c r="C27" s="68">
        <v>40</v>
      </c>
    </row>
    <row r="28" spans="2:3" x14ac:dyDescent="0.15">
      <c r="B28" s="3" t="s">
        <v>605</v>
      </c>
      <c r="C28" s="68">
        <v>30</v>
      </c>
    </row>
    <row r="29" spans="2:3" x14ac:dyDescent="0.15">
      <c r="B29" s="3" t="s">
        <v>600</v>
      </c>
      <c r="C29" s="80">
        <v>0.06</v>
      </c>
    </row>
    <row r="30" spans="2:3" x14ac:dyDescent="0.15">
      <c r="B30" s="3" t="s">
        <v>632</v>
      </c>
      <c r="C30" s="80">
        <v>0.3</v>
      </c>
    </row>
    <row r="31" spans="2:3" x14ac:dyDescent="0.15">
      <c r="B31" s="3" t="s">
        <v>598</v>
      </c>
      <c r="C31" s="80">
        <v>0.11</v>
      </c>
    </row>
    <row r="33" spans="1:7" x14ac:dyDescent="0.15">
      <c r="B33" s="7" t="s">
        <v>635</v>
      </c>
      <c r="C33" s="133">
        <f>C28*C29*C30/C31</f>
        <v>4.9090909090909083</v>
      </c>
    </row>
    <row r="34" spans="1:7" x14ac:dyDescent="0.15">
      <c r="B34" s="7"/>
      <c r="C34" s="98"/>
    </row>
    <row r="35" spans="1:7" ht="15" x14ac:dyDescent="0.15">
      <c r="B35" s="6" t="s">
        <v>636</v>
      </c>
      <c r="C35" s="29">
        <v>5</v>
      </c>
    </row>
    <row r="36" spans="1:7" ht="15" x14ac:dyDescent="0.15">
      <c r="B36" s="4" t="s">
        <v>637</v>
      </c>
      <c r="C36" s="133">
        <f>(C28+C35)*(1+C29*C30/C31)-(C33+C28+C35)</f>
        <v>0.81818181818182012</v>
      </c>
    </row>
    <row r="38" spans="1:7" x14ac:dyDescent="0.15">
      <c r="B38" s="3" t="s">
        <v>634</v>
      </c>
      <c r="C38" s="29">
        <f>(C28+C35)*C29*C30/C31</f>
        <v>5.7272727272727275</v>
      </c>
    </row>
    <row r="39" spans="1:7" ht="15" x14ac:dyDescent="0.15">
      <c r="B39" s="6" t="s">
        <v>639</v>
      </c>
      <c r="C39" s="29">
        <f>C38/POWER(1+C31,4)</f>
        <v>3.7727319428304553</v>
      </c>
    </row>
    <row r="40" spans="1:7" ht="15" x14ac:dyDescent="0.15">
      <c r="B40" s="4" t="s">
        <v>638</v>
      </c>
      <c r="C40" s="133">
        <f>-C39</f>
        <v>-3.7727319428304553</v>
      </c>
    </row>
    <row r="41" spans="1:7" x14ac:dyDescent="0.15">
      <c r="B41" s="4"/>
      <c r="C41" s="133"/>
    </row>
    <row r="42" spans="1:7" x14ac:dyDescent="0.15">
      <c r="B42" s="54" t="s">
        <v>160</v>
      </c>
      <c r="C42" s="133"/>
    </row>
    <row r="43" spans="1:7" x14ac:dyDescent="0.15">
      <c r="B43" s="54"/>
      <c r="C43" s="133"/>
    </row>
    <row r="44" spans="1:7" x14ac:dyDescent="0.15">
      <c r="B44" s="153"/>
    </row>
    <row r="45" spans="1:7" x14ac:dyDescent="0.2">
      <c r="A45" s="389"/>
      <c r="B45" s="389"/>
      <c r="C45" s="390" t="s">
        <v>1618</v>
      </c>
      <c r="D45" s="390"/>
      <c r="E45" s="389"/>
      <c r="F45" s="390" t="s">
        <v>1619</v>
      </c>
      <c r="G45" s="390"/>
    </row>
    <row r="46" spans="1:7" x14ac:dyDescent="0.2">
      <c r="A46" s="389"/>
      <c r="B46" s="389"/>
      <c r="C46" s="391" t="s">
        <v>1620</v>
      </c>
      <c r="D46" s="391" t="s">
        <v>1621</v>
      </c>
      <c r="E46" s="391"/>
      <c r="F46" s="391" t="s">
        <v>1620</v>
      </c>
      <c r="G46" s="391" t="s">
        <v>1621</v>
      </c>
    </row>
    <row r="47" spans="1:7" x14ac:dyDescent="0.2">
      <c r="A47" s="154"/>
      <c r="B47" s="154" t="s">
        <v>1014</v>
      </c>
      <c r="C47" s="154">
        <f t="shared" ref="C47:C52" si="0">C100</f>
        <v>135</v>
      </c>
      <c r="D47" s="154">
        <f t="shared" ref="D47:D52" si="1">E100</f>
        <v>135</v>
      </c>
      <c r="E47" s="154"/>
      <c r="F47" s="154">
        <f t="shared" ref="F47:F52" si="2">C76</f>
        <v>135</v>
      </c>
      <c r="G47" s="154">
        <f t="shared" ref="G47:G52" si="3">E76</f>
        <v>135</v>
      </c>
    </row>
    <row r="48" spans="1:7" x14ac:dyDescent="0.2">
      <c r="A48" s="154" t="s">
        <v>220</v>
      </c>
      <c r="B48" s="154" t="s">
        <v>1185</v>
      </c>
      <c r="C48" s="154">
        <f t="shared" si="0"/>
        <v>0</v>
      </c>
      <c r="D48" s="155">
        <f>E101</f>
        <v>35</v>
      </c>
      <c r="E48" s="154"/>
      <c r="F48" s="154">
        <f t="shared" si="2"/>
        <v>0</v>
      </c>
      <c r="G48" s="154">
        <f t="shared" si="3"/>
        <v>35</v>
      </c>
    </row>
    <row r="49" spans="1:7" x14ac:dyDescent="0.2">
      <c r="A49" s="154" t="s">
        <v>246</v>
      </c>
      <c r="B49" s="154" t="s">
        <v>1622</v>
      </c>
      <c r="C49" s="155">
        <f t="shared" si="0"/>
        <v>135</v>
      </c>
      <c r="D49" s="155">
        <f t="shared" si="1"/>
        <v>100</v>
      </c>
      <c r="E49" s="155"/>
      <c r="F49" s="155">
        <f t="shared" si="2"/>
        <v>135</v>
      </c>
      <c r="G49" s="155">
        <f t="shared" si="3"/>
        <v>100</v>
      </c>
    </row>
    <row r="50" spans="1:7" x14ac:dyDescent="0.2">
      <c r="A50" s="154" t="s">
        <v>220</v>
      </c>
      <c r="B50" s="154" t="s">
        <v>1018</v>
      </c>
      <c r="C50" s="155">
        <f t="shared" si="0"/>
        <v>33.75</v>
      </c>
      <c r="D50" s="155">
        <f t="shared" si="1"/>
        <v>25</v>
      </c>
      <c r="E50" s="155"/>
      <c r="F50" s="155">
        <f t="shared" si="2"/>
        <v>36.450000000000003</v>
      </c>
      <c r="G50" s="155">
        <f t="shared" si="3"/>
        <v>27</v>
      </c>
    </row>
    <row r="51" spans="1:7" x14ac:dyDescent="0.2">
      <c r="A51" s="154" t="s">
        <v>246</v>
      </c>
      <c r="B51" s="154" t="s">
        <v>1051</v>
      </c>
      <c r="C51" s="155">
        <f t="shared" si="0"/>
        <v>101.25</v>
      </c>
      <c r="D51" s="155">
        <f t="shared" si="1"/>
        <v>75</v>
      </c>
      <c r="E51" s="155"/>
      <c r="F51" s="155">
        <f t="shared" si="2"/>
        <v>98.55</v>
      </c>
      <c r="G51" s="155">
        <f t="shared" si="3"/>
        <v>73</v>
      </c>
    </row>
    <row r="52" spans="1:7" x14ac:dyDescent="0.2">
      <c r="A52" s="154"/>
      <c r="B52" s="154" t="s">
        <v>1623</v>
      </c>
      <c r="C52" s="155">
        <f t="shared" si="0"/>
        <v>101.25</v>
      </c>
      <c r="D52" s="155">
        <f t="shared" si="1"/>
        <v>75</v>
      </c>
      <c r="E52" s="155"/>
      <c r="F52" s="155">
        <f t="shared" si="2"/>
        <v>98.55</v>
      </c>
      <c r="G52" s="155">
        <f t="shared" si="3"/>
        <v>73</v>
      </c>
    </row>
    <row r="53" spans="1:7" x14ac:dyDescent="0.2">
      <c r="A53" s="154"/>
      <c r="B53" s="154"/>
      <c r="C53" s="154"/>
      <c r="D53" s="154"/>
      <c r="E53" s="154"/>
      <c r="F53" s="154"/>
      <c r="G53" s="154"/>
    </row>
    <row r="54" spans="1:7" x14ac:dyDescent="0.2">
      <c r="A54" s="154"/>
      <c r="B54" s="154" t="s">
        <v>1624</v>
      </c>
      <c r="C54" s="155">
        <f t="shared" ref="C54:C61" si="4">C107</f>
        <v>15.1875</v>
      </c>
      <c r="D54" s="155">
        <f t="shared" ref="D54:D61" si="5">E107</f>
        <v>11.25</v>
      </c>
      <c r="E54" s="155"/>
      <c r="F54" s="155">
        <f t="shared" ref="F54:F61" si="6">C83</f>
        <v>19.71</v>
      </c>
      <c r="G54" s="155">
        <f t="shared" ref="G54:G61" si="7">E83</f>
        <v>14.600000000000001</v>
      </c>
    </row>
    <row r="55" spans="1:7" x14ac:dyDescent="0.2">
      <c r="A55" s="154"/>
      <c r="B55" s="154" t="s">
        <v>1625</v>
      </c>
      <c r="C55" s="155">
        <f t="shared" si="4"/>
        <v>0</v>
      </c>
      <c r="D55" s="155">
        <f t="shared" si="5"/>
        <v>6.3</v>
      </c>
      <c r="E55" s="155"/>
      <c r="F55" s="155">
        <f t="shared" si="6"/>
        <v>0</v>
      </c>
      <c r="G55" s="155">
        <f t="shared" si="7"/>
        <v>12.95</v>
      </c>
    </row>
    <row r="56" spans="1:7" x14ac:dyDescent="0.2">
      <c r="A56" s="154"/>
      <c r="B56" s="154" t="s">
        <v>1626</v>
      </c>
      <c r="C56" s="155">
        <f t="shared" si="4"/>
        <v>86.0625</v>
      </c>
      <c r="D56" s="155">
        <f t="shared" si="5"/>
        <v>63.75</v>
      </c>
      <c r="E56" s="155"/>
      <c r="F56" s="155">
        <f t="shared" si="6"/>
        <v>78.84</v>
      </c>
      <c r="G56" s="155">
        <f t="shared" si="7"/>
        <v>58.4</v>
      </c>
    </row>
    <row r="57" spans="1:7" x14ac:dyDescent="0.2">
      <c r="A57" s="154"/>
      <c r="B57" s="154" t="s">
        <v>1627</v>
      </c>
      <c r="C57" s="156">
        <f t="shared" si="4"/>
        <v>8.60625E-2</v>
      </c>
      <c r="D57" s="156">
        <f t="shared" si="5"/>
        <v>0.1275</v>
      </c>
      <c r="E57" s="156"/>
      <c r="F57" s="156">
        <f t="shared" si="6"/>
        <v>7.8840000000000007E-2</v>
      </c>
      <c r="G57" s="156">
        <f t="shared" si="7"/>
        <v>0.1168</v>
      </c>
    </row>
    <row r="58" spans="1:7" x14ac:dyDescent="0.2">
      <c r="A58" s="154"/>
      <c r="B58" s="154" t="s">
        <v>1628</v>
      </c>
      <c r="C58" s="155">
        <f t="shared" si="4"/>
        <v>0</v>
      </c>
      <c r="D58" s="155">
        <f t="shared" si="5"/>
        <v>28.7</v>
      </c>
      <c r="E58" s="155"/>
      <c r="F58" s="155">
        <f t="shared" si="6"/>
        <v>0</v>
      </c>
      <c r="G58" s="155">
        <f t="shared" si="7"/>
        <v>22.05</v>
      </c>
    </row>
    <row r="59" spans="1:7" x14ac:dyDescent="0.2">
      <c r="A59" s="154"/>
      <c r="B59" s="154" t="s">
        <v>1629</v>
      </c>
      <c r="C59" s="156">
        <f t="shared" si="4"/>
        <v>0</v>
      </c>
      <c r="D59" s="156">
        <f t="shared" si="5"/>
        <v>5.74E-2</v>
      </c>
      <c r="E59" s="156"/>
      <c r="F59" s="156">
        <f t="shared" si="6"/>
        <v>0</v>
      </c>
      <c r="G59" s="156">
        <f t="shared" si="7"/>
        <v>4.41E-2</v>
      </c>
    </row>
    <row r="60" spans="1:7" x14ac:dyDescent="0.2">
      <c r="A60" s="154"/>
      <c r="B60" s="154" t="s">
        <v>1630</v>
      </c>
      <c r="C60" s="155">
        <f t="shared" si="4"/>
        <v>86.0625</v>
      </c>
      <c r="D60" s="155">
        <f t="shared" si="5"/>
        <v>92.45</v>
      </c>
      <c r="E60" s="155"/>
      <c r="F60" s="155">
        <f t="shared" si="6"/>
        <v>78.84</v>
      </c>
      <c r="G60" s="155">
        <f t="shared" si="7"/>
        <v>80.45</v>
      </c>
    </row>
    <row r="61" spans="1:7" x14ac:dyDescent="0.2">
      <c r="A61" s="157"/>
      <c r="B61" s="157" t="s">
        <v>640</v>
      </c>
      <c r="C61" s="158">
        <f t="shared" si="4"/>
        <v>48.9375</v>
      </c>
      <c r="D61" s="158">
        <f t="shared" si="5"/>
        <v>42.55</v>
      </c>
      <c r="E61" s="158"/>
      <c r="F61" s="158">
        <f t="shared" si="6"/>
        <v>56.160000000000004</v>
      </c>
      <c r="G61" s="158">
        <f t="shared" si="7"/>
        <v>54.55</v>
      </c>
    </row>
    <row r="62" spans="1:7" x14ac:dyDescent="0.2">
      <c r="A62" s="154"/>
      <c r="B62" s="154"/>
      <c r="C62" s="154"/>
      <c r="D62" s="154"/>
      <c r="E62" s="154"/>
      <c r="F62" s="154"/>
      <c r="G62" s="154"/>
    </row>
    <row r="63" spans="1:7" x14ac:dyDescent="0.2">
      <c r="A63" s="154"/>
      <c r="B63" s="154"/>
      <c r="C63" s="154"/>
      <c r="D63" s="154"/>
      <c r="E63" s="154"/>
      <c r="F63" s="154"/>
      <c r="G63" s="154"/>
    </row>
    <row r="64" spans="1:7" x14ac:dyDescent="0.2">
      <c r="A64" s="154"/>
      <c r="B64" s="154"/>
      <c r="C64" s="154"/>
      <c r="D64" s="154"/>
      <c r="E64" s="154"/>
      <c r="F64" s="154"/>
      <c r="G64" s="154"/>
    </row>
    <row r="65" spans="1:7" x14ac:dyDescent="0.2">
      <c r="A65" s="154"/>
      <c r="B65" s="154"/>
      <c r="C65" s="154"/>
      <c r="D65" s="154"/>
      <c r="E65" s="154"/>
      <c r="F65" s="154"/>
      <c r="G65" s="154"/>
    </row>
    <row r="66" spans="1:7" x14ac:dyDescent="0.2">
      <c r="A66" s="154"/>
      <c r="B66" s="154"/>
      <c r="C66" s="154"/>
      <c r="D66" s="154"/>
      <c r="E66" s="154"/>
      <c r="F66" s="154"/>
      <c r="G66" s="154"/>
    </row>
    <row r="67" spans="1:7" x14ac:dyDescent="0.2">
      <c r="A67" s="154"/>
      <c r="B67" s="154"/>
      <c r="C67" s="154"/>
      <c r="D67" s="154"/>
      <c r="E67" s="154"/>
      <c r="F67" s="154"/>
      <c r="G67" s="154"/>
    </row>
    <row r="68" spans="1:7" x14ac:dyDescent="0.2">
      <c r="A68" s="154"/>
      <c r="B68" s="159" t="s">
        <v>1633</v>
      </c>
      <c r="C68" s="154"/>
      <c r="D68" s="154"/>
      <c r="E68" s="154"/>
      <c r="F68" s="154"/>
      <c r="G68" s="154"/>
    </row>
    <row r="69" spans="1:7" x14ac:dyDescent="0.2">
      <c r="A69" s="154"/>
      <c r="B69" s="154"/>
      <c r="C69" s="154"/>
      <c r="D69" s="154"/>
      <c r="E69" s="154"/>
      <c r="F69" s="154"/>
      <c r="G69" s="154"/>
    </row>
    <row r="70" spans="1:7" x14ac:dyDescent="0.2">
      <c r="A70" s="154"/>
      <c r="B70" s="154" t="s">
        <v>265</v>
      </c>
      <c r="C70" s="160">
        <v>1000</v>
      </c>
      <c r="D70" s="154">
        <v>750</v>
      </c>
      <c r="E70" s="160">
        <v>500</v>
      </c>
      <c r="F70" s="154">
        <v>250</v>
      </c>
      <c r="G70" s="154"/>
    </row>
    <row r="71" spans="1:7" x14ac:dyDescent="0.2">
      <c r="A71" s="154"/>
      <c r="B71" s="154" t="s">
        <v>192</v>
      </c>
      <c r="C71" s="160">
        <v>0</v>
      </c>
      <c r="D71" s="154">
        <v>250</v>
      </c>
      <c r="E71" s="160">
        <v>500</v>
      </c>
      <c r="F71" s="154">
        <v>750</v>
      </c>
      <c r="G71" s="154"/>
    </row>
    <row r="72" spans="1:7" x14ac:dyDescent="0.2">
      <c r="A72" s="154"/>
      <c r="B72" s="154" t="s">
        <v>1242</v>
      </c>
      <c r="C72" s="160">
        <f>+C70+C71</f>
        <v>1000</v>
      </c>
      <c r="D72" s="154">
        <f>+D70+D71</f>
        <v>1000</v>
      </c>
      <c r="E72" s="160">
        <f>+E70+E71</f>
        <v>1000</v>
      </c>
      <c r="F72" s="154">
        <f>+F70+F71</f>
        <v>1000</v>
      </c>
      <c r="G72" s="154"/>
    </row>
    <row r="73" spans="1:7" x14ac:dyDescent="0.2">
      <c r="A73" s="154"/>
      <c r="B73" s="154"/>
      <c r="C73" s="160"/>
      <c r="D73" s="154"/>
      <c r="E73" s="160"/>
      <c r="F73" s="154"/>
      <c r="G73" s="154"/>
    </row>
    <row r="74" spans="1:7" x14ac:dyDescent="0.2">
      <c r="A74" s="154"/>
      <c r="B74" s="154" t="s">
        <v>881</v>
      </c>
      <c r="C74" s="160"/>
      <c r="D74" s="161">
        <v>2.5000000000000001E-2</v>
      </c>
      <c r="E74" s="162">
        <v>7.0000000000000007E-2</v>
      </c>
      <c r="F74" s="161">
        <v>0.06</v>
      </c>
      <c r="G74" s="154"/>
    </row>
    <row r="75" spans="1:7" x14ac:dyDescent="0.2">
      <c r="A75" s="154"/>
      <c r="B75" s="154"/>
      <c r="C75" s="160"/>
      <c r="D75" s="154"/>
      <c r="E75" s="160"/>
      <c r="F75" s="154"/>
      <c r="G75" s="154"/>
    </row>
    <row r="76" spans="1:7" x14ac:dyDescent="0.2">
      <c r="A76" s="154"/>
      <c r="B76" s="154" t="s">
        <v>1014</v>
      </c>
      <c r="C76" s="160">
        <v>135</v>
      </c>
      <c r="D76" s="154">
        <f>C76</f>
        <v>135</v>
      </c>
      <c r="E76" s="160">
        <f>D76</f>
        <v>135</v>
      </c>
      <c r="F76" s="154">
        <f>E76</f>
        <v>135</v>
      </c>
      <c r="G76" s="154"/>
    </row>
    <row r="77" spans="1:7" x14ac:dyDescent="0.2">
      <c r="A77" s="154"/>
      <c r="B77" s="154" t="s">
        <v>1185</v>
      </c>
      <c r="C77" s="160">
        <f>C71*C74</f>
        <v>0</v>
      </c>
      <c r="D77" s="155">
        <f>D71*D74</f>
        <v>6.25</v>
      </c>
      <c r="E77" s="163">
        <f>E71*E74</f>
        <v>35</v>
      </c>
      <c r="F77" s="154">
        <f>F71*F74</f>
        <v>45</v>
      </c>
      <c r="G77" s="154"/>
    </row>
    <row r="78" spans="1:7" x14ac:dyDescent="0.2">
      <c r="A78" s="154"/>
      <c r="B78" s="154" t="s">
        <v>1622</v>
      </c>
      <c r="C78" s="160">
        <f>C76-C77</f>
        <v>135</v>
      </c>
      <c r="D78" s="155">
        <f>D76-D77</f>
        <v>128.75</v>
      </c>
      <c r="E78" s="163">
        <f>E76-E77</f>
        <v>100</v>
      </c>
      <c r="F78" s="155">
        <f>F76-F77</f>
        <v>90</v>
      </c>
      <c r="G78" s="154"/>
    </row>
    <row r="79" spans="1:7" x14ac:dyDescent="0.2">
      <c r="A79" s="154"/>
      <c r="B79" s="154" t="s">
        <v>1018</v>
      </c>
      <c r="C79" s="163">
        <f>C78*$G$79</f>
        <v>36.450000000000003</v>
      </c>
      <c r="D79" s="155">
        <f t="shared" ref="D79:F79" si="8">D78*$G$79</f>
        <v>34.762500000000003</v>
      </c>
      <c r="E79" s="163">
        <f t="shared" si="8"/>
        <v>27</v>
      </c>
      <c r="F79" s="155">
        <f t="shared" si="8"/>
        <v>24.3</v>
      </c>
      <c r="G79" s="161">
        <v>0.27</v>
      </c>
    </row>
    <row r="80" spans="1:7" x14ac:dyDescent="0.2">
      <c r="A80" s="154"/>
      <c r="B80" s="154" t="s">
        <v>1051</v>
      </c>
      <c r="C80" s="163">
        <f>C78-C79</f>
        <v>98.55</v>
      </c>
      <c r="D80" s="155">
        <f>D78-D79</f>
        <v>93.987499999999997</v>
      </c>
      <c r="E80" s="163">
        <f>E78-E79</f>
        <v>73</v>
      </c>
      <c r="F80" s="155">
        <f>F78-F79</f>
        <v>65.7</v>
      </c>
      <c r="G80" s="161"/>
    </row>
    <row r="81" spans="1:7" x14ac:dyDescent="0.2">
      <c r="A81" s="154"/>
      <c r="B81" s="154" t="s">
        <v>1623</v>
      </c>
      <c r="C81" s="163">
        <f>C80</f>
        <v>98.55</v>
      </c>
      <c r="D81" s="155">
        <f>D80</f>
        <v>93.987499999999997</v>
      </c>
      <c r="E81" s="163">
        <f>E80</f>
        <v>73</v>
      </c>
      <c r="F81" s="155">
        <f>F80</f>
        <v>65.7</v>
      </c>
      <c r="G81" s="161"/>
    </row>
    <row r="82" spans="1:7" x14ac:dyDescent="0.2">
      <c r="A82" s="154"/>
      <c r="B82" s="154"/>
      <c r="C82" s="160"/>
      <c r="D82" s="154"/>
      <c r="E82" s="160"/>
      <c r="F82" s="154"/>
      <c r="G82" s="161"/>
    </row>
    <row r="83" spans="1:7" x14ac:dyDescent="0.2">
      <c r="A83" s="154"/>
      <c r="B83" s="154" t="s">
        <v>1624</v>
      </c>
      <c r="C83" s="163">
        <f>C81*$G$83</f>
        <v>19.71</v>
      </c>
      <c r="D83" s="155">
        <f t="shared" ref="D83:F83" si="9">D81*$G$83</f>
        <v>18.797499999999999</v>
      </c>
      <c r="E83" s="163">
        <f t="shared" si="9"/>
        <v>14.600000000000001</v>
      </c>
      <c r="F83" s="155">
        <f t="shared" si="9"/>
        <v>13.14</v>
      </c>
      <c r="G83" s="161">
        <v>0.2</v>
      </c>
    </row>
    <row r="84" spans="1:7" x14ac:dyDescent="0.2">
      <c r="A84" s="154"/>
      <c r="B84" s="154" t="s">
        <v>1625</v>
      </c>
      <c r="C84" s="163">
        <f>C77*$G$84</f>
        <v>0</v>
      </c>
      <c r="D84" s="155">
        <f t="shared" ref="D84:F84" si="10">D77*$G$84</f>
        <v>2.3125</v>
      </c>
      <c r="E84" s="163">
        <f t="shared" si="10"/>
        <v>12.95</v>
      </c>
      <c r="F84" s="155">
        <f t="shared" si="10"/>
        <v>16.649999999999999</v>
      </c>
      <c r="G84" s="161">
        <v>0.37</v>
      </c>
    </row>
    <row r="85" spans="1:7" x14ac:dyDescent="0.2">
      <c r="A85" s="154"/>
      <c r="B85" s="154" t="s">
        <v>1626</v>
      </c>
      <c r="C85" s="163">
        <f>C81-C83</f>
        <v>78.84</v>
      </c>
      <c r="D85" s="155">
        <f>D81-D83</f>
        <v>75.19</v>
      </c>
      <c r="E85" s="163">
        <f>E81-E83</f>
        <v>58.4</v>
      </c>
      <c r="F85" s="155">
        <f>F81-F83</f>
        <v>52.56</v>
      </c>
      <c r="G85" s="154"/>
    </row>
    <row r="86" spans="1:7" x14ac:dyDescent="0.2">
      <c r="A86" s="154"/>
      <c r="B86" s="154" t="s">
        <v>1627</v>
      </c>
      <c r="C86" s="164">
        <f>C85/C70</f>
        <v>7.8840000000000007E-2</v>
      </c>
      <c r="D86" s="156">
        <f>D85/D70</f>
        <v>0.10025333333333333</v>
      </c>
      <c r="E86" s="164">
        <f>E85/E70</f>
        <v>0.1168</v>
      </c>
      <c r="F86" s="156">
        <f>F85/F70</f>
        <v>0.21024000000000001</v>
      </c>
      <c r="G86" s="154"/>
    </row>
    <row r="87" spans="1:7" x14ac:dyDescent="0.2">
      <c r="A87" s="154"/>
      <c r="B87" s="154" t="s">
        <v>1628</v>
      </c>
      <c r="C87" s="163">
        <f>C77-C84</f>
        <v>0</v>
      </c>
      <c r="D87" s="155">
        <f>D77-D84</f>
        <v>3.9375</v>
      </c>
      <c r="E87" s="163">
        <f>E77-E84</f>
        <v>22.05</v>
      </c>
      <c r="F87" s="155">
        <f>F77-F84</f>
        <v>28.35</v>
      </c>
      <c r="G87" s="154"/>
    </row>
    <row r="88" spans="1:7" x14ac:dyDescent="0.2">
      <c r="A88" s="154"/>
      <c r="B88" s="154" t="s">
        <v>1629</v>
      </c>
      <c r="C88" s="164"/>
      <c r="D88" s="156">
        <f>D87/D71</f>
        <v>1.575E-2</v>
      </c>
      <c r="E88" s="164">
        <f>E87/E71</f>
        <v>4.41E-2</v>
      </c>
      <c r="F88" s="156">
        <f>F87/F71</f>
        <v>3.78E-2</v>
      </c>
      <c r="G88" s="154"/>
    </row>
    <row r="89" spans="1:7" x14ac:dyDescent="0.2">
      <c r="A89" s="154"/>
      <c r="B89" s="154" t="s">
        <v>1630</v>
      </c>
      <c r="C89" s="163">
        <f>C87+C85</f>
        <v>78.84</v>
      </c>
      <c r="D89" s="155">
        <f>D87+D85</f>
        <v>79.127499999999998</v>
      </c>
      <c r="E89" s="163">
        <f>E87+E85</f>
        <v>80.45</v>
      </c>
      <c r="F89" s="155">
        <f>F87+F85</f>
        <v>80.91</v>
      </c>
      <c r="G89" s="154"/>
    </row>
    <row r="90" spans="1:7" x14ac:dyDescent="0.2">
      <c r="A90" s="154"/>
      <c r="B90" s="154" t="s">
        <v>640</v>
      </c>
      <c r="C90" s="163">
        <f>C84+C83+C79</f>
        <v>56.160000000000004</v>
      </c>
      <c r="D90" s="155">
        <f>D84+D83+D79</f>
        <v>55.872500000000002</v>
      </c>
      <c r="E90" s="163">
        <f>E84+E83+E79</f>
        <v>54.55</v>
      </c>
      <c r="F90" s="155">
        <f>F84+F83+F79</f>
        <v>54.09</v>
      </c>
      <c r="G90" s="154"/>
    </row>
    <row r="91" spans="1:7" x14ac:dyDescent="0.2">
      <c r="A91" s="154"/>
      <c r="B91" s="154"/>
      <c r="C91" s="154"/>
      <c r="D91" s="154"/>
      <c r="E91" s="154"/>
      <c r="F91" s="154"/>
      <c r="G91" s="154"/>
    </row>
    <row r="92" spans="1:7" x14ac:dyDescent="0.2">
      <c r="A92" s="154"/>
      <c r="B92" s="159" t="s">
        <v>1618</v>
      </c>
      <c r="C92" s="154"/>
      <c r="D92" s="154"/>
      <c r="E92" s="154"/>
      <c r="F92" s="154"/>
      <c r="G92" s="154"/>
    </row>
    <row r="93" spans="1:7" x14ac:dyDescent="0.2">
      <c r="A93" s="154"/>
      <c r="B93" s="154"/>
      <c r="C93" s="154"/>
      <c r="D93" s="154"/>
      <c r="E93" s="154"/>
      <c r="F93" s="154"/>
      <c r="G93" s="154"/>
    </row>
    <row r="94" spans="1:7" x14ac:dyDescent="0.2">
      <c r="A94" s="154"/>
      <c r="B94" s="154" t="s">
        <v>265</v>
      </c>
      <c r="C94" s="160">
        <v>1000</v>
      </c>
      <c r="D94" s="154">
        <v>750</v>
      </c>
      <c r="E94" s="160">
        <v>500</v>
      </c>
      <c r="F94" s="154">
        <v>250</v>
      </c>
      <c r="G94" s="154"/>
    </row>
    <row r="95" spans="1:7" x14ac:dyDescent="0.2">
      <c r="A95" s="154"/>
      <c r="B95" s="154" t="s">
        <v>192</v>
      </c>
      <c r="C95" s="160">
        <v>0</v>
      </c>
      <c r="D95" s="154">
        <v>250</v>
      </c>
      <c r="E95" s="160">
        <v>500</v>
      </c>
      <c r="F95" s="154">
        <v>750</v>
      </c>
      <c r="G95" s="154"/>
    </row>
    <row r="96" spans="1:7" x14ac:dyDescent="0.2">
      <c r="A96" s="154"/>
      <c r="B96" s="154" t="s">
        <v>1242</v>
      </c>
      <c r="C96" s="160">
        <f>+C94+C95</f>
        <v>1000</v>
      </c>
      <c r="D96" s="154">
        <f>+D94+D95</f>
        <v>1000</v>
      </c>
      <c r="E96" s="160">
        <f>+E94+E95</f>
        <v>1000</v>
      </c>
      <c r="F96" s="154">
        <f>+F94+F95</f>
        <v>1000</v>
      </c>
      <c r="G96" s="154"/>
    </row>
    <row r="97" spans="1:7" x14ac:dyDescent="0.2">
      <c r="A97" s="154"/>
      <c r="B97" s="154"/>
      <c r="C97" s="160"/>
      <c r="D97" s="154"/>
      <c r="E97" s="160"/>
      <c r="F97" s="154"/>
      <c r="G97" s="154"/>
    </row>
    <row r="98" spans="1:7" x14ac:dyDescent="0.2">
      <c r="A98" s="154"/>
      <c r="B98" s="154" t="s">
        <v>881</v>
      </c>
      <c r="C98" s="160"/>
      <c r="D98" s="161">
        <v>2.5000000000000001E-2</v>
      </c>
      <c r="E98" s="162">
        <v>7.0000000000000007E-2</v>
      </c>
      <c r="F98" s="161">
        <v>0.06</v>
      </c>
      <c r="G98" s="154"/>
    </row>
    <row r="99" spans="1:7" x14ac:dyDescent="0.2">
      <c r="A99" s="154"/>
      <c r="B99" s="154"/>
      <c r="C99" s="160"/>
      <c r="D99" s="154"/>
      <c r="E99" s="160"/>
      <c r="F99" s="154"/>
      <c r="G99" s="154"/>
    </row>
    <row r="100" spans="1:7" x14ac:dyDescent="0.2">
      <c r="A100" s="154"/>
      <c r="B100" s="154" t="s">
        <v>1014</v>
      </c>
      <c r="C100" s="160">
        <f>C76</f>
        <v>135</v>
      </c>
      <c r="D100" s="154">
        <f t="shared" ref="D100:F100" si="11">D76</f>
        <v>135</v>
      </c>
      <c r="E100" s="160">
        <f t="shared" si="11"/>
        <v>135</v>
      </c>
      <c r="F100" s="154">
        <f t="shared" si="11"/>
        <v>135</v>
      </c>
      <c r="G100" s="154"/>
    </row>
    <row r="101" spans="1:7" x14ac:dyDescent="0.2">
      <c r="A101" s="154"/>
      <c r="B101" s="154" t="s">
        <v>1185</v>
      </c>
      <c r="C101" s="160">
        <f>C95*C98</f>
        <v>0</v>
      </c>
      <c r="D101" s="155">
        <f>D95*D98</f>
        <v>6.25</v>
      </c>
      <c r="E101" s="163">
        <f>E95*E98</f>
        <v>35</v>
      </c>
      <c r="F101" s="154">
        <f>F95*F98</f>
        <v>45</v>
      </c>
      <c r="G101" s="154"/>
    </row>
    <row r="102" spans="1:7" x14ac:dyDescent="0.2">
      <c r="A102" s="154"/>
      <c r="B102" s="154" t="s">
        <v>1622</v>
      </c>
      <c r="C102" s="160">
        <f>C100-C101</f>
        <v>135</v>
      </c>
      <c r="D102" s="155">
        <f>D100-D101</f>
        <v>128.75</v>
      </c>
      <c r="E102" s="163">
        <f>E100-E101</f>
        <v>100</v>
      </c>
      <c r="F102" s="155">
        <f>F100-F101</f>
        <v>90</v>
      </c>
      <c r="G102" s="154"/>
    </row>
    <row r="103" spans="1:7" x14ac:dyDescent="0.2">
      <c r="A103" s="154"/>
      <c r="B103" s="154" t="s">
        <v>1018</v>
      </c>
      <c r="C103" s="163">
        <f>C102*$G$103</f>
        <v>33.75</v>
      </c>
      <c r="D103" s="155">
        <f t="shared" ref="D103:F103" si="12">D102*$G$103</f>
        <v>32.1875</v>
      </c>
      <c r="E103" s="163">
        <f t="shared" si="12"/>
        <v>25</v>
      </c>
      <c r="F103" s="155">
        <f t="shared" si="12"/>
        <v>22.5</v>
      </c>
      <c r="G103" s="161">
        <v>0.25</v>
      </c>
    </row>
    <row r="104" spans="1:7" x14ac:dyDescent="0.2">
      <c r="A104" s="154"/>
      <c r="B104" s="154" t="s">
        <v>1051</v>
      </c>
      <c r="C104" s="163">
        <f>C102-C103</f>
        <v>101.25</v>
      </c>
      <c r="D104" s="155">
        <f>D102-D103</f>
        <v>96.5625</v>
      </c>
      <c r="E104" s="163">
        <f>E102-E103</f>
        <v>75</v>
      </c>
      <c r="F104" s="155">
        <f>F102-F103</f>
        <v>67.5</v>
      </c>
      <c r="G104" s="161"/>
    </row>
    <row r="105" spans="1:7" x14ac:dyDescent="0.2">
      <c r="A105" s="154"/>
      <c r="B105" s="154" t="s">
        <v>1623</v>
      </c>
      <c r="C105" s="163">
        <f>C104</f>
        <v>101.25</v>
      </c>
      <c r="D105" s="155">
        <f>D104</f>
        <v>96.5625</v>
      </c>
      <c r="E105" s="163">
        <f>E104</f>
        <v>75</v>
      </c>
      <c r="F105" s="155">
        <f>F104</f>
        <v>67.5</v>
      </c>
      <c r="G105" s="161"/>
    </row>
    <row r="106" spans="1:7" x14ac:dyDescent="0.2">
      <c r="A106" s="154"/>
      <c r="B106" s="154"/>
      <c r="C106" s="160"/>
      <c r="D106" s="154"/>
      <c r="E106" s="160"/>
      <c r="F106" s="154"/>
      <c r="G106" s="161"/>
    </row>
    <row r="107" spans="1:7" x14ac:dyDescent="0.2">
      <c r="A107" s="154"/>
      <c r="B107" s="154" t="s">
        <v>1631</v>
      </c>
      <c r="C107" s="163">
        <f>C105*$G$107</f>
        <v>15.1875</v>
      </c>
      <c r="D107" s="155">
        <f t="shared" ref="D107:F107" si="13">D105*$G$107</f>
        <v>14.484375</v>
      </c>
      <c r="E107" s="163">
        <f t="shared" si="13"/>
        <v>11.25</v>
      </c>
      <c r="F107" s="155">
        <f t="shared" si="13"/>
        <v>10.125</v>
      </c>
      <c r="G107" s="161">
        <v>0.15</v>
      </c>
    </row>
    <row r="108" spans="1:7" x14ac:dyDescent="0.2">
      <c r="A108" s="154"/>
      <c r="B108" s="154" t="s">
        <v>1632</v>
      </c>
      <c r="C108" s="163">
        <f>C101*$G$108</f>
        <v>0</v>
      </c>
      <c r="D108" s="155">
        <f t="shared" ref="D108:F108" si="14">D101*$G$108</f>
        <v>1.125</v>
      </c>
      <c r="E108" s="163">
        <f t="shared" si="14"/>
        <v>6.3</v>
      </c>
      <c r="F108" s="155">
        <f t="shared" si="14"/>
        <v>8.1</v>
      </c>
      <c r="G108" s="161">
        <v>0.18</v>
      </c>
    </row>
    <row r="109" spans="1:7" x14ac:dyDescent="0.2">
      <c r="A109" s="154"/>
      <c r="B109" s="154" t="s">
        <v>1626</v>
      </c>
      <c r="C109" s="163">
        <f>C105-C107</f>
        <v>86.0625</v>
      </c>
      <c r="D109" s="155">
        <f>D105-D107</f>
        <v>82.078125</v>
      </c>
      <c r="E109" s="163">
        <f>E105-E107</f>
        <v>63.75</v>
      </c>
      <c r="F109" s="155">
        <f>F105-F107</f>
        <v>57.375</v>
      </c>
      <c r="G109" s="154"/>
    </row>
    <row r="110" spans="1:7" x14ac:dyDescent="0.2">
      <c r="A110" s="154"/>
      <c r="B110" s="154" t="s">
        <v>1627</v>
      </c>
      <c r="C110" s="164">
        <f>C109/C94</f>
        <v>8.60625E-2</v>
      </c>
      <c r="D110" s="156">
        <f>D109/D94</f>
        <v>0.10943749999999999</v>
      </c>
      <c r="E110" s="164">
        <f>E109/E94</f>
        <v>0.1275</v>
      </c>
      <c r="F110" s="156">
        <f>F109/F94</f>
        <v>0.22950000000000001</v>
      </c>
      <c r="G110" s="154"/>
    </row>
    <row r="111" spans="1:7" x14ac:dyDescent="0.2">
      <c r="A111" s="154"/>
      <c r="B111" s="154" t="s">
        <v>1628</v>
      </c>
      <c r="C111" s="163">
        <f>C101-C108</f>
        <v>0</v>
      </c>
      <c r="D111" s="155">
        <f>D101-D108</f>
        <v>5.125</v>
      </c>
      <c r="E111" s="163">
        <f>E101-E108</f>
        <v>28.7</v>
      </c>
      <c r="F111" s="155">
        <f>F101-F108</f>
        <v>36.9</v>
      </c>
      <c r="G111" s="154"/>
    </row>
    <row r="112" spans="1:7" x14ac:dyDescent="0.2">
      <c r="A112" s="154"/>
      <c r="B112" s="154" t="s">
        <v>1629</v>
      </c>
      <c r="C112" s="164"/>
      <c r="D112" s="156">
        <f>D111/D95</f>
        <v>2.0500000000000001E-2</v>
      </c>
      <c r="E112" s="164">
        <f>E111/E95</f>
        <v>5.74E-2</v>
      </c>
      <c r="F112" s="156">
        <f>F111/F95</f>
        <v>4.9200000000000001E-2</v>
      </c>
      <c r="G112" s="154"/>
    </row>
    <row r="113" spans="1:7" x14ac:dyDescent="0.2">
      <c r="A113" s="154"/>
      <c r="B113" s="154" t="s">
        <v>1630</v>
      </c>
      <c r="C113" s="163">
        <f>C111+C109</f>
        <v>86.0625</v>
      </c>
      <c r="D113" s="155">
        <f>D111+D109</f>
        <v>87.203125</v>
      </c>
      <c r="E113" s="163">
        <f>E111+E109</f>
        <v>92.45</v>
      </c>
      <c r="F113" s="155">
        <f>F111+F109</f>
        <v>94.275000000000006</v>
      </c>
      <c r="G113" s="165">
        <f>F113/C113-1</f>
        <v>9.5424836601307295E-2</v>
      </c>
    </row>
    <row r="114" spans="1:7" x14ac:dyDescent="0.2">
      <c r="A114" s="154"/>
      <c r="B114" s="154" t="s">
        <v>640</v>
      </c>
      <c r="C114" s="163">
        <f>C108+C107+C103</f>
        <v>48.9375</v>
      </c>
      <c r="D114" s="155">
        <f>D108+D107+D103</f>
        <v>47.796875</v>
      </c>
      <c r="E114" s="163">
        <f>E108+E107+E103</f>
        <v>42.55</v>
      </c>
      <c r="F114" s="155">
        <f>F108+F107+F103</f>
        <v>40.725000000000001</v>
      </c>
      <c r="G114" s="154"/>
    </row>
  </sheetData>
  <phoneticPr fontId="4" type="noConversion"/>
  <pageMargins left="0.78740157480314965" right="0.78740157480314965" top="0.98425196850393704" bottom="0.98425196850393704" header="0.51181102362204722" footer="0.51181102362204722"/>
  <pageSetup paperSize="9" scale="94"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euil31">
    <pageSetUpPr fitToPage="1"/>
  </sheetPr>
  <dimension ref="A1:F107"/>
  <sheetViews>
    <sheetView showGridLines="0" workbookViewId="0">
      <selection activeCell="M27" sqref="M27"/>
    </sheetView>
  </sheetViews>
  <sheetFormatPr baseColWidth="10" defaultColWidth="11" defaultRowHeight="14" x14ac:dyDescent="0.15"/>
  <cols>
    <col min="1" max="1" width="23.1640625" style="3" customWidth="1"/>
    <col min="2" max="2" width="13.1640625" style="3" bestFit="1" customWidth="1"/>
    <col min="3" max="16384" width="11" style="3"/>
  </cols>
  <sheetData>
    <row r="1" spans="1:4" ht="15" x14ac:dyDescent="0.15">
      <c r="A1" s="1" t="s">
        <v>1235</v>
      </c>
    </row>
    <row r="2" spans="1:4" x14ac:dyDescent="0.15">
      <c r="A2" s="60" t="s">
        <v>641</v>
      </c>
    </row>
    <row r="3" spans="1:4" x14ac:dyDescent="0.15">
      <c r="A3" s="3" t="s">
        <v>642</v>
      </c>
      <c r="B3" s="135">
        <v>10000000</v>
      </c>
    </row>
    <row r="4" spans="1:4" x14ac:dyDescent="0.15">
      <c r="A4" s="3" t="s">
        <v>643</v>
      </c>
      <c r="B4" s="135">
        <v>5000</v>
      </c>
    </row>
    <row r="5" spans="1:4" x14ac:dyDescent="0.15">
      <c r="A5" s="3" t="s">
        <v>192</v>
      </c>
      <c r="B5" s="135">
        <v>6000000</v>
      </c>
      <c r="C5" s="135">
        <v>5</v>
      </c>
      <c r="D5" s="3" t="s">
        <v>509</v>
      </c>
    </row>
    <row r="7" spans="1:4" x14ac:dyDescent="0.15">
      <c r="A7" s="60" t="s">
        <v>644</v>
      </c>
    </row>
    <row r="8" spans="1:4" x14ac:dyDescent="0.15">
      <c r="A8" s="83" t="s">
        <v>645</v>
      </c>
      <c r="B8" s="83" t="s">
        <v>646</v>
      </c>
      <c r="C8" s="83" t="s">
        <v>647</v>
      </c>
    </row>
    <row r="9" spans="1:4" x14ac:dyDescent="0.15">
      <c r="A9" s="135">
        <v>1200</v>
      </c>
      <c r="B9" s="135">
        <v>1010</v>
      </c>
      <c r="C9" s="135">
        <v>1085</v>
      </c>
    </row>
    <row r="10" spans="1:4" x14ac:dyDescent="0.15">
      <c r="A10" s="135">
        <v>1600</v>
      </c>
      <c r="B10" s="135">
        <v>731</v>
      </c>
      <c r="C10" s="135">
        <v>832</v>
      </c>
    </row>
    <row r="11" spans="1:4" x14ac:dyDescent="0.15">
      <c r="A11" s="135">
        <v>2000</v>
      </c>
      <c r="B11" s="135">
        <v>510</v>
      </c>
      <c r="C11" s="135">
        <v>627</v>
      </c>
    </row>
    <row r="12" spans="1:4" x14ac:dyDescent="0.15">
      <c r="A12" s="135">
        <v>2400</v>
      </c>
      <c r="B12" s="135">
        <v>348</v>
      </c>
      <c r="C12" s="135">
        <v>468</v>
      </c>
    </row>
    <row r="13" spans="1:4" x14ac:dyDescent="0.15">
      <c r="A13" s="135"/>
      <c r="B13" s="135"/>
      <c r="C13" s="135"/>
    </row>
    <row r="14" spans="1:4" x14ac:dyDescent="0.15">
      <c r="A14" s="60" t="s">
        <v>298</v>
      </c>
    </row>
    <row r="15" spans="1:4" ht="15" x14ac:dyDescent="0.15">
      <c r="A15" s="6" t="s">
        <v>650</v>
      </c>
      <c r="B15" s="87">
        <f>B5/B4</f>
        <v>1200</v>
      </c>
    </row>
    <row r="16" spans="1:4" ht="12" customHeight="1" x14ac:dyDescent="0.15">
      <c r="A16" s="136" t="s">
        <v>648</v>
      </c>
      <c r="B16" s="137">
        <f>B4*B9</f>
        <v>5050000</v>
      </c>
    </row>
    <row r="17" spans="1:2" x14ac:dyDescent="0.15">
      <c r="A17" s="136" t="s">
        <v>649</v>
      </c>
      <c r="B17" s="137">
        <f>B3-B16</f>
        <v>4950000</v>
      </c>
    </row>
    <row r="19" spans="1:2" x14ac:dyDescent="0.15">
      <c r="A19" s="60" t="s">
        <v>299</v>
      </c>
    </row>
    <row r="20" spans="1:2" x14ac:dyDescent="0.15">
      <c r="A20" s="3" t="s">
        <v>651</v>
      </c>
    </row>
    <row r="21" spans="1:2" x14ac:dyDescent="0.15">
      <c r="A21" s="136" t="s">
        <v>648</v>
      </c>
      <c r="B21" s="137">
        <f>C9*B4</f>
        <v>5425000</v>
      </c>
    </row>
    <row r="22" spans="1:2" x14ac:dyDescent="0.15">
      <c r="A22" s="136" t="s">
        <v>649</v>
      </c>
      <c r="B22" s="137">
        <f>B3-B21</f>
        <v>4575000</v>
      </c>
    </row>
    <row r="23" spans="1:2" x14ac:dyDescent="0.15">
      <c r="A23" s="86" t="s">
        <v>300</v>
      </c>
    </row>
    <row r="25" spans="1:2" x14ac:dyDescent="0.15">
      <c r="A25" s="3" t="s">
        <v>653</v>
      </c>
    </row>
    <row r="26" spans="1:2" x14ac:dyDescent="0.15">
      <c r="A26" s="3" t="s">
        <v>652</v>
      </c>
      <c r="B26" s="87">
        <v>1250</v>
      </c>
    </row>
    <row r="27" spans="1:2" ht="15" x14ac:dyDescent="0.15">
      <c r="A27" s="6" t="s">
        <v>650</v>
      </c>
      <c r="B27" s="87">
        <f>B5/(B4-B26)</f>
        <v>1600</v>
      </c>
    </row>
    <row r="28" spans="1:2" x14ac:dyDescent="0.15">
      <c r="A28" s="136" t="s">
        <v>648</v>
      </c>
      <c r="B28" s="137">
        <f>B10*(B4-B26)+B26*B3/B4</f>
        <v>5241250</v>
      </c>
    </row>
    <row r="29" spans="1:2" x14ac:dyDescent="0.15">
      <c r="A29" s="136" t="s">
        <v>649</v>
      </c>
      <c r="B29" s="137">
        <f>B3*(B4-B26)/B4-B28</f>
        <v>2258750</v>
      </c>
    </row>
    <row r="30" spans="1:2" x14ac:dyDescent="0.15">
      <c r="A30" s="86" t="s">
        <v>300</v>
      </c>
    </row>
    <row r="31" spans="1:2" x14ac:dyDescent="0.15">
      <c r="A31" s="86"/>
    </row>
    <row r="32" spans="1:2" x14ac:dyDescent="0.15">
      <c r="A32" s="3" t="s">
        <v>301</v>
      </c>
    </row>
    <row r="33" spans="1:5" x14ac:dyDescent="0.15">
      <c r="A33" s="86" t="s">
        <v>302</v>
      </c>
    </row>
    <row r="34" spans="1:5" x14ac:dyDescent="0.15">
      <c r="A34" s="86"/>
    </row>
    <row r="36" spans="1:5" ht="15" x14ac:dyDescent="0.15">
      <c r="A36" s="8" t="s">
        <v>1237</v>
      </c>
    </row>
    <row r="37" spans="1:5" ht="15" x14ac:dyDescent="0.15">
      <c r="A37" s="6" t="s">
        <v>657</v>
      </c>
      <c r="B37" s="3">
        <v>50</v>
      </c>
    </row>
    <row r="38" spans="1:5" x14ac:dyDescent="0.15">
      <c r="A38" s="334" t="s">
        <v>602</v>
      </c>
      <c r="B38" s="526" t="s">
        <v>74</v>
      </c>
      <c r="C38" s="526"/>
      <c r="D38" s="526" t="s">
        <v>75</v>
      </c>
      <c r="E38" s="526"/>
    </row>
    <row r="39" spans="1:5" x14ac:dyDescent="0.15">
      <c r="A39" s="334"/>
      <c r="B39" s="360" t="s">
        <v>655</v>
      </c>
      <c r="C39" s="360" t="s">
        <v>656</v>
      </c>
      <c r="D39" s="360" t="s">
        <v>655</v>
      </c>
      <c r="E39" s="360" t="s">
        <v>656</v>
      </c>
    </row>
    <row r="40" spans="1:5" x14ac:dyDescent="0.15">
      <c r="A40" s="3" t="s">
        <v>303</v>
      </c>
      <c r="B40" s="3">
        <v>100</v>
      </c>
      <c r="C40" s="3">
        <v>150</v>
      </c>
      <c r="D40" s="3">
        <v>100</v>
      </c>
      <c r="E40" s="3">
        <v>150</v>
      </c>
    </row>
    <row r="41" spans="1:5" x14ac:dyDescent="0.15">
      <c r="A41" s="3" t="s">
        <v>304</v>
      </c>
      <c r="B41" s="80">
        <v>0.1</v>
      </c>
      <c r="C41" s="80">
        <v>0.1</v>
      </c>
      <c r="D41" s="80">
        <v>0.4</v>
      </c>
      <c r="E41" s="80">
        <v>0.4</v>
      </c>
    </row>
    <row r="42" spans="1:5" x14ac:dyDescent="0.15">
      <c r="A42" s="3" t="s">
        <v>604</v>
      </c>
      <c r="B42" s="3">
        <v>7</v>
      </c>
      <c r="C42" s="136">
        <f>C40-C43</f>
        <v>54.900000000000006</v>
      </c>
      <c r="D42" s="3">
        <v>18</v>
      </c>
      <c r="E42" s="136">
        <f>E40-E43</f>
        <v>57.900000000000006</v>
      </c>
    </row>
    <row r="43" spans="1:5" x14ac:dyDescent="0.15">
      <c r="A43" s="3" t="s">
        <v>605</v>
      </c>
      <c r="B43" s="3">
        <v>93</v>
      </c>
      <c r="C43" s="3">
        <v>95.1</v>
      </c>
      <c r="D43" s="3">
        <v>82</v>
      </c>
      <c r="E43" s="3">
        <v>92.1</v>
      </c>
    </row>
    <row r="44" spans="1:5" x14ac:dyDescent="0.15">
      <c r="A44" s="3" t="s">
        <v>600</v>
      </c>
      <c r="B44" s="55">
        <v>7.4999999999999997E-2</v>
      </c>
      <c r="C44" s="55">
        <v>5.1999999999999998E-2</v>
      </c>
      <c r="D44" s="80">
        <v>0.22</v>
      </c>
      <c r="E44" s="55">
        <v>8.5999999999999993E-2</v>
      </c>
    </row>
    <row r="46" spans="1:5" x14ac:dyDescent="0.15">
      <c r="A46" s="136" t="s">
        <v>658</v>
      </c>
      <c r="B46" s="136"/>
      <c r="C46" s="136">
        <f>C42-B42</f>
        <v>47.900000000000006</v>
      </c>
      <c r="D46" s="136"/>
      <c r="E46" s="136">
        <f>E42-D42</f>
        <v>39.900000000000006</v>
      </c>
    </row>
    <row r="47" spans="1:5" x14ac:dyDescent="0.15">
      <c r="A47" s="136" t="s">
        <v>659</v>
      </c>
      <c r="B47" s="136"/>
      <c r="C47" s="136">
        <f>C43-B43</f>
        <v>2.0999999999999943</v>
      </c>
      <c r="D47" s="136"/>
      <c r="E47" s="136">
        <f>E43-D43</f>
        <v>10.099999999999994</v>
      </c>
    </row>
    <row r="49" spans="1:6" ht="15" x14ac:dyDescent="0.15">
      <c r="A49" s="8" t="s">
        <v>196</v>
      </c>
    </row>
    <row r="50" spans="1:6" ht="15" x14ac:dyDescent="0.15">
      <c r="A50" s="8"/>
    </row>
    <row r="51" spans="1:6" x14ac:dyDescent="0.15">
      <c r="A51" s="60" t="s">
        <v>660</v>
      </c>
    </row>
    <row r="52" spans="1:6" x14ac:dyDescent="0.15">
      <c r="A52" s="88" t="s">
        <v>1217</v>
      </c>
      <c r="B52" s="141" t="s">
        <v>938</v>
      </c>
      <c r="C52" s="141" t="s">
        <v>664</v>
      </c>
      <c r="D52" s="141" t="s">
        <v>665</v>
      </c>
    </row>
    <row r="53" spans="1:6" x14ac:dyDescent="0.15">
      <c r="A53" s="3" t="s">
        <v>666</v>
      </c>
      <c r="B53" s="87">
        <f>C53*D53</f>
        <v>0</v>
      </c>
      <c r="C53" s="135"/>
      <c r="D53" s="142">
        <v>100</v>
      </c>
    </row>
    <row r="54" spans="1:6" x14ac:dyDescent="0.15">
      <c r="A54" s="3" t="s">
        <v>667</v>
      </c>
      <c r="B54" s="87">
        <f>C54*D54</f>
        <v>300000</v>
      </c>
      <c r="C54" s="135">
        <v>300</v>
      </c>
      <c r="D54" s="135">
        <v>1000</v>
      </c>
      <c r="E54" s="135">
        <v>3</v>
      </c>
      <c r="F54" s="3" t="s">
        <v>509</v>
      </c>
    </row>
    <row r="55" spans="1:6" x14ac:dyDescent="0.15">
      <c r="A55" s="88" t="s">
        <v>1210</v>
      </c>
      <c r="B55" s="143"/>
      <c r="C55" s="144"/>
      <c r="D55" s="144"/>
      <c r="E55" s="135"/>
    </row>
    <row r="56" spans="1:6" x14ac:dyDescent="0.15">
      <c r="A56" s="3" t="s">
        <v>662</v>
      </c>
      <c r="B56" s="87">
        <f>C56*D56</f>
        <v>223000</v>
      </c>
      <c r="C56" s="135">
        <v>2230</v>
      </c>
      <c r="D56" s="135">
        <v>100</v>
      </c>
    </row>
    <row r="58" spans="1:6" x14ac:dyDescent="0.15">
      <c r="A58" s="60" t="s">
        <v>661</v>
      </c>
    </row>
    <row r="59" spans="1:6" x14ac:dyDescent="0.15">
      <c r="A59" s="83" t="s">
        <v>645</v>
      </c>
      <c r="B59" s="83" t="s">
        <v>663</v>
      </c>
    </row>
    <row r="60" spans="1:6" x14ac:dyDescent="0.15">
      <c r="A60" s="135">
        <v>2600</v>
      </c>
      <c r="B60" s="135">
        <v>130</v>
      </c>
    </row>
    <row r="61" spans="1:6" x14ac:dyDescent="0.15">
      <c r="A61" s="135">
        <v>2800</v>
      </c>
      <c r="B61" s="135">
        <v>80</v>
      </c>
    </row>
    <row r="62" spans="1:6" x14ac:dyDescent="0.15">
      <c r="A62" s="135">
        <v>3000</v>
      </c>
      <c r="B62" s="135">
        <v>45</v>
      </c>
    </row>
    <row r="63" spans="1:6" x14ac:dyDescent="0.15">
      <c r="A63" s="135">
        <v>3200</v>
      </c>
      <c r="B63" s="135">
        <v>31</v>
      </c>
    </row>
    <row r="64" spans="1:6" x14ac:dyDescent="0.15">
      <c r="A64" s="3" t="s">
        <v>67</v>
      </c>
    </row>
    <row r="65" spans="1:4" ht="15" x14ac:dyDescent="0.15">
      <c r="A65" s="6" t="s">
        <v>673</v>
      </c>
      <c r="B65" s="87">
        <f>B54/D53</f>
        <v>3000</v>
      </c>
    </row>
    <row r="66" spans="1:4" x14ac:dyDescent="0.15">
      <c r="A66" s="3" t="s">
        <v>669</v>
      </c>
      <c r="B66" s="87">
        <f>B62*D53</f>
        <v>4500</v>
      </c>
    </row>
    <row r="67" spans="1:4" x14ac:dyDescent="0.15">
      <c r="A67" s="3" t="s">
        <v>670</v>
      </c>
      <c r="B67" s="145">
        <f>B56-B66</f>
        <v>218500</v>
      </c>
    </row>
    <row r="69" spans="1:4" ht="15" x14ac:dyDescent="0.15">
      <c r="A69" s="6" t="s">
        <v>668</v>
      </c>
      <c r="B69" s="135">
        <f>C69*D69</f>
        <v>13380</v>
      </c>
      <c r="C69" s="142">
        <v>2230</v>
      </c>
      <c r="D69" s="142">
        <v>6</v>
      </c>
    </row>
    <row r="70" spans="1:4" x14ac:dyDescent="0.15">
      <c r="A70" s="3" t="s">
        <v>662</v>
      </c>
      <c r="B70" s="87">
        <f>C70*D70</f>
        <v>209620</v>
      </c>
      <c r="C70" s="87">
        <v>2230</v>
      </c>
      <c r="D70" s="87">
        <f>D56-D69</f>
        <v>94</v>
      </c>
    </row>
    <row r="72" spans="1:4" x14ac:dyDescent="0.15">
      <c r="A72" s="3" t="s">
        <v>674</v>
      </c>
    </row>
    <row r="73" spans="1:4" x14ac:dyDescent="0.15">
      <c r="A73" s="3" t="s">
        <v>675</v>
      </c>
      <c r="B73" s="145">
        <f>B54/D70</f>
        <v>3191.4893617021276</v>
      </c>
    </row>
    <row r="74" spans="1:4" x14ac:dyDescent="0.15">
      <c r="A74" s="3" t="s">
        <v>676</v>
      </c>
      <c r="B74" s="146">
        <f>INDEX(LINEST(B62:B63,A62:A63),1)*B73+INDEX(LINEST(B62:B63,A62:A63),2)</f>
        <v>31.595744680851055</v>
      </c>
    </row>
    <row r="75" spans="1:4" x14ac:dyDescent="0.15">
      <c r="A75" s="6"/>
      <c r="B75" s="87"/>
    </row>
    <row r="76" spans="1:4" ht="15" x14ac:dyDescent="0.15">
      <c r="A76" s="6" t="s">
        <v>68</v>
      </c>
      <c r="B76" s="87"/>
    </row>
    <row r="77" spans="1:4" x14ac:dyDescent="0.15">
      <c r="A77" s="136" t="s">
        <v>671</v>
      </c>
      <c r="B77" s="137">
        <f>B74*D70</f>
        <v>2969.9999999999991</v>
      </c>
    </row>
    <row r="78" spans="1:4" x14ac:dyDescent="0.15">
      <c r="A78" s="136" t="s">
        <v>672</v>
      </c>
      <c r="B78" s="137">
        <f>B70-B77</f>
        <v>206650</v>
      </c>
    </row>
    <row r="80" spans="1:4" x14ac:dyDescent="0.15">
      <c r="A80" s="136" t="s">
        <v>658</v>
      </c>
      <c r="B80" s="147">
        <f>B77-B66+B69</f>
        <v>11850</v>
      </c>
    </row>
    <row r="81" spans="1:2" x14ac:dyDescent="0.15">
      <c r="A81" s="136" t="s">
        <v>659</v>
      </c>
      <c r="B81" s="147">
        <f>B78-B67</f>
        <v>-11850</v>
      </c>
    </row>
    <row r="83" spans="1:2" x14ac:dyDescent="0.15">
      <c r="A83" s="136" t="s">
        <v>305</v>
      </c>
      <c r="B83" s="104">
        <f>POWER(B54/B78,1/3)-1</f>
        <v>0.13230114992101738</v>
      </c>
    </row>
    <row r="85" spans="1:2" x14ac:dyDescent="0.15">
      <c r="A85" s="148" t="s">
        <v>1661</v>
      </c>
    </row>
    <row r="87" spans="1:2" x14ac:dyDescent="0.15">
      <c r="A87" s="149" t="s">
        <v>306</v>
      </c>
    </row>
    <row r="89" spans="1:2" x14ac:dyDescent="0.15">
      <c r="A89" s="103" t="s">
        <v>307</v>
      </c>
    </row>
    <row r="90" spans="1:2" x14ac:dyDescent="0.15">
      <c r="A90" s="3" t="s">
        <v>604</v>
      </c>
      <c r="B90" s="145">
        <f>B66</f>
        <v>4500</v>
      </c>
    </row>
    <row r="91" spans="1:2" x14ac:dyDescent="0.15">
      <c r="B91" s="145"/>
    </row>
    <row r="92" spans="1:2" x14ac:dyDescent="0.15">
      <c r="A92" s="103" t="s">
        <v>308</v>
      </c>
    </row>
    <row r="93" spans="1:2" x14ac:dyDescent="0.15">
      <c r="A93" s="3" t="s">
        <v>604</v>
      </c>
      <c r="B93" s="145">
        <f>B77</f>
        <v>2969.9999999999991</v>
      </c>
    </row>
    <row r="94" spans="1:2" x14ac:dyDescent="0.15">
      <c r="A94" s="88" t="s">
        <v>249</v>
      </c>
      <c r="B94" s="150">
        <f>B69</f>
        <v>13380</v>
      </c>
    </row>
    <row r="95" spans="1:2" x14ac:dyDescent="0.15">
      <c r="A95" s="3" t="s">
        <v>938</v>
      </c>
      <c r="B95" s="145">
        <f>B93+B94</f>
        <v>16350</v>
      </c>
    </row>
    <row r="97" spans="1:2" x14ac:dyDescent="0.15">
      <c r="A97" s="7" t="s">
        <v>888</v>
      </c>
      <c r="B97" s="151">
        <f>B95-B90</f>
        <v>11850</v>
      </c>
    </row>
    <row r="99" spans="1:2" x14ac:dyDescent="0.15">
      <c r="A99" s="149" t="s">
        <v>309</v>
      </c>
    </row>
    <row r="101" spans="1:2" x14ac:dyDescent="0.15">
      <c r="A101" s="3" t="s">
        <v>307</v>
      </c>
    </row>
    <row r="102" spans="1:2" x14ac:dyDescent="0.15">
      <c r="A102" s="3" t="s">
        <v>605</v>
      </c>
      <c r="B102" s="145">
        <f>B67</f>
        <v>218500</v>
      </c>
    </row>
    <row r="104" spans="1:2" x14ac:dyDescent="0.15">
      <c r="A104" s="3" t="s">
        <v>308</v>
      </c>
    </row>
    <row r="105" spans="1:2" x14ac:dyDescent="0.15">
      <c r="A105" s="3" t="s">
        <v>605</v>
      </c>
      <c r="B105" s="145">
        <f>B78</f>
        <v>206650</v>
      </c>
    </row>
    <row r="107" spans="1:2" x14ac:dyDescent="0.15">
      <c r="A107" s="7" t="s">
        <v>888</v>
      </c>
      <c r="B107" s="151">
        <f>B105-B102</f>
        <v>-11850</v>
      </c>
    </row>
  </sheetData>
  <mergeCells count="2">
    <mergeCell ref="B38:C38"/>
    <mergeCell ref="D38:E38"/>
  </mergeCells>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euil39"/>
  <dimension ref="A1:G20"/>
  <sheetViews>
    <sheetView showGridLines="0" workbookViewId="0">
      <selection activeCell="F7" sqref="F7"/>
    </sheetView>
  </sheetViews>
  <sheetFormatPr baseColWidth="10" defaultColWidth="11" defaultRowHeight="14" x14ac:dyDescent="0.15"/>
  <cols>
    <col min="1" max="1" width="22.83203125" style="3" customWidth="1"/>
    <col min="2" max="16384" width="11" style="3"/>
  </cols>
  <sheetData>
    <row r="1" spans="1:7" ht="15" x14ac:dyDescent="0.15">
      <c r="A1" s="1" t="s">
        <v>1285</v>
      </c>
    </row>
    <row r="2" spans="1:7" s="97" customFormat="1" ht="12" x14ac:dyDescent="0.15"/>
    <row r="3" spans="1:7" x14ac:dyDescent="0.15">
      <c r="A3" s="334" t="s">
        <v>941</v>
      </c>
      <c r="B3" s="334">
        <v>0</v>
      </c>
      <c r="C3" s="334">
        <v>1</v>
      </c>
      <c r="D3" s="334">
        <v>2</v>
      </c>
      <c r="E3" s="334">
        <v>3</v>
      </c>
      <c r="F3" s="334">
        <v>4</v>
      </c>
      <c r="G3" s="334">
        <v>5</v>
      </c>
    </row>
    <row r="4" spans="1:7" x14ac:dyDescent="0.15">
      <c r="A4" s="3" t="s">
        <v>398</v>
      </c>
      <c r="B4" s="3">
        <v>-100</v>
      </c>
      <c r="C4" s="3">
        <v>-10</v>
      </c>
      <c r="D4" s="3">
        <v>0</v>
      </c>
      <c r="E4" s="3">
        <v>0</v>
      </c>
      <c r="F4" s="3">
        <v>10</v>
      </c>
      <c r="G4" s="3">
        <v>150</v>
      </c>
    </row>
    <row r="6" spans="1:7" x14ac:dyDescent="0.15">
      <c r="A6" s="60" t="s">
        <v>906</v>
      </c>
    </row>
    <row r="7" spans="1:7" x14ac:dyDescent="0.15">
      <c r="A7" s="3" t="s">
        <v>541</v>
      </c>
      <c r="B7" s="80">
        <v>0.3</v>
      </c>
      <c r="C7" s="80">
        <v>0.22</v>
      </c>
      <c r="D7" s="80">
        <v>0.22</v>
      </c>
      <c r="E7" s="80">
        <v>0.22</v>
      </c>
      <c r="F7" s="80">
        <v>0.22</v>
      </c>
      <c r="G7" s="80">
        <v>0.22</v>
      </c>
    </row>
    <row r="8" spans="1:7" x14ac:dyDescent="0.15">
      <c r="A8" s="3" t="s">
        <v>535</v>
      </c>
      <c r="B8" s="3">
        <v>10</v>
      </c>
      <c r="C8" s="3">
        <v>8.25</v>
      </c>
      <c r="D8" s="3">
        <v>9.1</v>
      </c>
      <c r="E8" s="3">
        <v>10.3</v>
      </c>
      <c r="F8" s="3">
        <v>11.8</v>
      </c>
      <c r="G8" s="3">
        <v>13.6</v>
      </c>
    </row>
    <row r="9" spans="1:7" x14ac:dyDescent="0.15">
      <c r="A9" s="3" t="s">
        <v>907</v>
      </c>
      <c r="B9" s="104"/>
      <c r="C9" s="67">
        <f>(C8-B8)/B8</f>
        <v>-0.17499999999999999</v>
      </c>
      <c r="D9" s="67">
        <f>(D8-C8)/C8</f>
        <v>0.10303030303030299</v>
      </c>
      <c r="E9" s="67">
        <f>(E8-D8)/D8</f>
        <v>0.13186813186813198</v>
      </c>
      <c r="F9" s="67">
        <f>(F8-E8)/E8</f>
        <v>0.14563106796116504</v>
      </c>
      <c r="G9" s="67">
        <f>(G8-F8)/F8</f>
        <v>0.15254237288135583</v>
      </c>
    </row>
    <row r="10" spans="1:7" x14ac:dyDescent="0.15">
      <c r="A10" s="3" t="s">
        <v>210</v>
      </c>
      <c r="B10" s="104">
        <v>0.15</v>
      </c>
      <c r="C10" s="104">
        <v>0.11</v>
      </c>
      <c r="D10" s="104">
        <v>0.11</v>
      </c>
      <c r="E10" s="104">
        <v>0.114</v>
      </c>
      <c r="F10" s="104">
        <v>0.11600000000000001</v>
      </c>
      <c r="G10" s="104">
        <v>0.12</v>
      </c>
    </row>
    <row r="12" spans="1:7" x14ac:dyDescent="0.15">
      <c r="A12" s="60" t="s">
        <v>908</v>
      </c>
    </row>
    <row r="13" spans="1:7" x14ac:dyDescent="0.15">
      <c r="A13" s="3" t="s">
        <v>541</v>
      </c>
      <c r="B13" s="80">
        <v>0.3</v>
      </c>
      <c r="C13" s="80">
        <v>0.67</v>
      </c>
      <c r="D13" s="80">
        <v>0.67</v>
      </c>
      <c r="E13" s="80">
        <v>0.67</v>
      </c>
      <c r="F13" s="80">
        <v>0.67</v>
      </c>
      <c r="G13" s="80">
        <v>0.67</v>
      </c>
    </row>
    <row r="14" spans="1:7" x14ac:dyDescent="0.15">
      <c r="A14" s="3" t="s">
        <v>535</v>
      </c>
      <c r="B14" s="3">
        <v>10</v>
      </c>
      <c r="C14" s="3">
        <v>9.23</v>
      </c>
      <c r="D14" s="3">
        <v>10.4</v>
      </c>
      <c r="E14" s="3">
        <v>12</v>
      </c>
      <c r="F14" s="3">
        <v>14.1</v>
      </c>
      <c r="G14" s="3">
        <v>16.5</v>
      </c>
    </row>
    <row r="15" spans="1:7" x14ac:dyDescent="0.15">
      <c r="A15" s="3" t="s">
        <v>907</v>
      </c>
      <c r="C15" s="67">
        <f>(C14-B14)/B14</f>
        <v>-7.6999999999999957E-2</v>
      </c>
      <c r="D15" s="67">
        <f>(D14-C14)/C14</f>
        <v>0.12676056338028169</v>
      </c>
      <c r="E15" s="67">
        <f>(E14-D14)/D14</f>
        <v>0.1538461538461538</v>
      </c>
      <c r="F15" s="67">
        <f>(F14-E14)/E14</f>
        <v>0.17499999999999996</v>
      </c>
      <c r="G15" s="67">
        <f>(G14-F14)/F14</f>
        <v>0.17021276595744683</v>
      </c>
    </row>
    <row r="16" spans="1:7" x14ac:dyDescent="0.15">
      <c r="A16" s="3" t="s">
        <v>210</v>
      </c>
      <c r="B16" s="80">
        <v>0.15</v>
      </c>
      <c r="C16" s="80">
        <v>0.14000000000000001</v>
      </c>
      <c r="D16" s="80">
        <v>0.17</v>
      </c>
      <c r="E16" s="80">
        <v>0.18</v>
      </c>
      <c r="F16" s="80">
        <v>0.21</v>
      </c>
      <c r="G16" s="80">
        <v>0.22</v>
      </c>
    </row>
    <row r="18" spans="1:7" x14ac:dyDescent="0.15">
      <c r="A18" s="3" t="s">
        <v>516</v>
      </c>
      <c r="B18" s="68">
        <f t="shared" ref="B18:G18" si="0">B4*POWER(1+$B20,-B3)</f>
        <v>-100</v>
      </c>
      <c r="C18" s="68">
        <f t="shared" si="0"/>
        <v>-9.2561417810507294</v>
      </c>
      <c r="D18" s="68">
        <f t="shared" si="0"/>
        <v>0</v>
      </c>
      <c r="E18" s="68">
        <f t="shared" si="0"/>
        <v>0</v>
      </c>
      <c r="F18" s="68">
        <f t="shared" si="0"/>
        <v>7.3404045073080928</v>
      </c>
      <c r="G18" s="68">
        <f t="shared" si="0"/>
        <v>101.9157372748613</v>
      </c>
    </row>
    <row r="19" spans="1:7" x14ac:dyDescent="0.15">
      <c r="A19" s="3" t="s">
        <v>399</v>
      </c>
      <c r="B19" s="68">
        <f>SUM(B18:G18)</f>
        <v>1.1186642723259865E-9</v>
      </c>
    </row>
    <row r="20" spans="1:7" x14ac:dyDescent="0.15">
      <c r="A20" s="7" t="s">
        <v>689</v>
      </c>
      <c r="B20" s="111">
        <f>IRR(B4:G4)</f>
        <v>8.036374512673361E-2</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euil35">
    <pageSetUpPr fitToPage="1"/>
  </sheetPr>
  <dimension ref="A1:J33"/>
  <sheetViews>
    <sheetView showGridLines="0" workbookViewId="0">
      <selection activeCell="B1" sqref="B1"/>
    </sheetView>
  </sheetViews>
  <sheetFormatPr baseColWidth="10" defaultColWidth="11" defaultRowHeight="14" x14ac:dyDescent="0.15"/>
  <cols>
    <col min="1" max="1" width="15.83203125" style="70" customWidth="1"/>
    <col min="2" max="16384" width="11" style="3"/>
  </cols>
  <sheetData>
    <row r="1" spans="1:2" ht="15" x14ac:dyDescent="0.15">
      <c r="A1" s="1" t="s">
        <v>1235</v>
      </c>
    </row>
    <row r="2" spans="1:2" ht="15" x14ac:dyDescent="0.15">
      <c r="A2" s="70" t="s">
        <v>820</v>
      </c>
      <c r="B2" s="104">
        <v>7.4999999999999997E-2</v>
      </c>
    </row>
    <row r="3" spans="1:2" ht="15" x14ac:dyDescent="0.15">
      <c r="A3" s="70" t="s">
        <v>821</v>
      </c>
      <c r="B3" s="104">
        <v>0.2</v>
      </c>
    </row>
    <row r="4" spans="1:2" ht="15" x14ac:dyDescent="0.15">
      <c r="A4" s="70" t="s">
        <v>822</v>
      </c>
      <c r="B4" s="104">
        <v>0.03</v>
      </c>
    </row>
    <row r="5" spans="1:2" ht="15" x14ac:dyDescent="0.15">
      <c r="A5" s="70" t="s">
        <v>632</v>
      </c>
      <c r="B5" s="104">
        <v>0.25</v>
      </c>
    </row>
    <row r="6" spans="1:2" ht="15" x14ac:dyDescent="0.15">
      <c r="A6" s="70" t="s">
        <v>200</v>
      </c>
      <c r="B6" s="67">
        <f>B4*(1-B5)</f>
        <v>2.2499999999999999E-2</v>
      </c>
    </row>
    <row r="8" spans="1:2" x14ac:dyDescent="0.15">
      <c r="A8" s="60" t="s">
        <v>823</v>
      </c>
    </row>
    <row r="9" spans="1:2" ht="15" x14ac:dyDescent="0.15">
      <c r="A9" s="70" t="s">
        <v>559</v>
      </c>
      <c r="B9" s="104">
        <v>0</v>
      </c>
    </row>
    <row r="10" spans="1:2" ht="15" x14ac:dyDescent="0.15">
      <c r="A10" s="76" t="s">
        <v>824</v>
      </c>
      <c r="B10" s="133">
        <f>(B3/(1-B9)-B2)/(B2-B6)</f>
        <v>2.3809523809523809</v>
      </c>
    </row>
    <row r="12" spans="1:2" x14ac:dyDescent="0.15">
      <c r="A12" s="60" t="s">
        <v>823</v>
      </c>
    </row>
    <row r="13" spans="1:2" ht="15" x14ac:dyDescent="0.15">
      <c r="A13" s="70" t="s">
        <v>559</v>
      </c>
      <c r="B13" s="104">
        <f>1/3</f>
        <v>0.33333333333333331</v>
      </c>
    </row>
    <row r="14" spans="1:2" ht="15" x14ac:dyDescent="0.15">
      <c r="A14" s="76" t="s">
        <v>824</v>
      </c>
      <c r="B14" s="133">
        <f>(B3/(1-B13)-B2)/(B2-B6)</f>
        <v>4.2857142857142856</v>
      </c>
    </row>
    <row r="16" spans="1:2" x14ac:dyDescent="0.15">
      <c r="A16" s="60" t="s">
        <v>825</v>
      </c>
    </row>
    <row r="17" spans="1:10" ht="15" x14ac:dyDescent="0.15">
      <c r="A17" s="70" t="s">
        <v>824</v>
      </c>
      <c r="B17" s="29">
        <v>1</v>
      </c>
    </row>
    <row r="18" spans="1:10" ht="15" x14ac:dyDescent="0.15">
      <c r="A18" s="70" t="s">
        <v>559</v>
      </c>
      <c r="B18" s="104">
        <v>0</v>
      </c>
    </row>
    <row r="19" spans="1:10" ht="15" x14ac:dyDescent="0.15">
      <c r="A19" s="76" t="s">
        <v>532</v>
      </c>
      <c r="B19" s="111">
        <f>(B2+(B2-B6)*B17)*(1-B18)</f>
        <v>0.1275</v>
      </c>
    </row>
    <row r="20" spans="1:10" x14ac:dyDescent="0.15">
      <c r="A20" s="76"/>
      <c r="B20" s="111"/>
    </row>
    <row r="21" spans="1:10" x14ac:dyDescent="0.15">
      <c r="A21" s="60" t="s">
        <v>825</v>
      </c>
    </row>
    <row r="22" spans="1:10" ht="15" x14ac:dyDescent="0.15">
      <c r="A22" s="70" t="s">
        <v>824</v>
      </c>
      <c r="B22" s="29">
        <v>1</v>
      </c>
    </row>
    <row r="23" spans="1:10" ht="15" x14ac:dyDescent="0.15">
      <c r="A23" s="70" t="s">
        <v>559</v>
      </c>
      <c r="B23" s="104">
        <v>0.33333333333333298</v>
      </c>
    </row>
    <row r="24" spans="1:10" ht="15" x14ac:dyDescent="0.15">
      <c r="A24" s="76" t="s">
        <v>532</v>
      </c>
      <c r="B24" s="111">
        <f>(B2+(B2-B6)*B22)*(1-B23)</f>
        <v>8.5000000000000034E-2</v>
      </c>
    </row>
    <row r="26" spans="1:10" ht="15" x14ac:dyDescent="0.15">
      <c r="A26" s="8" t="s">
        <v>1237</v>
      </c>
    </row>
    <row r="27" spans="1:10" x14ac:dyDescent="0.15">
      <c r="A27" s="392" t="s">
        <v>941</v>
      </c>
      <c r="B27" s="364" t="s">
        <v>793</v>
      </c>
      <c r="C27" s="364" t="s">
        <v>77</v>
      </c>
      <c r="D27" s="364" t="s">
        <v>826</v>
      </c>
      <c r="E27" s="364" t="s">
        <v>827</v>
      </c>
      <c r="F27" s="364" t="s">
        <v>828</v>
      </c>
      <c r="G27" s="364" t="s">
        <v>1051</v>
      </c>
      <c r="H27" s="364" t="s">
        <v>1020</v>
      </c>
      <c r="I27" s="364" t="s">
        <v>829</v>
      </c>
      <c r="J27" s="364" t="s">
        <v>830</v>
      </c>
    </row>
    <row r="28" spans="1:10" x14ac:dyDescent="0.15">
      <c r="A28" s="134">
        <v>1</v>
      </c>
      <c r="B28" s="3">
        <v>100</v>
      </c>
      <c r="C28" s="3">
        <v>100</v>
      </c>
      <c r="D28" s="3">
        <f t="shared" ref="D28:D33" si="0">SUM(B28:C28)</f>
        <v>200</v>
      </c>
      <c r="E28" s="3">
        <v>20</v>
      </c>
      <c r="F28" s="3">
        <v>8</v>
      </c>
      <c r="G28" s="3">
        <f t="shared" ref="G28:G33" si="1">E28-F28</f>
        <v>12</v>
      </c>
      <c r="H28" s="3">
        <v>2</v>
      </c>
      <c r="I28" s="3">
        <f t="shared" ref="I28:I33" si="2">G28-H28</f>
        <v>10</v>
      </c>
      <c r="J28" s="3">
        <f t="shared" ref="J28:J33" si="3">B28+I28</f>
        <v>110</v>
      </c>
    </row>
    <row r="29" spans="1:10" x14ac:dyDescent="0.15">
      <c r="A29" s="134">
        <f>A28+1</f>
        <v>2</v>
      </c>
      <c r="B29" s="3">
        <f>J28</f>
        <v>110</v>
      </c>
      <c r="C29" s="3">
        <v>140</v>
      </c>
      <c r="D29" s="3">
        <f t="shared" si="0"/>
        <v>250</v>
      </c>
      <c r="E29" s="3">
        <v>25</v>
      </c>
      <c r="F29" s="3">
        <v>12</v>
      </c>
      <c r="G29" s="3">
        <f t="shared" si="1"/>
        <v>13</v>
      </c>
      <c r="H29" s="3">
        <v>1</v>
      </c>
      <c r="I29" s="3">
        <f t="shared" si="2"/>
        <v>12</v>
      </c>
      <c r="J29" s="3">
        <f t="shared" si="3"/>
        <v>122</v>
      </c>
    </row>
    <row r="30" spans="1:10" x14ac:dyDescent="0.15">
      <c r="A30" s="134">
        <f>A29+1</f>
        <v>3</v>
      </c>
      <c r="B30" s="3">
        <f>J29</f>
        <v>122</v>
      </c>
      <c r="C30" s="3">
        <v>190</v>
      </c>
      <c r="D30" s="3">
        <f t="shared" si="0"/>
        <v>312</v>
      </c>
      <c r="E30" s="3">
        <v>28</v>
      </c>
      <c r="F30" s="3">
        <v>17</v>
      </c>
      <c r="G30" s="3">
        <f t="shared" si="1"/>
        <v>11</v>
      </c>
      <c r="H30" s="3">
        <v>0</v>
      </c>
      <c r="I30" s="3">
        <f t="shared" si="2"/>
        <v>11</v>
      </c>
      <c r="J30" s="3">
        <f t="shared" si="3"/>
        <v>133</v>
      </c>
    </row>
    <row r="31" spans="1:10" x14ac:dyDescent="0.15">
      <c r="A31" s="134">
        <f>A30+1</f>
        <v>4</v>
      </c>
      <c r="B31" s="3">
        <f>J30</f>
        <v>133</v>
      </c>
      <c r="C31" s="3">
        <v>258</v>
      </c>
      <c r="D31" s="3">
        <f t="shared" si="0"/>
        <v>391</v>
      </c>
      <c r="E31" s="3">
        <v>31</v>
      </c>
      <c r="F31" s="3">
        <v>26</v>
      </c>
      <c r="G31" s="3">
        <f t="shared" si="1"/>
        <v>5</v>
      </c>
      <c r="H31" s="3">
        <v>0</v>
      </c>
      <c r="I31" s="3">
        <f t="shared" si="2"/>
        <v>5</v>
      </c>
      <c r="J31" s="3">
        <f t="shared" si="3"/>
        <v>138</v>
      </c>
    </row>
    <row r="32" spans="1:10" x14ac:dyDescent="0.15">
      <c r="A32" s="134">
        <f>A31+1</f>
        <v>5</v>
      </c>
      <c r="B32" s="3">
        <f>J31</f>
        <v>138</v>
      </c>
      <c r="C32" s="3">
        <v>350</v>
      </c>
      <c r="D32" s="3">
        <f t="shared" si="0"/>
        <v>488</v>
      </c>
      <c r="E32" s="3">
        <v>34</v>
      </c>
      <c r="F32" s="3">
        <v>35</v>
      </c>
      <c r="G32" s="3">
        <f t="shared" si="1"/>
        <v>-1</v>
      </c>
      <c r="H32" s="3">
        <v>0</v>
      </c>
      <c r="I32" s="3">
        <f t="shared" si="2"/>
        <v>-1</v>
      </c>
      <c r="J32" s="3">
        <f t="shared" si="3"/>
        <v>137</v>
      </c>
    </row>
    <row r="33" spans="1:10" x14ac:dyDescent="0.15">
      <c r="A33" s="134">
        <f>A32+1</f>
        <v>6</v>
      </c>
      <c r="B33" s="3">
        <f>J32</f>
        <v>137</v>
      </c>
      <c r="C33" s="3">
        <v>474</v>
      </c>
      <c r="D33" s="3">
        <f t="shared" si="0"/>
        <v>611</v>
      </c>
      <c r="E33" s="3">
        <v>43</v>
      </c>
      <c r="F33" s="3">
        <v>47</v>
      </c>
      <c r="G33" s="3">
        <f t="shared" si="1"/>
        <v>-4</v>
      </c>
      <c r="H33" s="3">
        <v>0</v>
      </c>
      <c r="I33" s="3">
        <f t="shared" si="2"/>
        <v>-4</v>
      </c>
      <c r="J33" s="3">
        <f t="shared" si="3"/>
        <v>133</v>
      </c>
    </row>
  </sheetData>
  <phoneticPr fontId="4" type="noConversion"/>
  <pageMargins left="0.78740157480314965" right="0.78740157480314965" top="0.98425196850393704" bottom="0.98425196850393704" header="0.51181102362204722" footer="0.51181102362204722"/>
  <pageSetup paperSize="9" scale="99"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euil36">
    <pageSetUpPr fitToPage="1"/>
  </sheetPr>
  <dimension ref="A1:V93"/>
  <sheetViews>
    <sheetView showGridLines="0" workbookViewId="0">
      <selection activeCell="C23" sqref="C23"/>
    </sheetView>
  </sheetViews>
  <sheetFormatPr baseColWidth="10" defaultColWidth="11" defaultRowHeight="14" x14ac:dyDescent="0.15"/>
  <cols>
    <col min="1" max="1" width="14.1640625" style="70" customWidth="1"/>
    <col min="2" max="4" width="13.1640625" style="3" bestFit="1" customWidth="1"/>
    <col min="5" max="6" width="11.1640625" style="3" bestFit="1" customWidth="1"/>
    <col min="7" max="7" width="11.83203125" style="3" customWidth="1"/>
    <col min="8" max="9" width="11.1640625" style="3" bestFit="1" customWidth="1"/>
    <col min="10" max="16384" width="11" style="3"/>
  </cols>
  <sheetData>
    <row r="1" spans="1:9" ht="15" x14ac:dyDescent="0.15">
      <c r="A1" s="1" t="s">
        <v>1235</v>
      </c>
    </row>
    <row r="2" spans="1:9" x14ac:dyDescent="0.15">
      <c r="A2" s="60" t="s">
        <v>997</v>
      </c>
    </row>
    <row r="3" spans="1:9" ht="15" x14ac:dyDescent="0.15">
      <c r="A3" s="70" t="s">
        <v>534</v>
      </c>
      <c r="B3" s="74">
        <v>51.9</v>
      </c>
      <c r="C3" s="3" t="s">
        <v>494</v>
      </c>
    </row>
    <row r="4" spans="1:9" ht="15" x14ac:dyDescent="0.15">
      <c r="A4" s="70" t="s">
        <v>1386</v>
      </c>
      <c r="B4" s="74">
        <v>2</v>
      </c>
      <c r="C4" s="3" t="s">
        <v>494</v>
      </c>
    </row>
    <row r="5" spans="1:9" ht="15" x14ac:dyDescent="0.15">
      <c r="A5" s="70" t="s">
        <v>535</v>
      </c>
      <c r="B5" s="74">
        <v>5.0199999999999996</v>
      </c>
      <c r="C5" s="3" t="s">
        <v>494</v>
      </c>
    </row>
    <row r="6" spans="1:9" x14ac:dyDescent="0.15">
      <c r="B6" s="80"/>
    </row>
    <row r="7" spans="1:9" x14ac:dyDescent="0.15">
      <c r="B7" s="80"/>
    </row>
    <row r="8" spans="1:9" ht="15" x14ac:dyDescent="0.15">
      <c r="A8" s="76" t="s">
        <v>559</v>
      </c>
      <c r="B8" s="122">
        <f>B4/B5</f>
        <v>0.39840637450199207</v>
      </c>
      <c r="D8" s="80"/>
    </row>
    <row r="9" spans="1:9" ht="14.25" customHeight="1" x14ac:dyDescent="0.15">
      <c r="A9" s="76" t="s">
        <v>831</v>
      </c>
      <c r="B9" s="123">
        <f>B4/B3</f>
        <v>3.8535645472061661E-2</v>
      </c>
    </row>
    <row r="11" spans="1:9" x14ac:dyDescent="0.15">
      <c r="B11" s="124"/>
      <c r="C11" s="125"/>
      <c r="D11" s="125"/>
      <c r="E11" s="125"/>
      <c r="F11" s="125"/>
      <c r="G11" s="125"/>
      <c r="H11" s="125"/>
      <c r="I11" s="125"/>
    </row>
    <row r="12" spans="1:9" ht="15" x14ac:dyDescent="0.15">
      <c r="A12" s="8" t="s">
        <v>84</v>
      </c>
      <c r="B12" s="124"/>
      <c r="C12" s="125"/>
      <c r="D12" s="125"/>
      <c r="E12" s="125"/>
      <c r="F12" s="125"/>
      <c r="G12" s="125"/>
      <c r="H12" s="125"/>
      <c r="I12" s="125"/>
    </row>
    <row r="13" spans="1:9" x14ac:dyDescent="0.15">
      <c r="B13" s="124"/>
      <c r="C13" s="22"/>
      <c r="D13" s="125"/>
      <c r="E13" s="125"/>
      <c r="F13" s="125"/>
      <c r="G13" s="125"/>
      <c r="H13" s="125"/>
      <c r="I13" s="125"/>
    </row>
    <row r="15" spans="1:9" ht="15" x14ac:dyDescent="0.15">
      <c r="A15" s="8"/>
    </row>
    <row r="16" spans="1:9" ht="15" x14ac:dyDescent="0.15">
      <c r="A16" s="366"/>
      <c r="B16" s="360" t="s">
        <v>896</v>
      </c>
      <c r="C16" s="360" t="s">
        <v>898</v>
      </c>
      <c r="D16" s="360" t="s">
        <v>899</v>
      </c>
    </row>
    <row r="17" spans="1:22" x14ac:dyDescent="0.15">
      <c r="A17" s="97" t="s">
        <v>585</v>
      </c>
      <c r="B17" s="126">
        <v>100000000</v>
      </c>
      <c r="C17" s="126">
        <f t="shared" ref="C17:D20" si="0">B17</f>
        <v>100000000</v>
      </c>
      <c r="D17" s="126">
        <f t="shared" si="0"/>
        <v>100000000</v>
      </c>
      <c r="E17" s="97"/>
      <c r="F17" s="97"/>
      <c r="G17" s="97"/>
      <c r="H17" s="97"/>
      <c r="I17" s="97"/>
      <c r="J17" s="97"/>
      <c r="K17" s="97"/>
      <c r="L17" s="97"/>
      <c r="M17" s="97"/>
      <c r="N17" s="97"/>
      <c r="O17" s="97"/>
      <c r="P17" s="97"/>
      <c r="Q17" s="97"/>
      <c r="R17" s="97"/>
      <c r="S17" s="97"/>
      <c r="T17" s="97"/>
      <c r="U17" s="97"/>
      <c r="V17" s="97"/>
    </row>
    <row r="18" spans="1:22" x14ac:dyDescent="0.15">
      <c r="A18" s="3" t="s">
        <v>890</v>
      </c>
      <c r="B18" s="126">
        <v>1000000</v>
      </c>
      <c r="C18" s="126">
        <f t="shared" si="0"/>
        <v>1000000</v>
      </c>
      <c r="D18" s="126">
        <f t="shared" si="0"/>
        <v>1000000</v>
      </c>
    </row>
    <row r="19" spans="1:22" x14ac:dyDescent="0.15">
      <c r="A19" s="3" t="s">
        <v>891</v>
      </c>
      <c r="B19" s="126">
        <v>1000</v>
      </c>
      <c r="C19" s="126">
        <f t="shared" si="0"/>
        <v>1000</v>
      </c>
      <c r="D19" s="126">
        <f t="shared" si="0"/>
        <v>1000</v>
      </c>
    </row>
    <row r="20" spans="1:22" x14ac:dyDescent="0.15">
      <c r="A20" s="3" t="s">
        <v>892</v>
      </c>
      <c r="B20" s="126">
        <v>1200000000</v>
      </c>
      <c r="C20" s="126">
        <f t="shared" si="0"/>
        <v>1200000000</v>
      </c>
      <c r="D20" s="126">
        <f t="shared" si="0"/>
        <v>1200000000</v>
      </c>
    </row>
    <row r="21" spans="1:22" x14ac:dyDescent="0.15">
      <c r="A21" s="3"/>
    </row>
    <row r="22" spans="1:22" x14ac:dyDescent="0.15">
      <c r="A22" s="3" t="s">
        <v>893</v>
      </c>
    </row>
    <row r="23" spans="1:22" x14ac:dyDescent="0.15">
      <c r="A23" s="3" t="s">
        <v>890</v>
      </c>
      <c r="B23" s="126"/>
      <c r="C23" s="126">
        <f>C18/4</f>
        <v>250000</v>
      </c>
      <c r="D23" s="126">
        <f>C23</f>
        <v>250000</v>
      </c>
    </row>
    <row r="24" spans="1:22" x14ac:dyDescent="0.15">
      <c r="A24" s="3" t="s">
        <v>894</v>
      </c>
      <c r="B24" s="126"/>
      <c r="C24" s="126">
        <v>500</v>
      </c>
      <c r="D24" s="126">
        <v>1500</v>
      </c>
    </row>
    <row r="25" spans="1:22" x14ac:dyDescent="0.15">
      <c r="A25" s="3" t="s">
        <v>897</v>
      </c>
      <c r="B25" s="104"/>
      <c r="C25" s="104">
        <v>0.05</v>
      </c>
      <c r="D25" s="104">
        <f>C25</f>
        <v>0.05</v>
      </c>
    </row>
    <row r="26" spans="1:22" x14ac:dyDescent="0.15">
      <c r="A26" s="3"/>
    </row>
    <row r="27" spans="1:22" x14ac:dyDescent="0.15">
      <c r="A27" s="7" t="s">
        <v>535</v>
      </c>
      <c r="B27" s="127">
        <f>(B17-B24*B23*B25)/(B18-B23)</f>
        <v>100</v>
      </c>
      <c r="C27" s="127">
        <f>(C17-C24*C23*C25)/(C18-C23)</f>
        <v>125</v>
      </c>
      <c r="D27" s="127">
        <f>(D17-D24*D23*D25)/(D18-D23)</f>
        <v>108.33333333333333</v>
      </c>
    </row>
    <row r="28" spans="1:22" x14ac:dyDescent="0.15">
      <c r="A28" s="3"/>
      <c r="B28" s="127"/>
      <c r="C28" s="128">
        <f>(C27-$B27)/$B27</f>
        <v>0.25</v>
      </c>
      <c r="D28" s="128">
        <f>(D27-$B27)/$B27</f>
        <v>8.3333333333333287E-2</v>
      </c>
    </row>
    <row r="29" spans="1:22" x14ac:dyDescent="0.15">
      <c r="A29" s="7" t="s">
        <v>895</v>
      </c>
      <c r="B29" s="127">
        <f>(B20-B23*B24)/(B18-B23)</f>
        <v>1200</v>
      </c>
      <c r="C29" s="127">
        <f>(C20-C23*C24)/(C18-C23)</f>
        <v>1433.3333333333333</v>
      </c>
      <c r="D29" s="127">
        <f>(D20-D23*D24)/(D18-D23)</f>
        <v>1100</v>
      </c>
    </row>
    <row r="30" spans="1:22" x14ac:dyDescent="0.15">
      <c r="A30" s="7"/>
      <c r="B30" s="127"/>
      <c r="C30" s="127"/>
      <c r="D30" s="127"/>
    </row>
    <row r="31" spans="1:22" x14ac:dyDescent="0.15">
      <c r="A31" s="3"/>
      <c r="C31" s="128">
        <f>(C29-$B29)/$B29</f>
        <v>0.19444444444444439</v>
      </c>
      <c r="D31" s="128">
        <f>(D29-$B29)/$B29</f>
        <v>-8.3333333333333329E-2</v>
      </c>
    </row>
    <row r="32" spans="1:22" x14ac:dyDescent="0.15">
      <c r="A32" s="3"/>
      <c r="C32" s="128"/>
      <c r="D32" s="128"/>
    </row>
    <row r="33" spans="1:7" ht="15" x14ac:dyDescent="0.15">
      <c r="A33" s="8" t="s">
        <v>196</v>
      </c>
      <c r="C33" s="128"/>
      <c r="D33" s="128"/>
    </row>
    <row r="34" spans="1:7" x14ac:dyDescent="0.15">
      <c r="C34" s="128"/>
      <c r="D34" s="128"/>
    </row>
    <row r="35" spans="1:7" ht="15" x14ac:dyDescent="0.15">
      <c r="A35" s="129" t="s">
        <v>83</v>
      </c>
      <c r="B35" s="130"/>
      <c r="C35" s="131"/>
      <c r="D35" s="131"/>
      <c r="E35" s="130"/>
    </row>
    <row r="36" spans="1:7" x14ac:dyDescent="0.15">
      <c r="A36" s="3"/>
      <c r="C36" s="128"/>
      <c r="D36" s="128"/>
    </row>
    <row r="37" spans="1:7" x14ac:dyDescent="0.15">
      <c r="A37" s="3"/>
      <c r="C37" s="128"/>
      <c r="D37" s="128"/>
    </row>
    <row r="38" spans="1:7" x14ac:dyDescent="0.15">
      <c r="A38" s="3"/>
    </row>
    <row r="39" spans="1:7" ht="15" x14ac:dyDescent="0.15">
      <c r="A39" s="8" t="s">
        <v>316</v>
      </c>
    </row>
    <row r="40" spans="1:7" ht="30" x14ac:dyDescent="0.15">
      <c r="A40" s="334"/>
      <c r="B40" s="387" t="s">
        <v>765</v>
      </c>
      <c r="C40" s="387" t="s">
        <v>585</v>
      </c>
      <c r="D40" s="387" t="s">
        <v>904</v>
      </c>
      <c r="E40" s="387" t="s">
        <v>1199</v>
      </c>
      <c r="F40" s="387" t="s">
        <v>1209</v>
      </c>
      <c r="G40" s="387" t="s">
        <v>809</v>
      </c>
    </row>
    <row r="41" spans="1:7" x14ac:dyDescent="0.15">
      <c r="A41" s="3">
        <v>2016</v>
      </c>
      <c r="B41" s="3">
        <v>170</v>
      </c>
      <c r="C41" s="3">
        <v>8</v>
      </c>
      <c r="D41" s="3">
        <v>9</v>
      </c>
      <c r="E41" s="3">
        <v>50</v>
      </c>
      <c r="F41" s="3">
        <v>60</v>
      </c>
      <c r="G41" s="3">
        <v>55</v>
      </c>
    </row>
    <row r="42" spans="1:7" x14ac:dyDescent="0.15">
      <c r="A42" s="3">
        <f>A41+1</f>
        <v>2017</v>
      </c>
      <c r="B42" s="3">
        <v>130</v>
      </c>
      <c r="C42" s="3">
        <v>10</v>
      </c>
      <c r="D42" s="3">
        <v>10</v>
      </c>
      <c r="E42" s="3">
        <v>60</v>
      </c>
      <c r="F42" s="3">
        <v>70</v>
      </c>
      <c r="G42" s="3">
        <v>90</v>
      </c>
    </row>
    <row r="43" spans="1:7" x14ac:dyDescent="0.15">
      <c r="A43" s="3">
        <f>A42+1</f>
        <v>2018</v>
      </c>
      <c r="B43" s="3">
        <v>170</v>
      </c>
      <c r="C43" s="3">
        <v>11</v>
      </c>
      <c r="D43" s="3">
        <v>10</v>
      </c>
      <c r="E43" s="3">
        <v>71</v>
      </c>
      <c r="F43" s="3">
        <v>75</v>
      </c>
      <c r="G43" s="3">
        <v>152</v>
      </c>
    </row>
    <row r="44" spans="1:7" x14ac:dyDescent="0.15">
      <c r="A44" s="3">
        <f>A43+1</f>
        <v>2019</v>
      </c>
      <c r="B44" s="3">
        <v>220</v>
      </c>
      <c r="C44" s="3">
        <v>13</v>
      </c>
      <c r="D44" s="3">
        <v>9</v>
      </c>
      <c r="E44" s="3">
        <v>84</v>
      </c>
      <c r="F44" s="3">
        <v>76</v>
      </c>
      <c r="G44" s="3">
        <v>195</v>
      </c>
    </row>
    <row r="45" spans="1:7" x14ac:dyDescent="0.15">
      <c r="A45" s="3">
        <f>A44+1</f>
        <v>2020</v>
      </c>
      <c r="B45" s="3">
        <v>230</v>
      </c>
      <c r="C45" s="3">
        <v>13</v>
      </c>
      <c r="D45" s="3">
        <v>7</v>
      </c>
      <c r="E45" s="3">
        <v>97</v>
      </c>
      <c r="F45" s="3">
        <v>70</v>
      </c>
      <c r="G45" s="3">
        <v>210</v>
      </c>
    </row>
    <row r="46" spans="1:7" x14ac:dyDescent="0.15">
      <c r="A46" s="3">
        <f>A45+1</f>
        <v>2021</v>
      </c>
      <c r="B46" s="3">
        <v>240</v>
      </c>
      <c r="C46" s="3">
        <v>13</v>
      </c>
      <c r="D46" s="3">
        <v>6</v>
      </c>
      <c r="E46" s="3">
        <v>110</v>
      </c>
      <c r="F46" s="3">
        <v>65</v>
      </c>
      <c r="G46" s="3">
        <v>200</v>
      </c>
    </row>
    <row r="47" spans="1:7" x14ac:dyDescent="0.15">
      <c r="A47" s="3"/>
    </row>
    <row r="48" spans="1:7" x14ac:dyDescent="0.15">
      <c r="A48" s="3" t="s">
        <v>890</v>
      </c>
      <c r="B48" s="126">
        <v>1000000</v>
      </c>
    </row>
    <row r="49" spans="1:3" x14ac:dyDescent="0.15">
      <c r="A49" s="3" t="s">
        <v>905</v>
      </c>
      <c r="B49" s="80">
        <v>0.33</v>
      </c>
    </row>
    <row r="50" spans="1:3" x14ac:dyDescent="0.15">
      <c r="A50" s="3"/>
      <c r="B50" s="80"/>
    </row>
    <row r="51" spans="1:3" x14ac:dyDescent="0.15">
      <c r="A51" s="3" t="s">
        <v>67</v>
      </c>
    </row>
    <row r="52" spans="1:3" x14ac:dyDescent="0.15">
      <c r="A52" s="359"/>
      <c r="B52" s="360" t="s">
        <v>199</v>
      </c>
      <c r="C52" s="360" t="s">
        <v>210</v>
      </c>
    </row>
    <row r="53" spans="1:3" x14ac:dyDescent="0.15">
      <c r="A53" s="3">
        <f t="shared" ref="A53:A58" si="1">A41</f>
        <v>2016</v>
      </c>
      <c r="B53" s="67">
        <f t="shared" ref="B53:B58" si="2">(C41+D41*(1-B$49))/(E41+F41)</f>
        <v>0.12754545454545455</v>
      </c>
      <c r="C53" s="67">
        <f t="shared" ref="C53:C58" si="3">C41/E41</f>
        <v>0.16</v>
      </c>
    </row>
    <row r="54" spans="1:3" x14ac:dyDescent="0.15">
      <c r="A54" s="3">
        <f t="shared" si="1"/>
        <v>2017</v>
      </c>
      <c r="B54" s="67">
        <f t="shared" si="2"/>
        <v>0.12846153846153846</v>
      </c>
      <c r="C54" s="67">
        <f t="shared" si="3"/>
        <v>0.16666666666666666</v>
      </c>
    </row>
    <row r="55" spans="1:3" x14ac:dyDescent="0.15">
      <c r="A55" s="3">
        <f t="shared" si="1"/>
        <v>2018</v>
      </c>
      <c r="B55" s="67">
        <f t="shared" si="2"/>
        <v>0.12123287671232877</v>
      </c>
      <c r="C55" s="67">
        <f t="shared" si="3"/>
        <v>0.15492957746478872</v>
      </c>
    </row>
    <row r="56" spans="1:3" x14ac:dyDescent="0.15">
      <c r="A56" s="3">
        <f t="shared" si="1"/>
        <v>2019</v>
      </c>
      <c r="B56" s="67">
        <f t="shared" si="2"/>
        <v>0.1189375</v>
      </c>
      <c r="C56" s="67">
        <f t="shared" si="3"/>
        <v>0.15476190476190477</v>
      </c>
    </row>
    <row r="57" spans="1:3" x14ac:dyDescent="0.15">
      <c r="A57" s="3">
        <f t="shared" si="1"/>
        <v>2020</v>
      </c>
      <c r="B57" s="67">
        <f t="shared" si="2"/>
        <v>0.10592814371257483</v>
      </c>
      <c r="C57" s="67">
        <f t="shared" si="3"/>
        <v>0.13402061855670103</v>
      </c>
    </row>
    <row r="58" spans="1:3" x14ac:dyDescent="0.15">
      <c r="A58" s="3">
        <f t="shared" si="1"/>
        <v>2021</v>
      </c>
      <c r="B58" s="67">
        <f t="shared" si="2"/>
        <v>9.7257142857142861E-2</v>
      </c>
      <c r="C58" s="67">
        <f t="shared" si="3"/>
        <v>0.11818181818181818</v>
      </c>
    </row>
    <row r="59" spans="1:3" x14ac:dyDescent="0.15">
      <c r="A59" s="3"/>
    </row>
    <row r="60" spans="1:3" x14ac:dyDescent="0.15">
      <c r="A60" s="3" t="s">
        <v>68</v>
      </c>
    </row>
    <row r="61" spans="1:3" x14ac:dyDescent="0.15">
      <c r="A61" s="334"/>
      <c r="B61" s="334" t="s">
        <v>317</v>
      </c>
    </row>
    <row r="62" spans="1:3" x14ac:dyDescent="0.15">
      <c r="A62" s="6">
        <f>A54</f>
        <v>2017</v>
      </c>
      <c r="B62" s="80">
        <f>(C42-C41)/(E42-E41)</f>
        <v>0.2</v>
      </c>
    </row>
    <row r="63" spans="1:3" x14ac:dyDescent="0.15">
      <c r="A63" s="6">
        <f>A55</f>
        <v>2018</v>
      </c>
      <c r="B63" s="80">
        <f>(C43-C42)/(E43-E42)</f>
        <v>9.0909090909090912E-2</v>
      </c>
    </row>
    <row r="64" spans="1:3" x14ac:dyDescent="0.15">
      <c r="A64" s="6">
        <f>A56</f>
        <v>2019</v>
      </c>
      <c r="B64" s="80">
        <f>(C44-C43)/(E44-E43)</f>
        <v>0.15384615384615385</v>
      </c>
    </row>
    <row r="65" spans="1:2" x14ac:dyDescent="0.15">
      <c r="A65" s="6">
        <f>A57</f>
        <v>2020</v>
      </c>
      <c r="B65" s="80">
        <f>(C45-C44)/(E45-E44)</f>
        <v>0</v>
      </c>
    </row>
    <row r="66" spans="1:2" x14ac:dyDescent="0.15">
      <c r="A66" s="6">
        <f>A58</f>
        <v>2021</v>
      </c>
      <c r="B66" s="80">
        <f>(C46-C45)/(E46-E45)</f>
        <v>0</v>
      </c>
    </row>
    <row r="67" spans="1:2" x14ac:dyDescent="0.15">
      <c r="A67" s="6"/>
    </row>
    <row r="68" spans="1:2" x14ac:dyDescent="0.15">
      <c r="A68" s="86" t="s">
        <v>318</v>
      </c>
    </row>
    <row r="69" spans="1:2" x14ac:dyDescent="0.15">
      <c r="A69" s="3"/>
    </row>
    <row r="70" spans="1:2" x14ac:dyDescent="0.15">
      <c r="A70" s="3"/>
    </row>
    <row r="71" spans="1:2" x14ac:dyDescent="0.15">
      <c r="A71" s="3"/>
    </row>
    <row r="72" spans="1:2" x14ac:dyDescent="0.15">
      <c r="A72" s="3"/>
    </row>
    <row r="73" spans="1:2" x14ac:dyDescent="0.15">
      <c r="A73" s="3"/>
    </row>
    <row r="74" spans="1:2" x14ac:dyDescent="0.15">
      <c r="A74" s="3"/>
    </row>
    <row r="75" spans="1:2" x14ac:dyDescent="0.15">
      <c r="A75" s="3"/>
    </row>
    <row r="76" spans="1:2" x14ac:dyDescent="0.15">
      <c r="A76" s="3"/>
    </row>
    <row r="77" spans="1:2" x14ac:dyDescent="0.15">
      <c r="A77" s="3"/>
    </row>
    <row r="78" spans="1:2" x14ac:dyDescent="0.15">
      <c r="A78" s="3"/>
    </row>
    <row r="79" spans="1:2" x14ac:dyDescent="0.15">
      <c r="A79" s="3"/>
    </row>
    <row r="80" spans="1:2" x14ac:dyDescent="0.15">
      <c r="A80" s="3"/>
    </row>
    <row r="81" spans="1:1" x14ac:dyDescent="0.15">
      <c r="A81" s="3"/>
    </row>
    <row r="82" spans="1:1" x14ac:dyDescent="0.15">
      <c r="A82" s="3"/>
    </row>
    <row r="83" spans="1:1" x14ac:dyDescent="0.15">
      <c r="A83" s="3"/>
    </row>
    <row r="84" spans="1:1" x14ac:dyDescent="0.15">
      <c r="A84" s="3"/>
    </row>
    <row r="85" spans="1:1" x14ac:dyDescent="0.15">
      <c r="A85" s="3"/>
    </row>
    <row r="86" spans="1:1" x14ac:dyDescent="0.15">
      <c r="A86" s="3"/>
    </row>
    <row r="87" spans="1:1" x14ac:dyDescent="0.15">
      <c r="A87" s="3"/>
    </row>
    <row r="88" spans="1:1" x14ac:dyDescent="0.15">
      <c r="A88" s="3"/>
    </row>
    <row r="89" spans="1:1" x14ac:dyDescent="0.15">
      <c r="A89" s="3"/>
    </row>
    <row r="90" spans="1:1" x14ac:dyDescent="0.15">
      <c r="A90" s="3"/>
    </row>
    <row r="91" spans="1:1" x14ac:dyDescent="0.15">
      <c r="A91" s="3"/>
    </row>
    <row r="92" spans="1:1" x14ac:dyDescent="0.15">
      <c r="A92" s="3"/>
    </row>
    <row r="93" spans="1:1" x14ac:dyDescent="0.15">
      <c r="A93" s="3"/>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euil37">
    <pageSetUpPr fitToPage="1"/>
  </sheetPr>
  <dimension ref="A1:F134"/>
  <sheetViews>
    <sheetView showGridLines="0" workbookViewId="0">
      <selection activeCell="B74" sqref="B74"/>
    </sheetView>
  </sheetViews>
  <sheetFormatPr baseColWidth="10" defaultColWidth="11" defaultRowHeight="14" x14ac:dyDescent="0.15"/>
  <cols>
    <col min="1" max="1" width="25.83203125" style="70" customWidth="1"/>
    <col min="2" max="3" width="14.83203125" style="3" customWidth="1"/>
    <col min="4" max="4" width="15.1640625" style="3" bestFit="1" customWidth="1"/>
    <col min="5" max="5" width="12" style="3" bestFit="1" customWidth="1"/>
    <col min="6" max="16384" width="11" style="3"/>
  </cols>
  <sheetData>
    <row r="1" spans="1:4" ht="15" x14ac:dyDescent="0.15">
      <c r="A1" s="1" t="s">
        <v>1235</v>
      </c>
    </row>
    <row r="2" spans="1:4" ht="15" x14ac:dyDescent="0.15">
      <c r="A2" s="366"/>
      <c r="B2" s="364" t="s">
        <v>861</v>
      </c>
      <c r="C2" s="364" t="s">
        <v>862</v>
      </c>
    </row>
    <row r="3" spans="1:4" ht="15" x14ac:dyDescent="0.15">
      <c r="A3" s="70" t="s">
        <v>604</v>
      </c>
      <c r="B3" s="74">
        <v>100</v>
      </c>
      <c r="C3" s="74">
        <f>C8/B8*B3</f>
        <v>200</v>
      </c>
      <c r="D3" s="3" t="s">
        <v>678</v>
      </c>
    </row>
    <row r="4" spans="1:4" ht="15" x14ac:dyDescent="0.15">
      <c r="A4" s="70" t="s">
        <v>832</v>
      </c>
      <c r="B4" s="3">
        <v>1</v>
      </c>
      <c r="C4" s="3">
        <f>B4</f>
        <v>1</v>
      </c>
      <c r="D4" s="3" t="s">
        <v>1216</v>
      </c>
    </row>
    <row r="6" spans="1:4" ht="15" x14ac:dyDescent="0.15">
      <c r="A6" s="70" t="s">
        <v>833</v>
      </c>
      <c r="B6" s="74">
        <v>25</v>
      </c>
      <c r="C6" s="74">
        <f>B6</f>
        <v>25</v>
      </c>
      <c r="D6" s="3" t="s">
        <v>678</v>
      </c>
    </row>
    <row r="7" spans="1:4" ht="15" x14ac:dyDescent="0.15">
      <c r="A7" s="70" t="s">
        <v>865</v>
      </c>
      <c r="B7" s="80">
        <v>0.25</v>
      </c>
      <c r="C7" s="104">
        <f>B8/C8*B7</f>
        <v>0.125</v>
      </c>
      <c r="D7" s="3" t="s">
        <v>604</v>
      </c>
    </row>
    <row r="8" spans="1:4" ht="15" x14ac:dyDescent="0.15">
      <c r="A8" s="70" t="s">
        <v>834</v>
      </c>
      <c r="B8" s="74">
        <v>75</v>
      </c>
      <c r="C8" s="74">
        <v>150</v>
      </c>
      <c r="D8" s="3" t="s">
        <v>494</v>
      </c>
    </row>
    <row r="9" spans="1:4" ht="15" x14ac:dyDescent="0.15">
      <c r="A9" s="70" t="s">
        <v>864</v>
      </c>
      <c r="B9" s="74">
        <f>B4*B8/B6</f>
        <v>3</v>
      </c>
      <c r="C9" s="74">
        <f>C4*C8/C6</f>
        <v>6</v>
      </c>
    </row>
    <row r="11" spans="1:4" ht="15" x14ac:dyDescent="0.15">
      <c r="A11" s="76" t="s">
        <v>835</v>
      </c>
      <c r="B11" s="109">
        <f>(B3/B4-B8)/(1+B9)</f>
        <v>6.25</v>
      </c>
      <c r="C11" s="109">
        <f>(C3/C4-C8)/(1+C9)</f>
        <v>7.1428571428571432</v>
      </c>
      <c r="D11" s="7" t="s">
        <v>494</v>
      </c>
    </row>
    <row r="13" spans="1:4" x14ac:dyDescent="0.15">
      <c r="A13" s="60" t="s">
        <v>781</v>
      </c>
    </row>
    <row r="14" spans="1:4" ht="15" x14ac:dyDescent="0.15">
      <c r="A14" s="76" t="s">
        <v>836</v>
      </c>
      <c r="B14" s="110">
        <f>(B7/B8)/(B4/B3+B7/B8)</f>
        <v>0.25</v>
      </c>
      <c r="C14" s="110">
        <f>(C7/C8)/(C4/C3+C7/C8)</f>
        <v>0.14285714285714285</v>
      </c>
    </row>
    <row r="15" spans="1:4" ht="15" x14ac:dyDescent="0.15">
      <c r="A15" s="76" t="s">
        <v>837</v>
      </c>
      <c r="B15" s="110">
        <f>B7/(1+B7)</f>
        <v>0.2</v>
      </c>
      <c r="C15" s="110">
        <f>C7/(1+C7)</f>
        <v>0.1111111111111111</v>
      </c>
    </row>
    <row r="16" spans="1:4" ht="15" x14ac:dyDescent="0.15">
      <c r="A16" s="76" t="s">
        <v>838</v>
      </c>
      <c r="B16" s="111">
        <f>B14-B15</f>
        <v>4.9999999999999989E-2</v>
      </c>
      <c r="C16" s="111">
        <f>C14-C15</f>
        <v>3.1746031746031744E-2</v>
      </c>
    </row>
    <row r="18" spans="1:4" ht="15" x14ac:dyDescent="0.15">
      <c r="A18" s="76" t="s">
        <v>839</v>
      </c>
      <c r="B18" s="53">
        <f>(B3+B6)/((B4+B6/B8)*B3/B4)</f>
        <v>0.93750000000000011</v>
      </c>
      <c r="C18" s="53">
        <f>(C3+C6)/((C4+C6/C8)*C3/C4)</f>
        <v>0.9642857142857143</v>
      </c>
    </row>
    <row r="20" spans="1:4" ht="15" x14ac:dyDescent="0.15">
      <c r="A20" s="70" t="s">
        <v>840</v>
      </c>
      <c r="B20" s="74">
        <f>B9</f>
        <v>3</v>
      </c>
      <c r="C20" s="74">
        <f>C9</f>
        <v>6</v>
      </c>
    </row>
    <row r="22" spans="1:4" x14ac:dyDescent="0.15">
      <c r="A22" s="60" t="s">
        <v>841</v>
      </c>
    </row>
    <row r="23" spans="1:4" ht="15" x14ac:dyDescent="0.15">
      <c r="A23" s="70" t="s">
        <v>832</v>
      </c>
      <c r="B23" s="3">
        <v>90</v>
      </c>
      <c r="C23" s="3">
        <v>90</v>
      </c>
    </row>
    <row r="25" spans="1:4" ht="15" x14ac:dyDescent="0.15">
      <c r="A25" s="70" t="s">
        <v>843</v>
      </c>
      <c r="B25" s="3">
        <v>72</v>
      </c>
      <c r="C25" s="3">
        <v>72</v>
      </c>
    </row>
    <row r="26" spans="1:4" ht="15" x14ac:dyDescent="0.15">
      <c r="A26" s="70" t="s">
        <v>842</v>
      </c>
      <c r="B26" s="74">
        <f>B25*B11</f>
        <v>450</v>
      </c>
      <c r="C26" s="74">
        <f>C25*C11</f>
        <v>514.28571428571433</v>
      </c>
      <c r="D26" s="3" t="s">
        <v>494</v>
      </c>
    </row>
    <row r="27" spans="1:4" ht="15" x14ac:dyDescent="0.15">
      <c r="A27" s="70" t="s">
        <v>844</v>
      </c>
      <c r="B27" s="74">
        <f>B8*(B23-B25)/B9</f>
        <v>450</v>
      </c>
      <c r="C27" s="74">
        <f>C8*(C23-C25)/C9</f>
        <v>450</v>
      </c>
      <c r="D27" s="3" t="s">
        <v>494</v>
      </c>
    </row>
    <row r="28" spans="1:4" ht="15" x14ac:dyDescent="0.15">
      <c r="A28" s="70" t="s">
        <v>845</v>
      </c>
      <c r="B28" s="74">
        <f>B26-B27</f>
        <v>0</v>
      </c>
      <c r="C28" s="74">
        <f>C26-C27</f>
        <v>64.285714285714334</v>
      </c>
      <c r="D28" s="3" t="s">
        <v>494</v>
      </c>
    </row>
    <row r="29" spans="1:4" ht="15" x14ac:dyDescent="0.15">
      <c r="A29" s="76" t="s">
        <v>847</v>
      </c>
      <c r="B29" s="7">
        <f>B27/B8</f>
        <v>6</v>
      </c>
      <c r="C29" s="7">
        <f>C27/C8</f>
        <v>3</v>
      </c>
      <c r="D29" s="7" t="s">
        <v>848</v>
      </c>
    </row>
    <row r="31" spans="1:4" x14ac:dyDescent="0.15">
      <c r="A31" s="60" t="s">
        <v>849</v>
      </c>
    </row>
    <row r="32" spans="1:4" ht="15" x14ac:dyDescent="0.15">
      <c r="A32" s="70" t="s">
        <v>320</v>
      </c>
      <c r="B32" s="112">
        <f>B23/B4/1000000</f>
        <v>9.0000000000000006E-5</v>
      </c>
      <c r="C32" s="112">
        <f>C23/C4/1000000</f>
        <v>9.0000000000000006E-5</v>
      </c>
    </row>
    <row r="34" spans="1:4" ht="15" x14ac:dyDescent="0.15">
      <c r="A34" s="76" t="s">
        <v>319</v>
      </c>
      <c r="B34" s="113">
        <f>B32*(1-B15)</f>
        <v>7.2000000000000002E-5</v>
      </c>
      <c r="C34" s="113">
        <f>C32*(1-C15)</f>
        <v>8.0000000000000007E-5</v>
      </c>
      <c r="D34" s="114"/>
    </row>
    <row r="35" spans="1:4" x14ac:dyDescent="0.15">
      <c r="A35" s="76"/>
      <c r="B35" s="113">
        <f>(B23+B29)/(B4*1000000*(1+1/B20))</f>
        <v>7.2000000000000002E-5</v>
      </c>
      <c r="C35" s="113">
        <f>(C23+C29)/(C4*1000000*(1+1/C20))</f>
        <v>7.9714285714285702E-5</v>
      </c>
      <c r="D35" s="114"/>
    </row>
    <row r="37" spans="1:4" x14ac:dyDescent="0.15">
      <c r="A37" s="60" t="s">
        <v>850</v>
      </c>
    </row>
    <row r="39" spans="1:4" ht="30" x14ac:dyDescent="0.15">
      <c r="A39" s="70" t="s">
        <v>322</v>
      </c>
      <c r="B39" s="80">
        <v>0.12</v>
      </c>
      <c r="C39" s="80">
        <v>0.12</v>
      </c>
    </row>
    <row r="40" spans="1:4" ht="15" x14ac:dyDescent="0.15">
      <c r="A40" s="70" t="s">
        <v>851</v>
      </c>
      <c r="B40" s="74">
        <f>B7*B3</f>
        <v>25</v>
      </c>
      <c r="C40" s="74">
        <f>C7*C3</f>
        <v>25</v>
      </c>
      <c r="D40" s="3" t="s">
        <v>678</v>
      </c>
    </row>
    <row r="41" spans="1:4" ht="15" x14ac:dyDescent="0.15">
      <c r="A41" s="70" t="s">
        <v>852</v>
      </c>
      <c r="B41" s="80">
        <f>B39</f>
        <v>0.12</v>
      </c>
      <c r="C41" s="80">
        <f>C39</f>
        <v>0.12</v>
      </c>
    </row>
    <row r="42" spans="1:4" ht="15" x14ac:dyDescent="0.15">
      <c r="A42" s="70" t="s">
        <v>846</v>
      </c>
      <c r="B42" s="3">
        <f>B40*B41/B8*1000000</f>
        <v>40000</v>
      </c>
      <c r="C42" s="3">
        <f>C40*C41/C8*1000000</f>
        <v>20000</v>
      </c>
    </row>
    <row r="44" spans="1:4" ht="30" x14ac:dyDescent="0.15">
      <c r="A44" s="76" t="s">
        <v>321</v>
      </c>
      <c r="B44" s="115">
        <f>(B39*B4*1000000+B42)/(B4*1000000+B40*1000000/B8)</f>
        <v>0.12000000000000001</v>
      </c>
      <c r="C44" s="115">
        <f>(C39*C4*1000000+C42)/(C4*1000000+C40*1000000/C8)</f>
        <v>0.12</v>
      </c>
    </row>
    <row r="46" spans="1:4" x14ac:dyDescent="0.15">
      <c r="A46" s="60" t="s">
        <v>853</v>
      </c>
    </row>
    <row r="47" spans="1:4" ht="15" x14ac:dyDescent="0.15">
      <c r="A47" s="70" t="s">
        <v>854</v>
      </c>
      <c r="B47" s="74">
        <v>10</v>
      </c>
      <c r="C47" s="74">
        <v>10</v>
      </c>
      <c r="D47" s="3" t="s">
        <v>494</v>
      </c>
    </row>
    <row r="48" spans="1:4" ht="15" x14ac:dyDescent="0.15">
      <c r="A48" s="76" t="s">
        <v>853</v>
      </c>
      <c r="B48" s="109">
        <f>B47*(1-B14)</f>
        <v>7.5</v>
      </c>
      <c r="C48" s="109">
        <f>C47*(1-C14)</f>
        <v>8.571428571428573</v>
      </c>
      <c r="D48" s="7" t="s">
        <v>494</v>
      </c>
    </row>
    <row r="50" spans="1:4" x14ac:dyDescent="0.15">
      <c r="A50" s="60" t="s">
        <v>855</v>
      </c>
    </row>
    <row r="51" spans="1:4" ht="15" x14ac:dyDescent="0.15">
      <c r="A51" s="70" t="s">
        <v>856</v>
      </c>
      <c r="B51" s="74">
        <v>80</v>
      </c>
      <c r="C51" s="74">
        <v>80</v>
      </c>
      <c r="D51" s="3" t="s">
        <v>678</v>
      </c>
    </row>
    <row r="52" spans="1:4" ht="15" x14ac:dyDescent="0.15">
      <c r="A52" s="70" t="s">
        <v>857</v>
      </c>
      <c r="B52" s="74">
        <f>B51+B40</f>
        <v>105</v>
      </c>
      <c r="C52" s="74">
        <f>C51+C40</f>
        <v>105</v>
      </c>
      <c r="D52" s="3" t="s">
        <v>678</v>
      </c>
    </row>
    <row r="53" spans="1:4" ht="15" x14ac:dyDescent="0.15">
      <c r="A53" s="76" t="s">
        <v>858</v>
      </c>
      <c r="B53" s="116">
        <f>(B52-B51)/B51</f>
        <v>0.3125</v>
      </c>
      <c r="C53" s="116">
        <f>(C52-C51)/C51</f>
        <v>0.3125</v>
      </c>
    </row>
    <row r="55" spans="1:4" ht="15" x14ac:dyDescent="0.15">
      <c r="A55" s="76" t="s">
        <v>859</v>
      </c>
      <c r="B55" s="109">
        <f>B51/B4</f>
        <v>80</v>
      </c>
      <c r="C55" s="109">
        <f>C51/C4</f>
        <v>80</v>
      </c>
      <c r="D55" s="3" t="s">
        <v>494</v>
      </c>
    </row>
    <row r="56" spans="1:4" ht="15" x14ac:dyDescent="0.15">
      <c r="A56" s="76" t="s">
        <v>860</v>
      </c>
      <c r="B56" s="109">
        <f>B52/(B4+B3*B7/B8)</f>
        <v>78.75</v>
      </c>
      <c r="C56" s="109">
        <f>C52/(C4+C3*C7/C8)</f>
        <v>90</v>
      </c>
      <c r="D56" s="3" t="s">
        <v>494</v>
      </c>
    </row>
    <row r="59" spans="1:4" ht="15" x14ac:dyDescent="0.15">
      <c r="A59" s="8" t="s">
        <v>1790</v>
      </c>
    </row>
    <row r="60" spans="1:4" ht="15" x14ac:dyDescent="0.15">
      <c r="A60" s="8"/>
    </row>
    <row r="61" spans="1:4" ht="15" x14ac:dyDescent="0.15">
      <c r="A61" s="117" t="s">
        <v>1076</v>
      </c>
    </row>
    <row r="62" spans="1:4" ht="15" x14ac:dyDescent="0.15">
      <c r="A62" s="117" t="s">
        <v>890</v>
      </c>
      <c r="B62" s="3">
        <v>31.8</v>
      </c>
      <c r="C62" s="3" t="s">
        <v>1216</v>
      </c>
    </row>
    <row r="63" spans="1:4" ht="15" x14ac:dyDescent="0.15">
      <c r="A63" s="117" t="s">
        <v>1077</v>
      </c>
      <c r="B63" s="3">
        <v>5.3</v>
      </c>
      <c r="C63" s="3" t="s">
        <v>447</v>
      </c>
    </row>
    <row r="64" spans="1:4" ht="15" x14ac:dyDescent="0.15">
      <c r="A64" s="117" t="s">
        <v>1079</v>
      </c>
      <c r="B64" s="13">
        <v>61.8</v>
      </c>
      <c r="C64" s="3" t="s">
        <v>139</v>
      </c>
    </row>
    <row r="65" spans="1:6" ht="15" x14ac:dyDescent="0.15">
      <c r="A65" s="117" t="s">
        <v>809</v>
      </c>
      <c r="B65" s="29">
        <f>+B63*B62</f>
        <v>168.54</v>
      </c>
      <c r="C65" s="3" t="s">
        <v>139</v>
      </c>
    </row>
    <row r="66" spans="1:6" ht="15" x14ac:dyDescent="0.15">
      <c r="A66" s="117"/>
    </row>
    <row r="67" spans="1:6" ht="15" x14ac:dyDescent="0.15">
      <c r="A67" s="117" t="s">
        <v>1078</v>
      </c>
    </row>
    <row r="68" spans="1:6" ht="15" x14ac:dyDescent="0.15">
      <c r="A68" s="117" t="s">
        <v>791</v>
      </c>
      <c r="B68" s="3">
        <v>10.4</v>
      </c>
      <c r="C68" s="3" t="s">
        <v>1216</v>
      </c>
    </row>
    <row r="69" spans="1:6" ht="15" x14ac:dyDescent="0.15">
      <c r="A69" s="117" t="s">
        <v>506</v>
      </c>
      <c r="B69" s="3">
        <v>5.6</v>
      </c>
      <c r="C69" s="3" t="s">
        <v>447</v>
      </c>
    </row>
    <row r="70" spans="1:6" ht="15" x14ac:dyDescent="0.15">
      <c r="A70" s="117"/>
    </row>
    <row r="71" spans="1:6" ht="15" x14ac:dyDescent="0.15">
      <c r="A71" s="117" t="s">
        <v>1080</v>
      </c>
      <c r="B71" s="29">
        <f>+B69*B68</f>
        <v>58.239999999999995</v>
      </c>
      <c r="C71" s="3" t="s">
        <v>139</v>
      </c>
    </row>
    <row r="72" spans="1:6" ht="15" x14ac:dyDescent="0.15">
      <c r="A72" s="117"/>
    </row>
    <row r="73" spans="1:6" ht="15" x14ac:dyDescent="0.15">
      <c r="A73" s="117" t="s">
        <v>1081</v>
      </c>
      <c r="B73" s="67">
        <f>+B71/(B71+B65)</f>
        <v>0.25681277008554548</v>
      </c>
    </row>
    <row r="74" spans="1:6" ht="15" x14ac:dyDescent="0.15">
      <c r="A74" s="117"/>
      <c r="B74" s="13"/>
    </row>
    <row r="75" spans="1:6" ht="15" x14ac:dyDescent="0.15">
      <c r="A75" s="117"/>
      <c r="B75" s="13" t="s">
        <v>357</v>
      </c>
      <c r="D75" s="3" t="s">
        <v>358</v>
      </c>
    </row>
    <row r="76" spans="1:6" ht="16" x14ac:dyDescent="0.15">
      <c r="A76" s="118" t="s">
        <v>355</v>
      </c>
      <c r="B76" s="81">
        <f>B68/(B68+B62)</f>
        <v>0.24644549763033174</v>
      </c>
      <c r="D76" s="13">
        <f>B71</f>
        <v>58.239999999999995</v>
      </c>
      <c r="E76" s="3" t="s">
        <v>139</v>
      </c>
      <c r="F76" s="81">
        <f>D76/D78</f>
        <v>0.48517160946351218</v>
      </c>
    </row>
    <row r="77" spans="1:6" ht="15" x14ac:dyDescent="0.15">
      <c r="A77" s="117" t="s">
        <v>356</v>
      </c>
      <c r="B77" s="119">
        <f>1-B76</f>
        <v>0.75355450236966826</v>
      </c>
      <c r="D77" s="120">
        <f>B64</f>
        <v>61.8</v>
      </c>
      <c r="E77" s="88" t="s">
        <v>139</v>
      </c>
      <c r="F77" s="119">
        <f>D77/D78</f>
        <v>0.51482839053648788</v>
      </c>
    </row>
    <row r="78" spans="1:6" ht="15" x14ac:dyDescent="0.15">
      <c r="A78" s="117"/>
      <c r="B78" s="81">
        <f>SUM(B76:B77)</f>
        <v>1</v>
      </c>
      <c r="D78" s="13">
        <f>SUM(D76:D77)</f>
        <v>120.03999999999999</v>
      </c>
      <c r="E78" s="3" t="s">
        <v>139</v>
      </c>
      <c r="F78" s="81">
        <f>SUM(F76:F77)</f>
        <v>1</v>
      </c>
    </row>
    <row r="79" spans="1:6" ht="15" x14ac:dyDescent="0.15">
      <c r="A79" s="117"/>
    </row>
    <row r="80" spans="1:6" ht="15" x14ac:dyDescent="0.15">
      <c r="A80" s="117"/>
    </row>
    <row r="81" spans="1:5" ht="15" x14ac:dyDescent="0.15">
      <c r="A81" s="117"/>
    </row>
    <row r="82" spans="1:5" ht="15" x14ac:dyDescent="0.15">
      <c r="A82" s="117"/>
    </row>
    <row r="83" spans="1:5" ht="15" x14ac:dyDescent="0.15">
      <c r="A83" s="117"/>
    </row>
    <row r="84" spans="1:5" ht="15" x14ac:dyDescent="0.15">
      <c r="A84" s="117"/>
    </row>
    <row r="85" spans="1:5" ht="15" x14ac:dyDescent="0.15">
      <c r="A85" s="117"/>
    </row>
    <row r="86" spans="1:5" ht="15" x14ac:dyDescent="0.15">
      <c r="A86" s="8"/>
    </row>
    <row r="87" spans="1:5" ht="15" x14ac:dyDescent="0.15">
      <c r="A87" s="8"/>
    </row>
    <row r="88" spans="1:5" ht="15" x14ac:dyDescent="0.15">
      <c r="A88" s="8"/>
    </row>
    <row r="89" spans="1:5" ht="15" x14ac:dyDescent="0.15">
      <c r="A89" s="8"/>
    </row>
    <row r="90" spans="1:5" x14ac:dyDescent="0.15">
      <c r="B90" s="5"/>
      <c r="C90" s="5"/>
      <c r="D90" s="5"/>
      <c r="E90" s="5"/>
    </row>
    <row r="91" spans="1:5" x14ac:dyDescent="0.15">
      <c r="B91" s="74"/>
      <c r="C91" s="74"/>
      <c r="D91" s="74"/>
      <c r="E91" s="74"/>
    </row>
    <row r="92" spans="1:5" x14ac:dyDescent="0.15">
      <c r="B92" s="74"/>
      <c r="C92" s="74"/>
      <c r="D92" s="74"/>
      <c r="E92" s="74"/>
    </row>
    <row r="93" spans="1:5" x14ac:dyDescent="0.15">
      <c r="B93" s="74"/>
      <c r="C93" s="74"/>
      <c r="D93" s="74"/>
      <c r="E93" s="74"/>
    </row>
    <row r="94" spans="1:5" x14ac:dyDescent="0.15">
      <c r="B94" s="74"/>
      <c r="C94" s="74"/>
      <c r="D94" s="74"/>
      <c r="E94" s="74"/>
    </row>
    <row r="95" spans="1:5" x14ac:dyDescent="0.15">
      <c r="A95" s="121"/>
      <c r="B95" s="74"/>
      <c r="C95" s="74"/>
      <c r="D95" s="74"/>
      <c r="E95" s="74"/>
    </row>
    <row r="96" spans="1:5" x14ac:dyDescent="0.15">
      <c r="B96" s="74"/>
      <c r="C96" s="74"/>
      <c r="D96" s="74"/>
      <c r="E96" s="74"/>
    </row>
    <row r="97" spans="2:5" x14ac:dyDescent="0.15">
      <c r="B97" s="107"/>
      <c r="C97" s="107"/>
      <c r="D97" s="107"/>
      <c r="E97" s="74"/>
    </row>
    <row r="98" spans="2:5" x14ac:dyDescent="0.15">
      <c r="B98" s="74"/>
      <c r="C98" s="74"/>
      <c r="D98" s="74"/>
      <c r="E98" s="74"/>
    </row>
    <row r="99" spans="2:5" x14ac:dyDescent="0.15">
      <c r="B99" s="74"/>
      <c r="C99" s="74"/>
      <c r="D99" s="74"/>
      <c r="E99" s="74"/>
    </row>
    <row r="100" spans="2:5" x14ac:dyDescent="0.15">
      <c r="B100" s="5"/>
      <c r="C100" s="5"/>
      <c r="D100" s="74"/>
      <c r="E100" s="74"/>
    </row>
    <row r="101" spans="2:5" x14ac:dyDescent="0.15">
      <c r="B101" s="74"/>
      <c r="C101" s="74"/>
      <c r="D101" s="74"/>
      <c r="E101" s="74"/>
    </row>
    <row r="102" spans="2:5" x14ac:dyDescent="0.15">
      <c r="B102" s="74"/>
      <c r="C102" s="74"/>
      <c r="D102" s="74"/>
      <c r="E102" s="74"/>
    </row>
    <row r="103" spans="2:5" x14ac:dyDescent="0.15">
      <c r="B103" s="74"/>
      <c r="C103" s="74"/>
      <c r="D103" s="74"/>
      <c r="E103" s="74"/>
    </row>
    <row r="104" spans="2:5" x14ac:dyDescent="0.15">
      <c r="B104" s="74"/>
      <c r="C104" s="74"/>
      <c r="D104" s="74"/>
      <c r="E104" s="74"/>
    </row>
    <row r="105" spans="2:5" x14ac:dyDescent="0.15">
      <c r="B105" s="74"/>
      <c r="C105" s="74"/>
      <c r="D105" s="74"/>
      <c r="E105" s="74"/>
    </row>
    <row r="106" spans="2:5" x14ac:dyDescent="0.15">
      <c r="B106" s="74"/>
      <c r="C106" s="74"/>
      <c r="D106" s="74"/>
      <c r="E106" s="74"/>
    </row>
    <row r="107" spans="2:5" x14ac:dyDescent="0.15">
      <c r="B107" s="5"/>
      <c r="C107" s="5"/>
      <c r="D107" s="74"/>
      <c r="E107" s="74"/>
    </row>
    <row r="108" spans="2:5" x14ac:dyDescent="0.15">
      <c r="B108" s="74"/>
      <c r="C108" s="74"/>
      <c r="D108" s="74"/>
      <c r="E108" s="74"/>
    </row>
    <row r="109" spans="2:5" x14ac:dyDescent="0.15">
      <c r="B109" s="74"/>
      <c r="C109" s="74"/>
      <c r="D109" s="74"/>
      <c r="E109" s="74"/>
    </row>
    <row r="110" spans="2:5" x14ac:dyDescent="0.15">
      <c r="B110" s="74"/>
      <c r="C110" s="74"/>
      <c r="D110" s="74"/>
      <c r="E110" s="74"/>
    </row>
    <row r="111" spans="2:5" x14ac:dyDescent="0.15">
      <c r="B111" s="74"/>
      <c r="C111" s="74"/>
      <c r="D111" s="74"/>
      <c r="E111" s="74"/>
    </row>
    <row r="112" spans="2:5" x14ac:dyDescent="0.15">
      <c r="B112" s="74"/>
      <c r="C112" s="74"/>
      <c r="D112" s="74"/>
      <c r="E112" s="74"/>
    </row>
    <row r="113" spans="1:5" x14ac:dyDescent="0.15">
      <c r="B113" s="74"/>
      <c r="C113" s="74"/>
      <c r="D113" s="74"/>
      <c r="E113" s="74"/>
    </row>
    <row r="114" spans="1:5" x14ac:dyDescent="0.15">
      <c r="B114" s="74"/>
      <c r="C114" s="74"/>
      <c r="D114" s="74"/>
      <c r="E114" s="74"/>
    </row>
    <row r="115" spans="1:5" x14ac:dyDescent="0.15">
      <c r="B115" s="74"/>
      <c r="C115" s="74"/>
      <c r="D115" s="74"/>
      <c r="E115" s="74"/>
    </row>
    <row r="116" spans="1:5" x14ac:dyDescent="0.15">
      <c r="B116" s="74"/>
      <c r="C116" s="74"/>
      <c r="D116" s="74"/>
      <c r="E116" s="74"/>
    </row>
    <row r="117" spans="1:5" x14ac:dyDescent="0.15">
      <c r="B117" s="74"/>
      <c r="C117" s="74"/>
      <c r="D117" s="74"/>
      <c r="E117" s="74"/>
    </row>
    <row r="118" spans="1:5" x14ac:dyDescent="0.15">
      <c r="A118" s="121"/>
      <c r="B118" s="74"/>
      <c r="C118" s="74"/>
      <c r="D118" s="74"/>
      <c r="E118" s="74"/>
    </row>
    <row r="119" spans="1:5" x14ac:dyDescent="0.15">
      <c r="A119" s="121"/>
      <c r="B119" s="74"/>
      <c r="C119" s="74"/>
      <c r="D119" s="74"/>
      <c r="E119" s="74"/>
    </row>
    <row r="120" spans="1:5" x14ac:dyDescent="0.15">
      <c r="A120" s="121"/>
      <c r="B120" s="74"/>
      <c r="C120" s="74"/>
      <c r="D120" s="74"/>
      <c r="E120" s="74"/>
    </row>
    <row r="121" spans="1:5" x14ac:dyDescent="0.15">
      <c r="B121" s="74"/>
      <c r="C121" s="74"/>
      <c r="D121" s="74"/>
      <c r="E121" s="74"/>
    </row>
    <row r="122" spans="1:5" x14ac:dyDescent="0.15">
      <c r="A122" s="121"/>
      <c r="B122" s="74"/>
      <c r="C122" s="74"/>
      <c r="D122" s="74"/>
      <c r="E122" s="74"/>
    </row>
    <row r="123" spans="1:5" x14ac:dyDescent="0.15">
      <c r="B123" s="74"/>
      <c r="C123" s="74"/>
      <c r="D123" s="74"/>
      <c r="E123" s="74"/>
    </row>
    <row r="125" spans="1:5" x14ac:dyDescent="0.15">
      <c r="A125" s="121"/>
      <c r="C125" s="74"/>
    </row>
    <row r="126" spans="1:5" x14ac:dyDescent="0.15">
      <c r="C126" s="74"/>
    </row>
    <row r="127" spans="1:5" x14ac:dyDescent="0.15">
      <c r="A127" s="121"/>
      <c r="C127" s="74"/>
    </row>
    <row r="128" spans="1:5" x14ac:dyDescent="0.15">
      <c r="C128" s="74"/>
    </row>
    <row r="129" spans="3:3" x14ac:dyDescent="0.15">
      <c r="C129" s="74"/>
    </row>
    <row r="131" spans="3:3" x14ac:dyDescent="0.15">
      <c r="C131" s="80"/>
    </row>
    <row r="134" spans="3:3" x14ac:dyDescent="0.15">
      <c r="C134" s="68"/>
    </row>
  </sheetData>
  <phoneticPr fontId="4" type="noConversion"/>
  <pageMargins left="0.78740157480314965" right="0.78740157480314965" top="0.98425196850393704" bottom="0.98425196850393704" header="0.51181102362204722" footer="0.51181102362204722"/>
  <pageSetup paperSize="9" fitToHeight="6"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A2"/>
  <sheetViews>
    <sheetView showGridLines="0" workbookViewId="0">
      <selection activeCell="C24" sqref="C24"/>
    </sheetView>
  </sheetViews>
  <sheetFormatPr baseColWidth="10" defaultColWidth="11" defaultRowHeight="14" x14ac:dyDescent="0.15"/>
  <cols>
    <col min="1" max="1" width="25.83203125" style="70" customWidth="1"/>
    <col min="2" max="2" width="12" style="3" bestFit="1" customWidth="1"/>
    <col min="3" max="16384" width="11" style="3"/>
  </cols>
  <sheetData>
    <row r="1" spans="1:1" ht="15" x14ac:dyDescent="0.15">
      <c r="A1" s="1" t="s">
        <v>1379</v>
      </c>
    </row>
    <row r="2" spans="1:1" ht="15" x14ac:dyDescent="0.15">
      <c r="A2" s="70" t="s">
        <v>1465</v>
      </c>
    </row>
  </sheetData>
  <pageMargins left="0.78740157480314965" right="0.78740157480314965" top="0.98425196850393704" bottom="0.98425196850393704" header="0.51181102362204722" footer="0.51181102362204722"/>
  <pageSetup paperSize="9" fitToHeight="6"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D70"/>
  <sheetViews>
    <sheetView showGridLines="0" workbookViewId="0"/>
  </sheetViews>
  <sheetFormatPr baseColWidth="10" defaultColWidth="11" defaultRowHeight="14" x14ac:dyDescent="0.15"/>
  <cols>
    <col min="1" max="1" width="28.1640625" style="70" customWidth="1"/>
    <col min="2" max="2" width="12.1640625" style="3" bestFit="1" customWidth="1"/>
    <col min="3" max="16384" width="11" style="3"/>
  </cols>
  <sheetData>
    <row r="1" spans="1:2" ht="15" x14ac:dyDescent="0.15">
      <c r="A1" s="1" t="s">
        <v>1235</v>
      </c>
    </row>
    <row r="3" spans="1:2" ht="15" x14ac:dyDescent="0.15">
      <c r="A3" s="70" t="s">
        <v>1414</v>
      </c>
      <c r="B3" s="3">
        <v>1</v>
      </c>
    </row>
    <row r="4" spans="1:2" ht="15" x14ac:dyDescent="0.15">
      <c r="A4" s="70" t="s">
        <v>1415</v>
      </c>
      <c r="B4" s="80">
        <v>0.2</v>
      </c>
    </row>
    <row r="5" spans="1:2" ht="15" x14ac:dyDescent="0.15">
      <c r="A5" s="70" t="s">
        <v>1416</v>
      </c>
      <c r="B5" s="3">
        <f>B3/B4</f>
        <v>5</v>
      </c>
    </row>
    <row r="6" spans="1:2" ht="15" x14ac:dyDescent="0.15">
      <c r="A6" s="70" t="s">
        <v>1417</v>
      </c>
      <c r="B6" s="3">
        <f>B5-B3</f>
        <v>4</v>
      </c>
    </row>
    <row r="8" spans="1:2" ht="15" x14ac:dyDescent="0.15">
      <c r="A8" s="8" t="s">
        <v>1237</v>
      </c>
    </row>
    <row r="10" spans="1:2" ht="15" x14ac:dyDescent="0.15">
      <c r="A10" s="70" t="s">
        <v>1418</v>
      </c>
      <c r="B10" s="3">
        <v>1</v>
      </c>
    </row>
    <row r="11" spans="1:2" ht="15" x14ac:dyDescent="0.15">
      <c r="A11" s="70" t="s">
        <v>1419</v>
      </c>
      <c r="B11" s="3">
        <v>0.2</v>
      </c>
    </row>
    <row r="12" spans="1:2" ht="15" x14ac:dyDescent="0.15">
      <c r="A12" s="70" t="s">
        <v>1415</v>
      </c>
      <c r="B12" s="80">
        <v>0.75</v>
      </c>
    </row>
    <row r="13" spans="1:2" ht="15" x14ac:dyDescent="0.15">
      <c r="A13" s="70" t="s">
        <v>1420</v>
      </c>
      <c r="B13" s="80">
        <f>1-B12</f>
        <v>0.25</v>
      </c>
    </row>
    <row r="15" spans="1:2" ht="15" x14ac:dyDescent="0.15">
      <c r="A15" s="70" t="s">
        <v>1421</v>
      </c>
      <c r="B15" s="3">
        <v>2</v>
      </c>
    </row>
    <row r="17" spans="1:2" ht="15" x14ac:dyDescent="0.15">
      <c r="A17" s="76" t="s">
        <v>1424</v>
      </c>
    </row>
    <row r="18" spans="1:2" ht="15" x14ac:dyDescent="0.15">
      <c r="A18" s="70" t="s">
        <v>1422</v>
      </c>
      <c r="B18" s="3">
        <f>B15*B12-B11</f>
        <v>1.3</v>
      </c>
    </row>
    <row r="19" spans="1:2" ht="15" x14ac:dyDescent="0.15">
      <c r="A19" s="70" t="s">
        <v>1423</v>
      </c>
      <c r="B19" s="3">
        <f>B15*B13-(B10-B11)</f>
        <v>-0.30000000000000004</v>
      </c>
    </row>
    <row r="21" spans="1:2" ht="15" x14ac:dyDescent="0.15">
      <c r="A21" s="76" t="s">
        <v>1425</v>
      </c>
    </row>
    <row r="22" spans="1:2" ht="15" x14ac:dyDescent="0.15">
      <c r="A22" s="70" t="s">
        <v>1422</v>
      </c>
      <c r="B22" s="3">
        <f>B15-B10-B23</f>
        <v>0.7</v>
      </c>
    </row>
    <row r="23" spans="1:2" ht="15" x14ac:dyDescent="0.15">
      <c r="A23" s="70" t="s">
        <v>1423</v>
      </c>
      <c r="B23" s="3">
        <f>B10-B11+(B15-B10+B11)*B13-(B10-B11)</f>
        <v>0.30000000000000004</v>
      </c>
    </row>
    <row r="25" spans="1:2" ht="15" x14ac:dyDescent="0.15">
      <c r="A25" s="8" t="s">
        <v>196</v>
      </c>
    </row>
    <row r="27" spans="1:2" ht="15" x14ac:dyDescent="0.15">
      <c r="A27" s="70" t="s">
        <v>1426</v>
      </c>
      <c r="B27" s="3">
        <f>(B10-B11)/B13-(B10-B11)-B11</f>
        <v>2.2000000000000002</v>
      </c>
    </row>
    <row r="29" spans="1:2" ht="15" x14ac:dyDescent="0.15">
      <c r="A29" s="8" t="s">
        <v>160</v>
      </c>
    </row>
    <row r="31" spans="1:2" ht="15" x14ac:dyDescent="0.15">
      <c r="A31" s="70" t="s">
        <v>1428</v>
      </c>
      <c r="B31" s="105">
        <v>1000000</v>
      </c>
    </row>
    <row r="32" spans="1:2" ht="15" x14ac:dyDescent="0.15">
      <c r="A32" s="70" t="s">
        <v>1430</v>
      </c>
      <c r="B32" s="3">
        <v>1</v>
      </c>
    </row>
    <row r="33" spans="1:2" ht="15" x14ac:dyDescent="0.15">
      <c r="A33" s="70" t="s">
        <v>1429</v>
      </c>
      <c r="B33" s="105">
        <v>800000</v>
      </c>
    </row>
    <row r="34" spans="1:2" ht="15" x14ac:dyDescent="0.15">
      <c r="A34" s="70" t="s">
        <v>1427</v>
      </c>
      <c r="B34" s="3">
        <v>10</v>
      </c>
    </row>
    <row r="36" spans="1:2" ht="15" x14ac:dyDescent="0.15">
      <c r="A36" s="70" t="s">
        <v>1433</v>
      </c>
      <c r="B36" s="106">
        <f>B31/(B31+B33)</f>
        <v>0.55555555555555558</v>
      </c>
    </row>
    <row r="37" spans="1:2" ht="15" x14ac:dyDescent="0.15">
      <c r="A37" s="70" t="s">
        <v>1434</v>
      </c>
      <c r="B37" s="106">
        <f>B33/(B31+B33)</f>
        <v>0.44444444444444442</v>
      </c>
    </row>
    <row r="39" spans="1:2" ht="15" x14ac:dyDescent="0.15">
      <c r="A39" s="70" t="s">
        <v>1431</v>
      </c>
      <c r="B39" s="105">
        <v>5000000</v>
      </c>
    </row>
    <row r="40" spans="1:2" ht="15" x14ac:dyDescent="0.15">
      <c r="A40" s="70" t="s">
        <v>1432</v>
      </c>
      <c r="B40" s="80">
        <v>0.36</v>
      </c>
    </row>
    <row r="41" spans="1:2" ht="15" x14ac:dyDescent="0.15">
      <c r="A41" s="70" t="s">
        <v>1438</v>
      </c>
      <c r="B41" s="105">
        <f>B39/B40</f>
        <v>13888888.88888889</v>
      </c>
    </row>
    <row r="42" spans="1:2" x14ac:dyDescent="0.15">
      <c r="B42" s="80"/>
    </row>
    <row r="43" spans="1:2" ht="15" x14ac:dyDescent="0.15">
      <c r="A43" s="76" t="s">
        <v>1436</v>
      </c>
    </row>
    <row r="44" spans="1:2" ht="15" x14ac:dyDescent="0.15">
      <c r="A44" s="70" t="s">
        <v>1435</v>
      </c>
      <c r="B44" s="80">
        <f>B40</f>
        <v>0.36</v>
      </c>
    </row>
    <row r="45" spans="1:2" ht="15" x14ac:dyDescent="0.15">
      <c r="A45" s="70" t="s">
        <v>1433</v>
      </c>
      <c r="B45" s="107">
        <f>B36*(1-$B$44)</f>
        <v>0.35555555555555557</v>
      </c>
    </row>
    <row r="46" spans="1:2" ht="15" x14ac:dyDescent="0.15">
      <c r="A46" s="70" t="s">
        <v>1434</v>
      </c>
      <c r="B46" s="107">
        <f>B37*(1-$B$44)</f>
        <v>0.28444444444444444</v>
      </c>
    </row>
    <row r="48" spans="1:2" ht="15" x14ac:dyDescent="0.15">
      <c r="A48" s="76" t="s">
        <v>1437</v>
      </c>
    </row>
    <row r="49" spans="1:4" ht="15" x14ac:dyDescent="0.15">
      <c r="A49" s="70" t="s">
        <v>1435</v>
      </c>
      <c r="B49" s="80">
        <f>B40</f>
        <v>0.36</v>
      </c>
    </row>
    <row r="50" spans="1:4" ht="15" x14ac:dyDescent="0.15">
      <c r="A50" s="70" t="s">
        <v>1433</v>
      </c>
      <c r="B50" s="107">
        <f>1-B51-B49</f>
        <v>6.4000000000000057E-2</v>
      </c>
    </row>
    <row r="51" spans="1:4" ht="15" x14ac:dyDescent="0.15">
      <c r="A51" s="70" t="s">
        <v>1434</v>
      </c>
      <c r="B51" s="107">
        <f>(B33*B34)/(B41-B39)*(1-B49)</f>
        <v>0.57599999999999996</v>
      </c>
    </row>
    <row r="53" spans="1:4" ht="15" x14ac:dyDescent="0.15">
      <c r="A53" s="8" t="s">
        <v>174</v>
      </c>
    </row>
    <row r="55" spans="1:4" ht="15" x14ac:dyDescent="0.15">
      <c r="A55" s="70" t="s">
        <v>1428</v>
      </c>
      <c r="B55" s="105">
        <v>200000</v>
      </c>
    </row>
    <row r="56" spans="1:4" ht="15" x14ac:dyDescent="0.15">
      <c r="A56" s="70" t="s">
        <v>1430</v>
      </c>
      <c r="B56" s="3">
        <v>1</v>
      </c>
    </row>
    <row r="57" spans="1:4" ht="15" x14ac:dyDescent="0.15">
      <c r="A57" s="70" t="s">
        <v>1429</v>
      </c>
      <c r="B57" s="105">
        <v>800000</v>
      </c>
    </row>
    <row r="58" spans="1:4" ht="15" x14ac:dyDescent="0.15">
      <c r="A58" s="70" t="s">
        <v>1427</v>
      </c>
      <c r="B58" s="3">
        <v>1</v>
      </c>
    </row>
    <row r="60" spans="1:4" ht="15" x14ac:dyDescent="0.15">
      <c r="A60" s="70" t="s">
        <v>689</v>
      </c>
      <c r="B60" s="108" t="s">
        <v>1440</v>
      </c>
      <c r="C60" s="108" t="s">
        <v>1441</v>
      </c>
      <c r="D60" s="108" t="s">
        <v>1442</v>
      </c>
    </row>
    <row r="61" spans="1:4" ht="15" x14ac:dyDescent="0.15">
      <c r="A61" s="70" t="s">
        <v>1439</v>
      </c>
      <c r="B61" s="105">
        <f>B57/3</f>
        <v>266666.66666666669</v>
      </c>
      <c r="C61" s="105">
        <f>B57/2</f>
        <v>400000</v>
      </c>
      <c r="D61" s="105">
        <f>B57*2/3</f>
        <v>533333.33333333337</v>
      </c>
    </row>
    <row r="62" spans="1:4" ht="15" x14ac:dyDescent="0.15">
      <c r="A62" s="70" t="s">
        <v>675</v>
      </c>
      <c r="B62" s="3">
        <v>1</v>
      </c>
      <c r="C62" s="3">
        <f>B62</f>
        <v>1</v>
      </c>
      <c r="D62" s="3">
        <f>C62</f>
        <v>1</v>
      </c>
    </row>
    <row r="64" spans="1:4" ht="15" x14ac:dyDescent="0.15">
      <c r="A64" s="70" t="s">
        <v>1443</v>
      </c>
      <c r="B64" s="3">
        <v>3.7</v>
      </c>
    </row>
    <row r="65" spans="1:2" ht="15" x14ac:dyDescent="0.15">
      <c r="A65" s="70" t="s">
        <v>1444</v>
      </c>
      <c r="B65" s="67">
        <f>(B64/B56)^(1/5)-1</f>
        <v>0.29909330563866021</v>
      </c>
    </row>
    <row r="66" spans="1:2" ht="15" x14ac:dyDescent="0.15">
      <c r="A66" s="70" t="s">
        <v>1445</v>
      </c>
      <c r="B66" s="67">
        <f>(((B57-B61)*B64+B61*B62)/(B57*B58))^(1/5)-1</f>
        <v>0.22865967908314722</v>
      </c>
    </row>
    <row r="68" spans="1:2" ht="15" x14ac:dyDescent="0.15">
      <c r="A68" s="70" t="s">
        <v>1443</v>
      </c>
      <c r="B68" s="3">
        <v>3.73</v>
      </c>
    </row>
    <row r="69" spans="1:2" ht="15" x14ac:dyDescent="0.15">
      <c r="A69" s="70" t="s">
        <v>1444</v>
      </c>
      <c r="B69" s="67">
        <f>(B68/B56)^(1/5)-1</f>
        <v>0.30119314414370946</v>
      </c>
    </row>
    <row r="70" spans="1:2" ht="15" x14ac:dyDescent="0.15">
      <c r="A70" s="70" t="s">
        <v>1445</v>
      </c>
      <c r="B70" s="67">
        <f>(((B57-C61)*B68+C61*C62)/(B57*B58))^(1/5)-1</f>
        <v>0.18786265547641445</v>
      </c>
    </row>
  </sheetData>
  <pageMargins left="0.78740157480314965" right="0.78740157480314965" top="0.98425196850393704" bottom="0.98425196850393704" header="0.51181102362204722" footer="0.51181102362204722"/>
  <pageSetup paperSize="9" fitToHeight="6"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euil41"/>
  <dimension ref="A1:D45"/>
  <sheetViews>
    <sheetView showGridLines="0" workbookViewId="0">
      <selection activeCell="E11" sqref="E11"/>
    </sheetView>
  </sheetViews>
  <sheetFormatPr baseColWidth="10" defaultColWidth="11" defaultRowHeight="14" x14ac:dyDescent="0.15"/>
  <cols>
    <col min="1" max="1" width="24.1640625" style="3" customWidth="1"/>
    <col min="2" max="16384" width="11" style="3"/>
  </cols>
  <sheetData>
    <row r="1" spans="1:4" ht="15" x14ac:dyDescent="0.15">
      <c r="A1" s="1" t="s">
        <v>1235</v>
      </c>
    </row>
    <row r="2" spans="1:4" ht="15" x14ac:dyDescent="0.15">
      <c r="A2" s="8"/>
    </row>
    <row r="3" spans="1:4" x14ac:dyDescent="0.15">
      <c r="A3" s="69" t="s">
        <v>113</v>
      </c>
    </row>
    <row r="4" spans="1:4" x14ac:dyDescent="0.15">
      <c r="A4" s="393"/>
      <c r="B4" s="360" t="s">
        <v>115</v>
      </c>
      <c r="C4" s="334" t="s">
        <v>108</v>
      </c>
      <c r="D4" s="334" t="s">
        <v>111</v>
      </c>
    </row>
    <row r="5" spans="1:4" x14ac:dyDescent="0.15">
      <c r="A5" s="3" t="s">
        <v>116</v>
      </c>
      <c r="B5" s="107">
        <f>1/3</f>
        <v>0.33333333333333331</v>
      </c>
      <c r="C5" s="372">
        <v>2</v>
      </c>
      <c r="D5" s="80">
        <f>B5*C5/(B5*C5+B6*C6)</f>
        <v>0.49999999999999994</v>
      </c>
    </row>
    <row r="6" spans="1:4" x14ac:dyDescent="0.15">
      <c r="A6" s="3" t="s">
        <v>117</v>
      </c>
      <c r="B6" s="107">
        <f>1-B5</f>
        <v>0.66666666666666674</v>
      </c>
      <c r="C6" s="372">
        <v>1</v>
      </c>
      <c r="D6" s="80">
        <f>1-D5</f>
        <v>0.5</v>
      </c>
    </row>
    <row r="7" spans="1:4" x14ac:dyDescent="0.15">
      <c r="B7" s="81"/>
      <c r="C7" s="102"/>
      <c r="D7" s="80"/>
    </row>
    <row r="8" spans="1:4" x14ac:dyDescent="0.15">
      <c r="A8" s="86" t="s">
        <v>109</v>
      </c>
    </row>
    <row r="9" spans="1:4" x14ac:dyDescent="0.15">
      <c r="A9" s="86"/>
    </row>
    <row r="10" spans="1:4" x14ac:dyDescent="0.15">
      <c r="A10" s="103" t="s">
        <v>114</v>
      </c>
    </row>
    <row r="11" spans="1:4" x14ac:dyDescent="0.15">
      <c r="A11" s="393"/>
      <c r="B11" s="360" t="s">
        <v>115</v>
      </c>
      <c r="C11" s="334" t="s">
        <v>108</v>
      </c>
      <c r="D11" s="334" t="s">
        <v>112</v>
      </c>
    </row>
    <row r="12" spans="1:4" x14ac:dyDescent="0.15">
      <c r="A12" s="3" t="s">
        <v>116</v>
      </c>
      <c r="B12" s="107">
        <v>0.5</v>
      </c>
      <c r="C12" s="372">
        <v>2</v>
      </c>
      <c r="D12" s="80">
        <f>B12*C12/(B12*C12+B13*C13)</f>
        <v>0.66666666666666663</v>
      </c>
    </row>
    <row r="13" spans="1:4" x14ac:dyDescent="0.15">
      <c r="A13" s="3" t="s">
        <v>117</v>
      </c>
      <c r="B13" s="107">
        <f>1-B12</f>
        <v>0.5</v>
      </c>
      <c r="C13" s="372">
        <v>1</v>
      </c>
      <c r="D13" s="80">
        <f>1-D12</f>
        <v>0.33333333333333337</v>
      </c>
    </row>
    <row r="14" spans="1:4" x14ac:dyDescent="0.15">
      <c r="A14" s="86"/>
    </row>
    <row r="15" spans="1:4" x14ac:dyDescent="0.15">
      <c r="A15" s="86" t="s">
        <v>110</v>
      </c>
    </row>
    <row r="16" spans="1:4" x14ac:dyDescent="0.15">
      <c r="A16" s="86"/>
    </row>
    <row r="18" spans="1:1" ht="15" x14ac:dyDescent="0.15">
      <c r="A18" s="8" t="s">
        <v>1237</v>
      </c>
    </row>
    <row r="34" spans="1:3" ht="15" x14ac:dyDescent="0.15">
      <c r="A34" s="8" t="s">
        <v>196</v>
      </c>
    </row>
    <row r="36" spans="1:3" x14ac:dyDescent="0.15">
      <c r="A36" s="3" t="s">
        <v>1381</v>
      </c>
    </row>
    <row r="37" spans="1:3" x14ac:dyDescent="0.15">
      <c r="A37" s="3" t="s">
        <v>1380</v>
      </c>
      <c r="B37" s="104">
        <v>0.34500000000000003</v>
      </c>
    </row>
    <row r="38" spans="1:3" x14ac:dyDescent="0.15">
      <c r="A38" s="3" t="s">
        <v>1383</v>
      </c>
      <c r="B38" s="104">
        <v>0.69</v>
      </c>
    </row>
    <row r="39" spans="1:3" x14ac:dyDescent="0.15">
      <c r="A39" s="3" t="s">
        <v>1384</v>
      </c>
      <c r="B39" s="104">
        <f>B37/B38</f>
        <v>0.50000000000000011</v>
      </c>
    </row>
    <row r="40" spans="1:3" x14ac:dyDescent="0.15">
      <c r="B40" s="104"/>
    </row>
    <row r="41" spans="1:3" x14ac:dyDescent="0.15">
      <c r="A41" s="3" t="s">
        <v>1382</v>
      </c>
    </row>
    <row r="42" spans="1:3" x14ac:dyDescent="0.15">
      <c r="A42" s="3" t="s">
        <v>1380</v>
      </c>
      <c r="B42" s="104">
        <v>0.23</v>
      </c>
    </row>
    <row r="43" spans="1:3" x14ac:dyDescent="0.15">
      <c r="A43" s="3" t="s">
        <v>111</v>
      </c>
      <c r="B43" s="104">
        <f>B42*2/(1+B42)</f>
        <v>0.37398373983739841</v>
      </c>
    </row>
    <row r="44" spans="1:3" x14ac:dyDescent="0.15">
      <c r="A44" s="3" t="s">
        <v>1383</v>
      </c>
      <c r="B44" s="104">
        <f>B38</f>
        <v>0.69</v>
      </c>
      <c r="C44" s="3" t="s">
        <v>1385</v>
      </c>
    </row>
    <row r="45" spans="1:3" x14ac:dyDescent="0.15">
      <c r="A45" s="3" t="s">
        <v>1384</v>
      </c>
      <c r="B45" s="104">
        <f>B42*2/(B44+B42)</f>
        <v>0.50000000000000011</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euil42"/>
  <dimension ref="A1:H55"/>
  <sheetViews>
    <sheetView showGridLines="0" workbookViewId="0">
      <selection activeCell="F26" sqref="F26"/>
    </sheetView>
  </sheetViews>
  <sheetFormatPr baseColWidth="10" defaultColWidth="11" defaultRowHeight="14" x14ac:dyDescent="0.15"/>
  <cols>
    <col min="1" max="1" width="26.1640625" style="3" customWidth="1"/>
    <col min="2" max="16384" width="11" style="3"/>
  </cols>
  <sheetData>
    <row r="1" spans="1:8" ht="15" x14ac:dyDescent="0.15">
      <c r="A1" s="1" t="s">
        <v>1235</v>
      </c>
    </row>
    <row r="2" spans="1:8" ht="24" customHeight="1" x14ac:dyDescent="0.15">
      <c r="A2" s="393" t="s">
        <v>910</v>
      </c>
      <c r="B2" s="364" t="s">
        <v>999</v>
      </c>
      <c r="C2" s="364" t="s">
        <v>1001</v>
      </c>
      <c r="D2" s="364"/>
      <c r="E2" s="334"/>
      <c r="F2" s="394" t="s">
        <v>998</v>
      </c>
      <c r="G2" s="394" t="s">
        <v>1000</v>
      </c>
    </row>
    <row r="3" spans="1:8" x14ac:dyDescent="0.15">
      <c r="A3" s="97" t="s">
        <v>998</v>
      </c>
      <c r="B3" s="80">
        <v>1</v>
      </c>
      <c r="E3" s="83" t="s">
        <v>585</v>
      </c>
      <c r="F3" s="3">
        <v>60</v>
      </c>
      <c r="G3" s="3">
        <v>30</v>
      </c>
    </row>
    <row r="4" spans="1:8" x14ac:dyDescent="0.15">
      <c r="A4" s="97" t="s">
        <v>1000</v>
      </c>
      <c r="C4" s="80">
        <v>1</v>
      </c>
      <c r="E4" s="83" t="s">
        <v>604</v>
      </c>
      <c r="F4" s="3">
        <v>750</v>
      </c>
      <c r="G4" s="3">
        <v>1500</v>
      </c>
    </row>
    <row r="5" spans="1:8" x14ac:dyDescent="0.15">
      <c r="E5" s="83" t="s">
        <v>793</v>
      </c>
      <c r="F5" s="3">
        <v>800</v>
      </c>
      <c r="G5" s="3">
        <v>400</v>
      </c>
    </row>
    <row r="6" spans="1:8" x14ac:dyDescent="0.15">
      <c r="A6" s="60" t="s">
        <v>911</v>
      </c>
    </row>
    <row r="7" spans="1:8" x14ac:dyDescent="0.15">
      <c r="A7" s="3" t="s">
        <v>912</v>
      </c>
      <c r="B7" s="81">
        <f t="shared" ref="B7:C9" si="0">F3/($F3+$G3)</f>
        <v>0.66666666666666663</v>
      </c>
      <c r="C7" s="81">
        <f t="shared" si="0"/>
        <v>0.33333333333333331</v>
      </c>
    </row>
    <row r="8" spans="1:8" x14ac:dyDescent="0.15">
      <c r="A8" s="3" t="s">
        <v>913</v>
      </c>
      <c r="B8" s="81">
        <f t="shared" si="0"/>
        <v>0.33333333333333331</v>
      </c>
      <c r="C8" s="81">
        <f t="shared" si="0"/>
        <v>0.66666666666666663</v>
      </c>
    </row>
    <row r="9" spans="1:8" x14ac:dyDescent="0.15">
      <c r="A9" s="3" t="s">
        <v>914</v>
      </c>
      <c r="B9" s="81">
        <f t="shared" si="0"/>
        <v>0.66666666666666663</v>
      </c>
      <c r="C9" s="81">
        <f t="shared" si="0"/>
        <v>0.33333333333333331</v>
      </c>
    </row>
    <row r="11" spans="1:8" ht="15" x14ac:dyDescent="0.15">
      <c r="A11" s="8" t="s">
        <v>1237</v>
      </c>
    </row>
    <row r="12" spans="1:8" ht="24" x14ac:dyDescent="0.15">
      <c r="A12" s="393" t="s">
        <v>910</v>
      </c>
      <c r="B12" s="364" t="s">
        <v>1791</v>
      </c>
      <c r="C12" s="364" t="s">
        <v>1792</v>
      </c>
      <c r="D12" s="364" t="s">
        <v>537</v>
      </c>
      <c r="E12" s="364" t="s">
        <v>1793</v>
      </c>
      <c r="F12" s="334"/>
      <c r="G12" s="364" t="s">
        <v>535</v>
      </c>
      <c r="H12" s="364" t="s">
        <v>895</v>
      </c>
    </row>
    <row r="13" spans="1:8" x14ac:dyDescent="0.15">
      <c r="A13" s="3" t="s">
        <v>1002</v>
      </c>
      <c r="B13" s="3">
        <v>20</v>
      </c>
      <c r="C13" s="3">
        <v>60</v>
      </c>
      <c r="D13" s="3">
        <v>50</v>
      </c>
      <c r="E13" s="3">
        <v>2</v>
      </c>
      <c r="G13" s="13">
        <f>B13/E13</f>
        <v>10</v>
      </c>
      <c r="H13" s="13">
        <f>C13/E13</f>
        <v>30</v>
      </c>
    </row>
    <row r="14" spans="1:8" x14ac:dyDescent="0.15">
      <c r="A14" s="3" t="s">
        <v>1003</v>
      </c>
      <c r="B14" s="3">
        <v>40</v>
      </c>
      <c r="C14" s="3">
        <v>300</v>
      </c>
      <c r="D14" s="3">
        <v>8</v>
      </c>
      <c r="E14" s="3">
        <v>1</v>
      </c>
      <c r="G14" s="13">
        <f>B14/E14</f>
        <v>40</v>
      </c>
      <c r="H14" s="13">
        <f>C14/E14</f>
        <v>300</v>
      </c>
    </row>
    <row r="16" spans="1:8" x14ac:dyDescent="0.15">
      <c r="A16" s="60" t="s">
        <v>1004</v>
      </c>
    </row>
    <row r="17" spans="1:5" ht="24" x14ac:dyDescent="0.15">
      <c r="D17" s="83" t="s">
        <v>546</v>
      </c>
      <c r="E17" s="3">
        <f>E13*100%/B18</f>
        <v>2.64</v>
      </c>
    </row>
    <row r="18" spans="1:5" x14ac:dyDescent="0.15">
      <c r="A18" s="7" t="s">
        <v>1005</v>
      </c>
      <c r="B18" s="67">
        <f>B13*D13/(B$13*D$13+B$14*D$14)</f>
        <v>0.75757575757575757</v>
      </c>
    </row>
    <row r="19" spans="1:5" x14ac:dyDescent="0.15">
      <c r="A19" s="7" t="s">
        <v>1006</v>
      </c>
      <c r="B19" s="67">
        <f>B14*D14/(B$13*D$13+B$14*D$14)</f>
        <v>0.24242424242424243</v>
      </c>
    </row>
    <row r="21" spans="1:5" x14ac:dyDescent="0.15">
      <c r="A21" s="7" t="s">
        <v>535</v>
      </c>
      <c r="B21" s="29">
        <f>(B13+B14)/E17</f>
        <v>22.727272727272727</v>
      </c>
    </row>
    <row r="22" spans="1:5" x14ac:dyDescent="0.15">
      <c r="A22" s="7" t="s">
        <v>895</v>
      </c>
      <c r="B22" s="29">
        <f>($C$13+$C$14)/E17</f>
        <v>136.36363636363635</v>
      </c>
    </row>
    <row r="24" spans="1:5" x14ac:dyDescent="0.15">
      <c r="A24" s="60" t="s">
        <v>915</v>
      </c>
    </row>
    <row r="26" spans="1:5" x14ac:dyDescent="0.15">
      <c r="A26" s="3" t="s">
        <v>1007</v>
      </c>
      <c r="B26" s="3">
        <v>15</v>
      </c>
      <c r="C26" s="3">
        <v>6</v>
      </c>
    </row>
    <row r="27" spans="1:5" x14ac:dyDescent="0.15">
      <c r="A27" s="7" t="s">
        <v>1005</v>
      </c>
      <c r="B27" s="67">
        <f>B13*B26/(B$13*B26+B$14*D$14)</f>
        <v>0.4838709677419355</v>
      </c>
      <c r="C27" s="67">
        <f>B13*C26/(B$13*C$26+B$14*D$14)</f>
        <v>0.27272727272727271</v>
      </c>
    </row>
    <row r="28" spans="1:5" x14ac:dyDescent="0.15">
      <c r="A28" s="7" t="s">
        <v>1006</v>
      </c>
      <c r="B28" s="67">
        <f>B14*D14/(B$13*B26+B$14*D$14)</f>
        <v>0.5161290322580645</v>
      </c>
      <c r="C28" s="67">
        <f>B14*D14/(B$13*C26+B$14*D$14)</f>
        <v>0.72727272727272729</v>
      </c>
    </row>
    <row r="29" spans="1:5" x14ac:dyDescent="0.15">
      <c r="A29" s="7" t="s">
        <v>1082</v>
      </c>
      <c r="B29" s="13">
        <f>$E$13*100%/B27</f>
        <v>4.1333333333333329</v>
      </c>
      <c r="C29" s="13">
        <f>$E$13*100%/C27</f>
        <v>7.3333333333333339</v>
      </c>
    </row>
    <row r="30" spans="1:5" x14ac:dyDescent="0.15">
      <c r="A30" s="7" t="s">
        <v>535</v>
      </c>
      <c r="B30" s="29">
        <f>($B$13+$B$14)/B29</f>
        <v>14.516129032258066</v>
      </c>
      <c r="C30" s="29">
        <f>($B$13+$B$14)/C29</f>
        <v>8.1818181818181817</v>
      </c>
    </row>
    <row r="31" spans="1:5" x14ac:dyDescent="0.15">
      <c r="A31" s="7" t="s">
        <v>895</v>
      </c>
      <c r="B31" s="29">
        <f>($C$13+$C$14)/B29</f>
        <v>87.096774193548399</v>
      </c>
      <c r="C31" s="29">
        <f>($C$13+$C$14)/C29</f>
        <v>49.090909090909086</v>
      </c>
    </row>
    <row r="32" spans="1:5" x14ac:dyDescent="0.15">
      <c r="A32" s="7"/>
      <c r="B32" s="67"/>
      <c r="C32" s="67"/>
    </row>
    <row r="34" spans="1:5" x14ac:dyDescent="0.15">
      <c r="A34" s="60" t="s">
        <v>916</v>
      </c>
    </row>
    <row r="36" spans="1:5" x14ac:dyDescent="0.15">
      <c r="A36" s="3" t="s">
        <v>917</v>
      </c>
      <c r="B36" s="3">
        <v>10</v>
      </c>
    </row>
    <row r="37" spans="1:5" x14ac:dyDescent="0.15">
      <c r="A37" s="3" t="s">
        <v>918</v>
      </c>
      <c r="B37" s="3">
        <v>21</v>
      </c>
    </row>
    <row r="39" spans="1:5" x14ac:dyDescent="0.15">
      <c r="A39" s="3" t="s">
        <v>919</v>
      </c>
      <c r="B39" s="3">
        <f>(B13+B14+B36)*B37-(D13*B13+D14*B14)</f>
        <v>150</v>
      </c>
    </row>
    <row r="41" spans="1:5" x14ac:dyDescent="0.15">
      <c r="A41" s="7" t="s">
        <v>1008</v>
      </c>
      <c r="B41" s="98">
        <f>D13*B13/(B39+D14*B14)</f>
        <v>2.1276595744680851</v>
      </c>
      <c r="C41" s="82" t="s">
        <v>1075</v>
      </c>
      <c r="D41" s="99">
        <f>2/B41</f>
        <v>0.94000000000000006</v>
      </c>
      <c r="E41" s="3" t="s">
        <v>1083</v>
      </c>
    </row>
    <row r="42" spans="1:5" x14ac:dyDescent="0.15">
      <c r="A42" s="7" t="s">
        <v>1009</v>
      </c>
      <c r="B42" s="98">
        <f>(B39+D13*B13)/(D14*B14)</f>
        <v>3.59375</v>
      </c>
      <c r="C42" s="82" t="s">
        <v>1075</v>
      </c>
      <c r="D42" s="99">
        <f>2/B42</f>
        <v>0.55652173913043479</v>
      </c>
      <c r="E42" s="3" t="s">
        <v>1083</v>
      </c>
    </row>
    <row r="44" spans="1:5" x14ac:dyDescent="0.15">
      <c r="A44" s="60" t="s">
        <v>1010</v>
      </c>
    </row>
    <row r="46" spans="1:5" x14ac:dyDescent="0.15">
      <c r="A46" s="3" t="s">
        <v>917</v>
      </c>
      <c r="B46" s="3">
        <v>10</v>
      </c>
    </row>
    <row r="47" spans="1:5" x14ac:dyDescent="0.15">
      <c r="A47" s="3" t="s">
        <v>918</v>
      </c>
      <c r="B47" s="3">
        <v>50</v>
      </c>
    </row>
    <row r="49" spans="1:2" x14ac:dyDescent="0.15">
      <c r="A49" s="7" t="s">
        <v>1011</v>
      </c>
      <c r="B49" s="3">
        <f>B47*(B46+B13+B14)</f>
        <v>3500</v>
      </c>
    </row>
    <row r="51" spans="1:2" x14ac:dyDescent="0.15">
      <c r="A51" s="60" t="s">
        <v>920</v>
      </c>
    </row>
    <row r="53" spans="1:2" x14ac:dyDescent="0.15">
      <c r="A53" s="3" t="s">
        <v>921</v>
      </c>
      <c r="B53" s="3">
        <f>B49-(D13*B13+D14*B14)</f>
        <v>2180</v>
      </c>
    </row>
    <row r="54" spans="1:2" x14ac:dyDescent="0.15">
      <c r="A54" s="100" t="s">
        <v>922</v>
      </c>
      <c r="B54" s="3">
        <f>B46*B47</f>
        <v>500</v>
      </c>
    </row>
    <row r="55" spans="1:2" x14ac:dyDescent="0.15">
      <c r="A55" s="100" t="s">
        <v>1012</v>
      </c>
      <c r="B55" s="3">
        <f>B53-B54</f>
        <v>1680</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K95"/>
  <sheetViews>
    <sheetView showGridLines="0" topLeftCell="A51" workbookViewId="0">
      <selection activeCell="A51" sqref="A1:XFD1048576"/>
    </sheetView>
  </sheetViews>
  <sheetFormatPr baseColWidth="10" defaultColWidth="11" defaultRowHeight="14" x14ac:dyDescent="0.15"/>
  <cols>
    <col min="1" max="1" width="52.83203125" style="3" bestFit="1" customWidth="1"/>
    <col min="2" max="4" width="11.83203125" style="3" customWidth="1"/>
    <col min="5" max="5" width="12" style="3" customWidth="1"/>
    <col min="6" max="16384" width="11" style="3"/>
  </cols>
  <sheetData>
    <row r="1" spans="1:6" ht="15" x14ac:dyDescent="0.15">
      <c r="A1" s="2" t="s">
        <v>196</v>
      </c>
    </row>
    <row r="3" spans="1:6" ht="15" x14ac:dyDescent="0.15">
      <c r="A3" s="8" t="s">
        <v>1179</v>
      </c>
      <c r="B3" s="74"/>
      <c r="C3" s="74"/>
      <c r="D3" s="74"/>
      <c r="E3" s="74"/>
      <c r="F3" s="74"/>
    </row>
    <row r="4" spans="1:6" ht="9" customHeight="1" x14ac:dyDescent="0.15">
      <c r="A4" s="8"/>
      <c r="B4" s="74"/>
      <c r="C4" s="74"/>
      <c r="D4" s="74"/>
      <c r="E4" s="74"/>
      <c r="F4" s="74"/>
    </row>
    <row r="5" spans="1:6" x14ac:dyDescent="0.15">
      <c r="A5" s="334" t="s">
        <v>1180</v>
      </c>
      <c r="B5" s="360">
        <v>1</v>
      </c>
      <c r="C5" s="360">
        <v>2</v>
      </c>
      <c r="D5" s="360">
        <v>3</v>
      </c>
      <c r="E5" s="360">
        <v>4</v>
      </c>
      <c r="F5" s="360">
        <v>5</v>
      </c>
    </row>
    <row r="6" spans="1:6" x14ac:dyDescent="0.15">
      <c r="A6" s="3" t="s">
        <v>1181</v>
      </c>
      <c r="B6" s="166">
        <v>3320</v>
      </c>
      <c r="C6" s="166">
        <v>5868</v>
      </c>
      <c r="D6" s="166">
        <v>846</v>
      </c>
      <c r="E6" s="264">
        <v>348</v>
      </c>
      <c r="F6" s="166">
        <v>252</v>
      </c>
    </row>
    <row r="7" spans="1:6" x14ac:dyDescent="0.15">
      <c r="A7" s="3" t="s">
        <v>947</v>
      </c>
      <c r="B7" s="166">
        <v>3320</v>
      </c>
      <c r="C7" s="166">
        <v>5815</v>
      </c>
      <c r="D7" s="166">
        <v>1059</v>
      </c>
      <c r="E7" s="264">
        <v>353</v>
      </c>
      <c r="F7" s="166">
        <v>252</v>
      </c>
    </row>
    <row r="8" spans="1:6" x14ac:dyDescent="0.15">
      <c r="A8" s="3" t="s">
        <v>1182</v>
      </c>
      <c r="B8" s="166">
        <v>2673</v>
      </c>
      <c r="C8" s="166">
        <v>1059</v>
      </c>
      <c r="D8" s="166">
        <v>480</v>
      </c>
      <c r="E8" s="264">
        <v>236</v>
      </c>
      <c r="F8" s="166">
        <v>36</v>
      </c>
    </row>
    <row r="9" spans="1:6" x14ac:dyDescent="0.15">
      <c r="A9" s="3" t="s">
        <v>1183</v>
      </c>
      <c r="B9" s="166">
        <v>556</v>
      </c>
      <c r="C9" s="166">
        <v>4184</v>
      </c>
      <c r="D9" s="166">
        <v>216</v>
      </c>
      <c r="E9" s="264">
        <v>106.3</v>
      </c>
      <c r="F9" s="166">
        <v>162</v>
      </c>
    </row>
    <row r="10" spans="1:6" x14ac:dyDescent="0.15">
      <c r="A10" s="3" t="s">
        <v>1184</v>
      </c>
      <c r="B10" s="166">
        <v>320</v>
      </c>
      <c r="C10" s="166">
        <v>1365</v>
      </c>
      <c r="D10" s="166">
        <v>183</v>
      </c>
      <c r="E10" s="264">
        <v>46.7</v>
      </c>
      <c r="F10" s="166">
        <v>36</v>
      </c>
    </row>
    <row r="11" spans="1:6" x14ac:dyDescent="0.15">
      <c r="A11" s="3" t="s">
        <v>1048</v>
      </c>
      <c r="B11" s="166">
        <v>41</v>
      </c>
      <c r="C11" s="166">
        <v>316</v>
      </c>
      <c r="D11" s="166">
        <v>245</v>
      </c>
      <c r="E11" s="264">
        <v>5.5</v>
      </c>
      <c r="F11" s="166">
        <v>20</v>
      </c>
    </row>
    <row r="12" spans="1:6" x14ac:dyDescent="0.15">
      <c r="A12" s="3" t="s">
        <v>1185</v>
      </c>
      <c r="B12" s="166">
        <v>11</v>
      </c>
      <c r="C12" s="166">
        <v>194</v>
      </c>
      <c r="D12" s="166">
        <v>100</v>
      </c>
      <c r="E12" s="264">
        <v>2</v>
      </c>
      <c r="F12" s="166">
        <v>36</v>
      </c>
    </row>
    <row r="13" spans="1:6" x14ac:dyDescent="0.15">
      <c r="A13" s="3" t="s">
        <v>1205</v>
      </c>
      <c r="B13" s="166">
        <v>9</v>
      </c>
      <c r="C13" s="166">
        <v>49</v>
      </c>
      <c r="D13" s="166"/>
      <c r="E13" s="264"/>
      <c r="F13" s="166"/>
    </row>
    <row r="14" spans="1:6" x14ac:dyDescent="0.15">
      <c r="A14" s="3" t="s">
        <v>324</v>
      </c>
      <c r="B14" s="166">
        <v>5</v>
      </c>
      <c r="C14" s="166">
        <v>-7</v>
      </c>
      <c r="D14" s="166">
        <v>-11</v>
      </c>
      <c r="E14" s="264">
        <v>-0.5</v>
      </c>
      <c r="F14" s="166">
        <v>2</v>
      </c>
    </row>
    <row r="15" spans="1:6" x14ac:dyDescent="0.15">
      <c r="A15" s="3" t="s">
        <v>949</v>
      </c>
      <c r="B15" s="166">
        <v>20</v>
      </c>
      <c r="C15" s="166">
        <v>52</v>
      </c>
      <c r="D15" s="166">
        <v>0</v>
      </c>
      <c r="E15" s="264">
        <v>1.4</v>
      </c>
      <c r="F15" s="166"/>
    </row>
    <row r="16" spans="1:6" x14ac:dyDescent="0.15">
      <c r="A16" s="278" t="s">
        <v>1019</v>
      </c>
      <c r="B16" s="294">
        <f>MAX(B6,B7)-B8-B9-B12+B13-B11+B14-B15</f>
        <v>33</v>
      </c>
      <c r="C16" s="294">
        <f>MAX(C6,C7)-C8-C9-C12+C13-C11+C14-C15</f>
        <v>105</v>
      </c>
      <c r="D16" s="294">
        <f>MAX(D6,D7)-D8-D9-D12+D13-D11+D14-D15</f>
        <v>7</v>
      </c>
      <c r="E16" s="310">
        <f>MAX(E6,E7)-E8-E9-E12+E13-E11+E14-E15</f>
        <v>1.3000000000000029</v>
      </c>
      <c r="F16" s="311">
        <f>MAX(F6,F7)-F8-F9-F12+F13-F11+F14-F15</f>
        <v>0</v>
      </c>
    </row>
    <row r="17" spans="1:6" x14ac:dyDescent="0.15">
      <c r="B17" s="166"/>
      <c r="C17" s="166"/>
      <c r="D17" s="166"/>
      <c r="E17" s="264"/>
      <c r="F17" s="166"/>
    </row>
    <row r="18" spans="1:6" ht="15" x14ac:dyDescent="0.15">
      <c r="A18" s="8" t="s">
        <v>45</v>
      </c>
      <c r="B18" s="166"/>
      <c r="C18" s="166"/>
      <c r="D18" s="166"/>
      <c r="E18" s="264"/>
      <c r="F18" s="166"/>
    </row>
    <row r="19" spans="1:6" ht="9" customHeight="1" x14ac:dyDescent="0.15">
      <c r="A19" s="8"/>
      <c r="B19" s="166"/>
      <c r="C19" s="166"/>
      <c r="D19" s="166"/>
      <c r="E19" s="264"/>
      <c r="F19" s="166"/>
    </row>
    <row r="20" spans="1:6" x14ac:dyDescent="0.15">
      <c r="A20" s="334" t="s">
        <v>1180</v>
      </c>
      <c r="B20" s="360">
        <v>1</v>
      </c>
      <c r="C20" s="360">
        <v>2</v>
      </c>
      <c r="D20" s="360">
        <v>3</v>
      </c>
      <c r="E20" s="360">
        <v>4</v>
      </c>
      <c r="F20" s="360">
        <v>5</v>
      </c>
    </row>
    <row r="21" spans="1:6" x14ac:dyDescent="0.15">
      <c r="A21" s="3" t="s">
        <v>1187</v>
      </c>
      <c r="B21" s="166"/>
      <c r="C21" s="166"/>
      <c r="D21" s="166">
        <v>601</v>
      </c>
      <c r="E21" s="264"/>
      <c r="F21" s="166"/>
    </row>
    <row r="22" spans="1:6" x14ac:dyDescent="0.15">
      <c r="A22" s="3" t="s">
        <v>1188</v>
      </c>
      <c r="B22" s="166">
        <v>162</v>
      </c>
      <c r="C22" s="166">
        <v>2233</v>
      </c>
      <c r="D22" s="166">
        <v>12733</v>
      </c>
      <c r="E22" s="166">
        <v>32</v>
      </c>
      <c r="F22" s="166">
        <v>226</v>
      </c>
    </row>
    <row r="23" spans="1:6" x14ac:dyDescent="0.15">
      <c r="A23" s="3" t="s">
        <v>1189</v>
      </c>
      <c r="B23" s="166">
        <v>51</v>
      </c>
      <c r="C23" s="166"/>
      <c r="D23" s="166">
        <v>12290</v>
      </c>
      <c r="E23" s="166" t="s">
        <v>353</v>
      </c>
      <c r="F23" s="166">
        <v>133</v>
      </c>
    </row>
    <row r="24" spans="1:6" x14ac:dyDescent="0.15">
      <c r="A24" s="3" t="s">
        <v>1190</v>
      </c>
      <c r="B24" s="166">
        <v>70</v>
      </c>
      <c r="C24" s="166"/>
      <c r="D24" s="166"/>
      <c r="E24" s="166"/>
      <c r="F24" s="166"/>
    </row>
    <row r="25" spans="1:6" x14ac:dyDescent="0.15">
      <c r="A25" s="3" t="s">
        <v>1191</v>
      </c>
      <c r="B25" s="166"/>
      <c r="C25" s="166">
        <v>1663</v>
      </c>
      <c r="D25" s="166"/>
      <c r="E25" s="166"/>
      <c r="F25" s="166"/>
    </row>
    <row r="26" spans="1:6" x14ac:dyDescent="0.15">
      <c r="A26" s="3" t="s">
        <v>1192</v>
      </c>
      <c r="B26" s="166">
        <v>27</v>
      </c>
      <c r="C26" s="166"/>
      <c r="D26" s="166"/>
      <c r="E26" s="166"/>
      <c r="F26" s="166"/>
    </row>
    <row r="27" spans="1:6" x14ac:dyDescent="0.15">
      <c r="A27" s="3" t="s">
        <v>1194</v>
      </c>
      <c r="B27" s="166">
        <v>44</v>
      </c>
      <c r="C27" s="166"/>
      <c r="D27" s="166"/>
      <c r="E27" s="166"/>
      <c r="F27" s="166"/>
    </row>
    <row r="28" spans="1:6" x14ac:dyDescent="0.15">
      <c r="A28" s="3" t="s">
        <v>1193</v>
      </c>
      <c r="B28" s="166">
        <v>30</v>
      </c>
      <c r="C28" s="166">
        <v>690</v>
      </c>
      <c r="D28" s="166">
        <v>106</v>
      </c>
      <c r="E28" s="166">
        <v>3</v>
      </c>
      <c r="F28" s="166">
        <v>17</v>
      </c>
    </row>
    <row r="29" spans="1:6" x14ac:dyDescent="0.15">
      <c r="A29" s="3" t="s">
        <v>1195</v>
      </c>
      <c r="B29" s="166">
        <v>282</v>
      </c>
      <c r="C29" s="166">
        <v>277</v>
      </c>
      <c r="D29" s="166">
        <v>213</v>
      </c>
      <c r="E29" s="166">
        <v>39</v>
      </c>
      <c r="F29" s="166">
        <v>25</v>
      </c>
    </row>
    <row r="30" spans="1:6" x14ac:dyDescent="0.15">
      <c r="A30" s="3" t="s">
        <v>1196</v>
      </c>
      <c r="B30" s="166">
        <v>142</v>
      </c>
      <c r="C30" s="166">
        <v>1193</v>
      </c>
      <c r="D30" s="166">
        <v>1068</v>
      </c>
      <c r="E30" s="166">
        <v>28</v>
      </c>
      <c r="F30" s="166">
        <v>8</v>
      </c>
    </row>
    <row r="31" spans="1:6" x14ac:dyDescent="0.15">
      <c r="A31" s="3" t="s">
        <v>1197</v>
      </c>
      <c r="B31" s="166">
        <v>247</v>
      </c>
      <c r="C31" s="166">
        <v>692</v>
      </c>
      <c r="D31" s="166">
        <v>40</v>
      </c>
      <c r="E31" s="166">
        <v>11</v>
      </c>
      <c r="F31" s="166">
        <v>4</v>
      </c>
    </row>
    <row r="32" spans="1:6" x14ac:dyDescent="0.15">
      <c r="A32" s="7" t="s">
        <v>1198</v>
      </c>
      <c r="B32" s="147">
        <f>B21+B22+B27+B28+B29+B30+B31</f>
        <v>907</v>
      </c>
      <c r="C32" s="147">
        <f>C21+C22+C27+C28+C29+C30+C31</f>
        <v>5085</v>
      </c>
      <c r="D32" s="147">
        <f>D21+D22+D27+D28+D29+D30+D31</f>
        <v>14761</v>
      </c>
      <c r="E32" s="147">
        <f>E21+E22+E27+E28+E29+E30+E31</f>
        <v>113</v>
      </c>
      <c r="F32" s="147">
        <f>F21+F22+F27+F28+F29+F30+F31</f>
        <v>280</v>
      </c>
    </row>
    <row r="33" spans="1:6" ht="4.5" customHeight="1" x14ac:dyDescent="0.15">
      <c r="B33" s="166"/>
      <c r="C33" s="166"/>
      <c r="D33" s="166"/>
      <c r="E33" s="166"/>
      <c r="F33" s="166"/>
    </row>
    <row r="34" spans="1:6" x14ac:dyDescent="0.15">
      <c r="A34" s="3" t="s">
        <v>1199</v>
      </c>
      <c r="B34" s="166">
        <v>174</v>
      </c>
      <c r="C34" s="166">
        <v>1088</v>
      </c>
      <c r="D34" s="166">
        <v>2021</v>
      </c>
      <c r="E34" s="166">
        <v>65</v>
      </c>
      <c r="F34" s="166">
        <v>77</v>
      </c>
    </row>
    <row r="35" spans="1:6" x14ac:dyDescent="0.15">
      <c r="A35" s="3" t="s">
        <v>1200</v>
      </c>
      <c r="B35" s="166">
        <v>72</v>
      </c>
      <c r="C35" s="166">
        <v>2182</v>
      </c>
      <c r="D35" s="166">
        <v>9655</v>
      </c>
      <c r="E35" s="166">
        <v>2</v>
      </c>
      <c r="F35" s="166">
        <v>169</v>
      </c>
    </row>
    <row r="36" spans="1:6" x14ac:dyDescent="0.15">
      <c r="A36" s="3" t="s">
        <v>1201</v>
      </c>
      <c r="B36" s="166">
        <v>661</v>
      </c>
      <c r="C36" s="166"/>
      <c r="D36" s="166">
        <v>793</v>
      </c>
      <c r="E36" s="166">
        <v>33</v>
      </c>
      <c r="F36" s="166">
        <v>20</v>
      </c>
    </row>
    <row r="37" spans="1:6" x14ac:dyDescent="0.15">
      <c r="A37" s="3" t="s">
        <v>1202</v>
      </c>
      <c r="B37" s="166"/>
      <c r="C37" s="166">
        <v>1815</v>
      </c>
      <c r="D37" s="166">
        <v>0</v>
      </c>
      <c r="E37" s="166"/>
      <c r="F37" s="166">
        <v>14</v>
      </c>
    </row>
    <row r="38" spans="1:6" x14ac:dyDescent="0.15">
      <c r="A38" s="3" t="s">
        <v>1203</v>
      </c>
      <c r="B38" s="166"/>
      <c r="C38" s="166"/>
      <c r="D38" s="166">
        <v>2292</v>
      </c>
      <c r="E38" s="166">
        <v>13</v>
      </c>
      <c r="F38" s="166"/>
    </row>
    <row r="39" spans="1:6" x14ac:dyDescent="0.15">
      <c r="A39" s="278" t="s">
        <v>1204</v>
      </c>
      <c r="B39" s="294">
        <f>SUM(B34:B38)</f>
        <v>907</v>
      </c>
      <c r="C39" s="294">
        <f>SUM(C34:C38)</f>
        <v>5085</v>
      </c>
      <c r="D39" s="294">
        <f>SUM(D34:D38)</f>
        <v>14761</v>
      </c>
      <c r="E39" s="294">
        <f>SUM(E34:E38)</f>
        <v>113</v>
      </c>
      <c r="F39" s="294">
        <f>SUM(F34:F38)</f>
        <v>280</v>
      </c>
    </row>
    <row r="40" spans="1:6" x14ac:dyDescent="0.15">
      <c r="A40" s="7"/>
      <c r="B40" s="147"/>
      <c r="C40" s="147"/>
      <c r="D40" s="147"/>
      <c r="E40" s="184"/>
      <c r="F40" s="147"/>
    </row>
    <row r="41" spans="1:6" ht="15" x14ac:dyDescent="0.15">
      <c r="A41" s="8" t="s">
        <v>1396</v>
      </c>
      <c r="B41" s="147"/>
      <c r="C41" s="147"/>
      <c r="D41" s="147"/>
      <c r="E41" s="184"/>
      <c r="F41" s="147"/>
    </row>
    <row r="42" spans="1:6" ht="9" customHeight="1" x14ac:dyDescent="0.15">
      <c r="B42" s="166"/>
      <c r="C42" s="166"/>
      <c r="D42" s="166"/>
      <c r="E42" s="264"/>
      <c r="F42" s="166"/>
    </row>
    <row r="43" spans="1:6" x14ac:dyDescent="0.15">
      <c r="A43" s="334" t="s">
        <v>1180</v>
      </c>
      <c r="B43" s="360">
        <v>1</v>
      </c>
      <c r="C43" s="360">
        <v>2</v>
      </c>
      <c r="D43" s="360">
        <v>3</v>
      </c>
      <c r="E43" s="360">
        <v>4</v>
      </c>
      <c r="F43" s="360">
        <v>5</v>
      </c>
    </row>
    <row r="44" spans="1:6" x14ac:dyDescent="0.15">
      <c r="A44" s="3" t="s">
        <v>1206</v>
      </c>
      <c r="B44" s="166">
        <f>MAX(B6,B7)-B8-B9</f>
        <v>91</v>
      </c>
      <c r="C44" s="166">
        <f>MAX(C6,C7)-C8-C9</f>
        <v>625</v>
      </c>
      <c r="D44" s="166">
        <f>MAX(D6,D7)-D8-D9</f>
        <v>363</v>
      </c>
      <c r="E44" s="264">
        <f>MAX(E6,E7)-E8-E9</f>
        <v>10.700000000000003</v>
      </c>
      <c r="F44" s="312">
        <f>F6-F8-F9</f>
        <v>54</v>
      </c>
    </row>
    <row r="45" spans="1:6" x14ac:dyDescent="0.15">
      <c r="A45" s="3" t="s">
        <v>1168</v>
      </c>
      <c r="B45" s="166">
        <f>B16+B11-B14</f>
        <v>69</v>
      </c>
      <c r="C45" s="166">
        <f>C16+C11-C14</f>
        <v>428</v>
      </c>
      <c r="D45" s="166">
        <f>D16+D11-D14</f>
        <v>263</v>
      </c>
      <c r="E45" s="264">
        <f>E16+E11-E14</f>
        <v>7.3000000000000025</v>
      </c>
      <c r="F45" s="166">
        <f>F16+F11-F14</f>
        <v>18</v>
      </c>
    </row>
    <row r="46" spans="1:6" x14ac:dyDescent="0.15">
      <c r="A46" s="3" t="s">
        <v>1014</v>
      </c>
      <c r="B46" s="166">
        <f>B44-B11</f>
        <v>50</v>
      </c>
      <c r="C46" s="166">
        <f>C44-C11</f>
        <v>309</v>
      </c>
      <c r="D46" s="166">
        <f>D44-D11</f>
        <v>118</v>
      </c>
      <c r="E46" s="264">
        <f>E44-E11</f>
        <v>5.2000000000000028</v>
      </c>
      <c r="F46" s="312">
        <f>F44-F11</f>
        <v>34</v>
      </c>
    </row>
    <row r="47" spans="1:6" x14ac:dyDescent="0.15">
      <c r="A47" s="3" t="s">
        <v>1050</v>
      </c>
      <c r="B47" s="166">
        <f>B46-B12+B13</f>
        <v>48</v>
      </c>
      <c r="C47" s="166">
        <f>C46-C12+C13</f>
        <v>164</v>
      </c>
      <c r="D47" s="166">
        <f>D46-D12+D13</f>
        <v>18</v>
      </c>
      <c r="E47" s="264">
        <f>E46-E12+E13</f>
        <v>3.2000000000000028</v>
      </c>
      <c r="F47" s="312">
        <f>F46-F12+F13</f>
        <v>-2</v>
      </c>
    </row>
    <row r="48" spans="1:6" x14ac:dyDescent="0.15">
      <c r="A48" s="313" t="s">
        <v>1051</v>
      </c>
      <c r="B48" s="314">
        <f>B47-B15+B14</f>
        <v>33</v>
      </c>
      <c r="C48" s="314">
        <f>C47-C15+C14</f>
        <v>105</v>
      </c>
      <c r="D48" s="314">
        <f>D47-D15+D14</f>
        <v>7</v>
      </c>
      <c r="E48" s="315">
        <f>E47-E15+E14</f>
        <v>1.3000000000000029</v>
      </c>
      <c r="F48" s="316">
        <f>F47-F15+F14</f>
        <v>0</v>
      </c>
    </row>
    <row r="49" spans="1:11" x14ac:dyDescent="0.15">
      <c r="A49" s="3" t="s">
        <v>1207</v>
      </c>
      <c r="B49" s="166">
        <f>B29+B30-B36-B37</f>
        <v>-237</v>
      </c>
      <c r="C49" s="166">
        <f>C29+C30-C36-C37</f>
        <v>-345</v>
      </c>
      <c r="D49" s="166">
        <f>D29+D30-D36-D37</f>
        <v>488</v>
      </c>
      <c r="E49" s="166">
        <f>E29+E30-E36-E37</f>
        <v>34</v>
      </c>
      <c r="F49" s="166">
        <f>F29+F30-F36-F37</f>
        <v>-1</v>
      </c>
    </row>
    <row r="50" spans="1:11" x14ac:dyDescent="0.15">
      <c r="A50" s="3" t="s">
        <v>1208</v>
      </c>
      <c r="B50" s="166">
        <f>B21+B22+B27+B28+B49</f>
        <v>-1</v>
      </c>
      <c r="C50" s="312">
        <f>C21+C22+C27+C28+C49</f>
        <v>2578</v>
      </c>
      <c r="D50" s="166">
        <f>D21+D22+D27+D28+D49</f>
        <v>13928</v>
      </c>
      <c r="E50" s="166">
        <f>E21+E22+E27+E28+E49</f>
        <v>69</v>
      </c>
      <c r="F50" s="312">
        <f>F21+F22+F27+F28+F49</f>
        <v>242</v>
      </c>
    </row>
    <row r="51" spans="1:11" x14ac:dyDescent="0.15">
      <c r="A51" s="3" t="s">
        <v>1209</v>
      </c>
      <c r="B51" s="166">
        <f>B50-B34</f>
        <v>-175</v>
      </c>
      <c r="C51" s="312">
        <f>C50-C34</f>
        <v>1490</v>
      </c>
      <c r="D51" s="166">
        <f>D50-D34</f>
        <v>11907</v>
      </c>
      <c r="E51" s="166">
        <f>E50-E34</f>
        <v>4</v>
      </c>
      <c r="F51" s="312">
        <f>F50-F34</f>
        <v>165</v>
      </c>
    </row>
    <row r="52" spans="1:11" x14ac:dyDescent="0.15">
      <c r="A52" s="317" t="s">
        <v>578</v>
      </c>
      <c r="B52" s="318">
        <f>B34+B51</f>
        <v>-1</v>
      </c>
      <c r="C52" s="318">
        <f>C34+C51</f>
        <v>2578</v>
      </c>
      <c r="D52" s="318">
        <f>D34+D51</f>
        <v>13928</v>
      </c>
      <c r="E52" s="318">
        <f>E34+E51</f>
        <v>69</v>
      </c>
      <c r="F52" s="318">
        <f>F34+F51</f>
        <v>242</v>
      </c>
    </row>
    <row r="53" spans="1:11" x14ac:dyDescent="0.15">
      <c r="B53" s="74"/>
      <c r="C53" s="74"/>
      <c r="D53" s="74"/>
      <c r="E53" s="74"/>
      <c r="F53" s="74"/>
    </row>
    <row r="54" spans="1:11" x14ac:dyDescent="0.15">
      <c r="A54" s="3" t="s">
        <v>160</v>
      </c>
    </row>
    <row r="56" spans="1:11" ht="15" x14ac:dyDescent="0.15">
      <c r="A56" s="8" t="s">
        <v>1397</v>
      </c>
    </row>
    <row r="58" spans="1:11" s="7" customFormat="1" x14ac:dyDescent="0.15">
      <c r="A58" s="334" t="s">
        <v>44</v>
      </c>
      <c r="B58" s="360">
        <v>2020</v>
      </c>
      <c r="C58" s="360">
        <f>+B58+1</f>
        <v>2021</v>
      </c>
    </row>
    <row r="59" spans="1:11" x14ac:dyDescent="0.15">
      <c r="A59" s="3" t="s">
        <v>1051</v>
      </c>
      <c r="B59" s="284">
        <v>0.7</v>
      </c>
      <c r="C59" s="284">
        <v>0.6</v>
      </c>
    </row>
    <row r="60" spans="1:11" x14ac:dyDescent="0.15">
      <c r="A60" s="86" t="s">
        <v>1151</v>
      </c>
      <c r="B60" s="284">
        <v>4.9000000000000004</v>
      </c>
      <c r="C60" s="284">
        <v>4.8</v>
      </c>
      <c r="E60" s="334" t="s">
        <v>1358</v>
      </c>
      <c r="F60" s="359"/>
      <c r="G60" s="359"/>
      <c r="H60" s="359"/>
      <c r="I60" s="360">
        <v>2019</v>
      </c>
      <c r="J60" s="360">
        <f>+I60+1</f>
        <v>2020</v>
      </c>
      <c r="K60" s="360">
        <f>+J60+1</f>
        <v>2021</v>
      </c>
    </row>
    <row r="61" spans="1:11" x14ac:dyDescent="0.15">
      <c r="A61" s="86" t="s">
        <v>1345</v>
      </c>
      <c r="B61" s="284"/>
      <c r="C61" s="284"/>
      <c r="E61" s="3" t="s">
        <v>935</v>
      </c>
      <c r="I61" s="3">
        <v>23.3</v>
      </c>
      <c r="J61" s="3">
        <v>24.2</v>
      </c>
      <c r="K61" s="3">
        <v>28.6</v>
      </c>
    </row>
    <row r="62" spans="1:11" x14ac:dyDescent="0.15">
      <c r="A62" s="86" t="s">
        <v>329</v>
      </c>
      <c r="B62" s="284">
        <f>SUM(B59:B61)</f>
        <v>5.6000000000000005</v>
      </c>
      <c r="C62" s="284">
        <f>SUM(C59:C61)</f>
        <v>5.3999999999999995</v>
      </c>
      <c r="E62" s="3" t="s">
        <v>328</v>
      </c>
      <c r="I62" s="3">
        <v>25.7</v>
      </c>
      <c r="J62" s="3">
        <v>31.5</v>
      </c>
      <c r="K62" s="3">
        <v>42.9</v>
      </c>
    </row>
    <row r="63" spans="1:11" x14ac:dyDescent="0.15">
      <c r="A63" s="86" t="s">
        <v>1346</v>
      </c>
      <c r="B63" s="284">
        <f>J67</f>
        <v>6.9000000000000057</v>
      </c>
      <c r="C63" s="284">
        <f>K67</f>
        <v>11.099999999999994</v>
      </c>
      <c r="E63" s="3" t="s">
        <v>1287</v>
      </c>
      <c r="I63" s="3">
        <v>10.7</v>
      </c>
      <c r="J63" s="3">
        <v>9.5</v>
      </c>
      <c r="K63" s="3">
        <v>14.2</v>
      </c>
    </row>
    <row r="64" spans="1:11" x14ac:dyDescent="0.15">
      <c r="A64" s="319" t="s">
        <v>1347</v>
      </c>
      <c r="B64" s="320">
        <f>+B62-B63</f>
        <v>-1.3000000000000052</v>
      </c>
      <c r="C64" s="320">
        <f>+C62-C63</f>
        <v>-5.6999999999999948</v>
      </c>
      <c r="E64" s="3" t="s">
        <v>1236</v>
      </c>
      <c r="I64" s="3">
        <f>I61+I62-I63</f>
        <v>38.299999999999997</v>
      </c>
      <c r="J64" s="3">
        <f>J61+J62-J63</f>
        <v>46.2</v>
      </c>
      <c r="K64" s="3">
        <f>K61+K62-K63</f>
        <v>57.3</v>
      </c>
    </row>
    <row r="65" spans="1:11" x14ac:dyDescent="0.15">
      <c r="A65" s="3" t="s">
        <v>1348</v>
      </c>
      <c r="B65" s="284">
        <v>2.6</v>
      </c>
      <c r="C65" s="284">
        <v>3.1</v>
      </c>
      <c r="E65" s="3" t="s">
        <v>61</v>
      </c>
      <c r="I65" s="3">
        <v>13</v>
      </c>
      <c r="J65" s="3">
        <v>12</v>
      </c>
      <c r="K65" s="3">
        <v>12</v>
      </c>
    </row>
    <row r="66" spans="1:11" x14ac:dyDescent="0.15">
      <c r="A66" s="86" t="s">
        <v>1349</v>
      </c>
      <c r="B66" s="284"/>
      <c r="C66" s="284"/>
      <c r="E66" s="3" t="s">
        <v>1357</v>
      </c>
      <c r="I66" s="3" t="s">
        <v>220</v>
      </c>
      <c r="J66" s="3">
        <f>J65-I65</f>
        <v>-1</v>
      </c>
      <c r="K66" s="3">
        <f>K65-J65</f>
        <v>0</v>
      </c>
    </row>
    <row r="67" spans="1:11" x14ac:dyDescent="0.15">
      <c r="A67" s="86" t="s">
        <v>1350</v>
      </c>
      <c r="B67" s="284"/>
      <c r="C67" s="284"/>
      <c r="E67" s="3" t="s">
        <v>1355</v>
      </c>
      <c r="I67" s="3" t="s">
        <v>220</v>
      </c>
      <c r="J67" s="3">
        <f>J64-I64+J66</f>
        <v>6.9000000000000057</v>
      </c>
      <c r="K67" s="3">
        <f>K64-J64+K66</f>
        <v>11.099999999999994</v>
      </c>
    </row>
    <row r="68" spans="1:11" x14ac:dyDescent="0.15">
      <c r="A68" s="319" t="s">
        <v>60</v>
      </c>
      <c r="B68" s="320">
        <f>+B65</f>
        <v>2.6</v>
      </c>
      <c r="C68" s="320">
        <f>+C65</f>
        <v>3.1</v>
      </c>
    </row>
    <row r="69" spans="1:11" x14ac:dyDescent="0.15">
      <c r="A69" s="3" t="s">
        <v>1351</v>
      </c>
      <c r="B69" s="284"/>
      <c r="C69" s="284"/>
    </row>
    <row r="70" spans="1:11" x14ac:dyDescent="0.15">
      <c r="A70" s="3" t="s">
        <v>59</v>
      </c>
      <c r="B70" s="284">
        <v>0.6</v>
      </c>
      <c r="C70" s="284">
        <v>0.6</v>
      </c>
    </row>
    <row r="71" spans="1:11" x14ac:dyDescent="0.15">
      <c r="A71" s="88" t="s">
        <v>1352</v>
      </c>
      <c r="B71" s="320">
        <f>+B64-B65-B70</f>
        <v>-4.5000000000000053</v>
      </c>
      <c r="C71" s="320">
        <f>+C64-C65-C70</f>
        <v>-9.399999999999995</v>
      </c>
    </row>
    <row r="74" spans="1:11" x14ac:dyDescent="0.15">
      <c r="A74" s="3" t="s">
        <v>174</v>
      </c>
    </row>
    <row r="76" spans="1:11" ht="15" x14ac:dyDescent="0.15">
      <c r="A76" s="8" t="s">
        <v>43</v>
      </c>
    </row>
    <row r="77" spans="1:11" x14ac:dyDescent="0.15">
      <c r="A77" s="334" t="s">
        <v>44</v>
      </c>
      <c r="B77" s="360" t="s">
        <v>1176</v>
      </c>
      <c r="C77" s="360" t="s">
        <v>1177</v>
      </c>
      <c r="D77" s="360" t="s">
        <v>1178</v>
      </c>
    </row>
    <row r="78" spans="1:11" x14ac:dyDescent="0.15">
      <c r="A78" s="7" t="s">
        <v>1051</v>
      </c>
      <c r="B78" s="184">
        <f>'[1] Chapitre 3'!B79</f>
        <v>14.1</v>
      </c>
      <c r="C78" s="184">
        <f>'[1] Chapitre 3'!C79</f>
        <v>16.5</v>
      </c>
      <c r="D78" s="184">
        <f>'[1] Chapitre 3'!D79</f>
        <v>16.899999999999999</v>
      </c>
    </row>
    <row r="79" spans="1:11" x14ac:dyDescent="0.15">
      <c r="A79" s="86" t="s">
        <v>1151</v>
      </c>
      <c r="B79" s="166">
        <f>'[1] Chapitre 3'!B74</f>
        <v>6</v>
      </c>
      <c r="C79" s="166">
        <f>'[1] Chapitre 3'!C74</f>
        <v>6</v>
      </c>
      <c r="D79" s="166">
        <f>'[1] Chapitre 3'!D74</f>
        <v>6</v>
      </c>
    </row>
    <row r="80" spans="1:11" x14ac:dyDescent="0.15">
      <c r="A80" s="86" t="s">
        <v>1152</v>
      </c>
      <c r="B80" s="166">
        <v>0</v>
      </c>
      <c r="C80" s="166">
        <v>0</v>
      </c>
      <c r="D80" s="166">
        <v>0</v>
      </c>
    </row>
    <row r="81" spans="1:4" x14ac:dyDescent="0.15">
      <c r="A81" s="7" t="s">
        <v>1168</v>
      </c>
      <c r="B81" s="184">
        <f>B78+B79+B80</f>
        <v>20.100000000000001</v>
      </c>
      <c r="C81" s="184">
        <f>C78+C79+C80</f>
        <v>22.5</v>
      </c>
      <c r="D81" s="184">
        <f>D78+D79+D80</f>
        <v>22.9</v>
      </c>
    </row>
    <row r="82" spans="1:4" x14ac:dyDescent="0.15">
      <c r="A82" s="86" t="s">
        <v>1153</v>
      </c>
      <c r="B82" s="166">
        <f>'[1]Chapitre 4'!D9-'[1]Chapitre 4'!C9</f>
        <v>36</v>
      </c>
      <c r="C82" s="166">
        <f>'[1]Chapitre 4'!E9-'[1]Chapitre 4'!D9</f>
        <v>0</v>
      </c>
      <c r="D82" s="166">
        <f>'[1]Chapitre 4'!F9-'[1]Chapitre 4'!E9</f>
        <v>0</v>
      </c>
    </row>
    <row r="83" spans="1:4" x14ac:dyDescent="0.15">
      <c r="A83" s="7" t="s">
        <v>1170</v>
      </c>
      <c r="B83" s="184">
        <f>B81-B82</f>
        <v>-15.899999999999999</v>
      </c>
      <c r="C83" s="184">
        <f>C81-C82</f>
        <v>22.5</v>
      </c>
      <c r="D83" s="184">
        <f>D81-D82</f>
        <v>22.9</v>
      </c>
    </row>
    <row r="84" spans="1:4" x14ac:dyDescent="0.15">
      <c r="A84" s="86" t="s">
        <v>1154</v>
      </c>
      <c r="B84" s="166">
        <f>-'[1]Chapitre 2'!C34</f>
        <v>30</v>
      </c>
      <c r="C84" s="166">
        <f>'[1]Chapitre 2'!D34</f>
        <v>0</v>
      </c>
      <c r="D84" s="166">
        <f>'[1]Chapitre 2'!E34</f>
        <v>0</v>
      </c>
    </row>
    <row r="85" spans="1:4" x14ac:dyDescent="0.15">
      <c r="A85" s="86" t="s">
        <v>1155</v>
      </c>
      <c r="B85" s="166">
        <v>0</v>
      </c>
      <c r="C85" s="166">
        <v>0</v>
      </c>
      <c r="D85" s="166">
        <v>0</v>
      </c>
    </row>
    <row r="86" spans="1:4" x14ac:dyDescent="0.15">
      <c r="A86" s="7" t="s">
        <v>1169</v>
      </c>
      <c r="B86" s="184">
        <f>B83-B84+B85</f>
        <v>-45.9</v>
      </c>
      <c r="C86" s="184">
        <f>C83-C84+C85</f>
        <v>22.5</v>
      </c>
      <c r="D86" s="184">
        <f>D83-D84+D85</f>
        <v>22.9</v>
      </c>
    </row>
    <row r="87" spans="1:4" x14ac:dyDescent="0.15">
      <c r="A87" s="86" t="s">
        <v>1156</v>
      </c>
      <c r="B87" s="166">
        <v>0</v>
      </c>
      <c r="C87" s="166">
        <v>0</v>
      </c>
      <c r="D87" s="166">
        <v>0</v>
      </c>
    </row>
    <row r="88" spans="1:4" x14ac:dyDescent="0.15">
      <c r="A88" s="86" t="s">
        <v>1157</v>
      </c>
      <c r="B88" s="166">
        <f>'[1]Chapitre 4'!C15</f>
        <v>0</v>
      </c>
      <c r="C88" s="166">
        <f>'[1]Chapitre 4'!D15</f>
        <v>0</v>
      </c>
      <c r="D88" s="166">
        <f>'[1]Chapitre 4'!E15</f>
        <v>0</v>
      </c>
    </row>
    <row r="89" spans="1:4" x14ac:dyDescent="0.15">
      <c r="A89" s="7" t="s">
        <v>1150</v>
      </c>
      <c r="B89" s="184">
        <f>B78+B79+B80-B82-B84+B85+B87-B88</f>
        <v>-45.9</v>
      </c>
      <c r="C89" s="184">
        <f>C78+C79+C80-C82-C84+C87-C88</f>
        <v>22.5</v>
      </c>
      <c r="D89" s="184">
        <f>D78+D79+D80-D82-D84+D87-D88</f>
        <v>22.9</v>
      </c>
    </row>
    <row r="90" spans="1:4" x14ac:dyDescent="0.15">
      <c r="B90" s="264"/>
      <c r="C90" s="264"/>
      <c r="D90" s="264"/>
    </row>
    <row r="91" spans="1:4" x14ac:dyDescent="0.15">
      <c r="A91" s="86" t="s">
        <v>1171</v>
      </c>
      <c r="B91" s="166">
        <f>-('[1]Chapitre 4'!D16-'[1]Chapitre 4'!C16)+B92</f>
        <v>4</v>
      </c>
      <c r="C91" s="166">
        <f>-('[1]Chapitre 4'!E16-'[1]Chapitre 4'!D16)</f>
        <v>4</v>
      </c>
      <c r="D91" s="166">
        <f>-('[1]Chapitre 4'!F16-'[1]Chapitre 4'!E16)</f>
        <v>4</v>
      </c>
    </row>
    <row r="92" spans="1:4" x14ac:dyDescent="0.15">
      <c r="A92" s="86" t="s">
        <v>1172</v>
      </c>
      <c r="B92" s="166">
        <v>20</v>
      </c>
      <c r="C92" s="166">
        <v>0</v>
      </c>
      <c r="D92" s="166">
        <v>0</v>
      </c>
    </row>
    <row r="93" spans="1:4" x14ac:dyDescent="0.15">
      <c r="A93" s="86" t="s">
        <v>1173</v>
      </c>
      <c r="B93" s="166">
        <v>0</v>
      </c>
      <c r="C93" s="166">
        <v>0</v>
      </c>
      <c r="D93" s="166">
        <v>0</v>
      </c>
    </row>
    <row r="94" spans="1:4" x14ac:dyDescent="0.15">
      <c r="A94" s="86" t="s">
        <v>1174</v>
      </c>
      <c r="B94" s="264">
        <f>'[1]Chapitre 4'!D18-'[1]Chapitre 4'!C18</f>
        <v>-29.9</v>
      </c>
      <c r="C94" s="264">
        <f>'[1]Chapitre 4'!E18-'[1]Chapitre 4'!D18</f>
        <v>18.5</v>
      </c>
      <c r="D94" s="264">
        <f>'[1]Chapitre 4'!F18-'[1]Chapitre 4'!E18</f>
        <v>18.899999999999999</v>
      </c>
    </row>
    <row r="95" spans="1:4" x14ac:dyDescent="0.15">
      <c r="A95" s="7" t="s">
        <v>1150</v>
      </c>
      <c r="B95" s="184">
        <f>B91-B92+B93+B94</f>
        <v>-45.9</v>
      </c>
      <c r="C95" s="184">
        <f>C91-C92+C93+C94</f>
        <v>22.5</v>
      </c>
      <c r="D95" s="184">
        <f>D91-D92+D93+D94</f>
        <v>22.9</v>
      </c>
    </row>
  </sheetData>
  <phoneticPr fontId="4" type="noConversion"/>
  <pageMargins left="0.78740157480314965" right="0.78740157480314965" top="0.98425196850393704" bottom="0.98425196850393704" header="0.51181102362204722" footer="0.51181102362204722"/>
  <pageSetup paperSize="9" scale="68"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euil43"/>
  <dimension ref="A1:H95"/>
  <sheetViews>
    <sheetView showGridLines="0" topLeftCell="A25" workbookViewId="0">
      <selection activeCell="C29" sqref="C29"/>
    </sheetView>
  </sheetViews>
  <sheetFormatPr baseColWidth="10" defaultColWidth="11" defaultRowHeight="14" x14ac:dyDescent="0.15"/>
  <cols>
    <col min="1" max="1" width="30.1640625" style="3" customWidth="1"/>
    <col min="2" max="3" width="13.83203125" style="3" customWidth="1"/>
    <col min="4" max="16384" width="11" style="3"/>
  </cols>
  <sheetData>
    <row r="1" spans="1:3" ht="15" x14ac:dyDescent="0.15">
      <c r="A1" s="1" t="s">
        <v>1413</v>
      </c>
    </row>
    <row r="2" spans="1:3" x14ac:dyDescent="0.15">
      <c r="B2" s="81"/>
      <c r="C2" s="81"/>
    </row>
    <row r="3" spans="1:3" x14ac:dyDescent="0.15">
      <c r="A3" s="334" t="s">
        <v>1238</v>
      </c>
      <c r="B3" s="395" t="s">
        <v>220</v>
      </c>
      <c r="C3" s="395" t="s">
        <v>219</v>
      </c>
    </row>
    <row r="4" spans="1:3" x14ac:dyDescent="0.15">
      <c r="A4" s="3" t="s">
        <v>925</v>
      </c>
      <c r="B4" s="82">
        <v>500</v>
      </c>
      <c r="C4" s="82">
        <v>1000</v>
      </c>
    </row>
    <row r="5" spans="1:3" x14ac:dyDescent="0.15">
      <c r="A5" s="3" t="s">
        <v>1239</v>
      </c>
      <c r="B5" s="82">
        <v>-500</v>
      </c>
      <c r="C5" s="82">
        <v>-500</v>
      </c>
    </row>
    <row r="6" spans="1:3" x14ac:dyDescent="0.15">
      <c r="A6" s="3" t="s">
        <v>1240</v>
      </c>
      <c r="B6" s="82">
        <f>B4+B5</f>
        <v>0</v>
      </c>
      <c r="C6" s="82">
        <f>C4+C5</f>
        <v>500</v>
      </c>
    </row>
    <row r="7" spans="1:3" x14ac:dyDescent="0.15">
      <c r="A7" s="3" t="s">
        <v>931</v>
      </c>
      <c r="B7" s="82">
        <v>0</v>
      </c>
      <c r="C7" s="82">
        <v>300</v>
      </c>
    </row>
    <row r="8" spans="1:3" x14ac:dyDescent="0.15">
      <c r="B8" s="82"/>
      <c r="C8" s="82"/>
    </row>
    <row r="9" spans="1:3" x14ac:dyDescent="0.15">
      <c r="A9" s="3" t="s">
        <v>67</v>
      </c>
    </row>
    <row r="10" spans="1:3" x14ac:dyDescent="0.15">
      <c r="A10" s="3" t="s">
        <v>1242</v>
      </c>
      <c r="B10" s="3">
        <f>AVERAGE(B4:C4)</f>
        <v>750</v>
      </c>
    </row>
    <row r="11" spans="1:3" x14ac:dyDescent="0.15">
      <c r="A11" s="3" t="s">
        <v>1241</v>
      </c>
      <c r="B11" s="3">
        <f>-AVERAGE(B5,C5)</f>
        <v>500</v>
      </c>
    </row>
    <row r="12" spans="1:3" x14ac:dyDescent="0.15">
      <c r="A12" s="3" t="s">
        <v>265</v>
      </c>
      <c r="B12" s="3">
        <f>B10-B11</f>
        <v>250</v>
      </c>
    </row>
    <row r="14" spans="1:3" x14ac:dyDescent="0.15">
      <c r="A14" s="3" t="s">
        <v>68</v>
      </c>
    </row>
    <row r="15" spans="1:3" x14ac:dyDescent="0.15">
      <c r="A15" s="3" t="s">
        <v>1243</v>
      </c>
      <c r="B15" s="3">
        <f>AVERAGE(B7,C7)</f>
        <v>150</v>
      </c>
    </row>
    <row r="16" spans="1:3" x14ac:dyDescent="0.15">
      <c r="A16" s="3" t="s">
        <v>1244</v>
      </c>
    </row>
    <row r="17" spans="1:8" x14ac:dyDescent="0.15">
      <c r="A17" s="3" t="s">
        <v>1245</v>
      </c>
      <c r="B17" s="3">
        <f>B15+150</f>
        <v>300</v>
      </c>
    </row>
    <row r="18" spans="1:8" x14ac:dyDescent="0.15">
      <c r="A18" s="3" t="s">
        <v>1246</v>
      </c>
      <c r="B18" s="3">
        <f>B15</f>
        <v>150</v>
      </c>
    </row>
    <row r="20" spans="1:8" x14ac:dyDescent="0.15">
      <c r="A20" s="3" t="s">
        <v>228</v>
      </c>
    </row>
    <row r="21" spans="1:8" x14ac:dyDescent="0.15">
      <c r="A21" s="3" t="s">
        <v>1247</v>
      </c>
    </row>
    <row r="23" spans="1:8" x14ac:dyDescent="0.15">
      <c r="A23" s="3" t="s">
        <v>229</v>
      </c>
    </row>
    <row r="24" spans="1:8" x14ac:dyDescent="0.15">
      <c r="A24" s="3" t="s">
        <v>1248</v>
      </c>
    </row>
    <row r="26" spans="1:8" ht="15" x14ac:dyDescent="0.15">
      <c r="A26" s="8" t="s">
        <v>1366</v>
      </c>
    </row>
    <row r="27" spans="1:8" x14ac:dyDescent="0.15">
      <c r="A27" s="60"/>
      <c r="B27" s="83"/>
      <c r="C27" s="83"/>
      <c r="D27" s="83"/>
      <c r="E27" s="83"/>
      <c r="G27" s="84"/>
      <c r="H27" s="84"/>
    </row>
    <row r="28" spans="1:8" x14ac:dyDescent="0.15">
      <c r="A28" s="334"/>
      <c r="B28" s="334"/>
      <c r="C28" s="334">
        <v>2019</v>
      </c>
      <c r="D28" s="334">
        <f>C28+1</f>
        <v>2020</v>
      </c>
      <c r="E28" s="334">
        <f>D28+1</f>
        <v>2021</v>
      </c>
      <c r="G28" s="68"/>
      <c r="H28" s="68"/>
    </row>
    <row r="29" spans="1:8" x14ac:dyDescent="0.15">
      <c r="A29" s="3" t="s">
        <v>1181</v>
      </c>
      <c r="C29" s="3">
        <v>8026</v>
      </c>
      <c r="D29" s="3">
        <v>5208</v>
      </c>
      <c r="E29" s="3">
        <v>3018</v>
      </c>
      <c r="G29" s="68"/>
      <c r="H29" s="68"/>
    </row>
    <row r="30" spans="1:8" x14ac:dyDescent="0.15">
      <c r="A30" s="3" t="s">
        <v>1014</v>
      </c>
      <c r="C30" s="3">
        <v>130</v>
      </c>
      <c r="D30" s="3">
        <v>-168</v>
      </c>
      <c r="E30" s="3">
        <v>-100</v>
      </c>
      <c r="G30" s="68"/>
      <c r="H30" s="68"/>
    </row>
    <row r="31" spans="1:8" x14ac:dyDescent="0.15">
      <c r="A31" s="3" t="s">
        <v>1185</v>
      </c>
      <c r="C31" s="3">
        <v>330</v>
      </c>
      <c r="D31" s="3">
        <v>144</v>
      </c>
      <c r="E31" s="3">
        <v>62</v>
      </c>
      <c r="G31" s="68"/>
      <c r="H31" s="68"/>
    </row>
    <row r="32" spans="1:8" x14ac:dyDescent="0.15">
      <c r="A32" s="3" t="s">
        <v>58</v>
      </c>
      <c r="C32" s="3">
        <v>-1020</v>
      </c>
      <c r="D32" s="3">
        <v>-314</v>
      </c>
      <c r="G32" s="68"/>
      <c r="H32" s="68"/>
    </row>
    <row r="33" spans="1:8" x14ac:dyDescent="0.15">
      <c r="A33" s="3" t="s">
        <v>1051</v>
      </c>
      <c r="C33" s="3">
        <f>C30-C31+C32</f>
        <v>-1220</v>
      </c>
      <c r="D33" s="3">
        <f>D30-D31+D32</f>
        <v>-626</v>
      </c>
      <c r="E33" s="3">
        <f>E30-E31+E32</f>
        <v>-162</v>
      </c>
      <c r="G33" s="68"/>
      <c r="H33" s="68"/>
    </row>
    <row r="34" spans="1:8" x14ac:dyDescent="0.15">
      <c r="G34" s="68"/>
      <c r="H34" s="68"/>
    </row>
    <row r="35" spans="1:8" x14ac:dyDescent="0.15">
      <c r="A35" s="3" t="s">
        <v>206</v>
      </c>
      <c r="D35" s="3">
        <v>122</v>
      </c>
      <c r="E35" s="3">
        <v>72</v>
      </c>
      <c r="G35" s="68"/>
      <c r="H35" s="68"/>
    </row>
    <row r="36" spans="1:8" x14ac:dyDescent="0.15">
      <c r="A36" s="3" t="s">
        <v>1236</v>
      </c>
      <c r="D36" s="3">
        <v>614</v>
      </c>
      <c r="E36" s="3">
        <v>330</v>
      </c>
      <c r="G36" s="68"/>
      <c r="H36" s="68"/>
    </row>
    <row r="37" spans="1:8" x14ac:dyDescent="0.15">
      <c r="A37" s="3" t="s">
        <v>1199</v>
      </c>
      <c r="D37" s="3">
        <v>-620</v>
      </c>
      <c r="E37" s="3">
        <v>-784</v>
      </c>
      <c r="G37" s="68"/>
      <c r="H37" s="68"/>
    </row>
    <row r="38" spans="1:8" x14ac:dyDescent="0.15">
      <c r="A38" s="3" t="s">
        <v>1249</v>
      </c>
      <c r="D38" s="3">
        <v>616</v>
      </c>
      <c r="E38" s="3">
        <v>616</v>
      </c>
      <c r="G38" s="68"/>
      <c r="H38" s="68"/>
    </row>
    <row r="39" spans="1:8" x14ac:dyDescent="0.15">
      <c r="A39" s="3" t="s">
        <v>1250</v>
      </c>
      <c r="D39" s="3">
        <v>740</v>
      </c>
      <c r="E39" s="3">
        <v>570</v>
      </c>
    </row>
    <row r="41" spans="1:8" x14ac:dyDescent="0.15">
      <c r="A41" s="3" t="s">
        <v>863</v>
      </c>
      <c r="B41" s="85">
        <v>8910000</v>
      </c>
    </row>
    <row r="42" spans="1:8" x14ac:dyDescent="0.15">
      <c r="A42" s="3" t="s">
        <v>524</v>
      </c>
      <c r="B42" s="82">
        <v>24</v>
      </c>
    </row>
    <row r="46" spans="1:8" x14ac:dyDescent="0.15">
      <c r="A46" s="3" t="s">
        <v>67</v>
      </c>
    </row>
    <row r="47" spans="1:8" x14ac:dyDescent="0.15">
      <c r="A47" s="3" t="s">
        <v>1253</v>
      </c>
    </row>
    <row r="48" spans="1:8" x14ac:dyDescent="0.15">
      <c r="A48" s="3" t="s">
        <v>1254</v>
      </c>
    </row>
    <row r="49" spans="1:2" x14ac:dyDescent="0.15">
      <c r="A49" s="3" t="s">
        <v>323</v>
      </c>
    </row>
    <row r="50" spans="1:2" x14ac:dyDescent="0.15">
      <c r="A50" s="3" t="s">
        <v>1256</v>
      </c>
    </row>
    <row r="52" spans="1:2" x14ac:dyDescent="0.15">
      <c r="A52" s="86" t="s">
        <v>1255</v>
      </c>
    </row>
    <row r="53" spans="1:2" x14ac:dyDescent="0.15">
      <c r="A53" s="86"/>
    </row>
    <row r="54" spans="1:2" x14ac:dyDescent="0.15">
      <c r="A54" s="3" t="s">
        <v>68</v>
      </c>
    </row>
    <row r="55" spans="1:2" x14ac:dyDescent="0.15">
      <c r="A55" s="3" t="s">
        <v>265</v>
      </c>
      <c r="B55" s="68">
        <f>B41*B42/1000000</f>
        <v>213.84</v>
      </c>
    </row>
    <row r="56" spans="1:2" x14ac:dyDescent="0.15">
      <c r="A56" s="3" t="s">
        <v>1252</v>
      </c>
      <c r="B56" s="68">
        <f>0.5*E39</f>
        <v>285</v>
      </c>
    </row>
    <row r="57" spans="1:2" x14ac:dyDescent="0.15">
      <c r="A57" s="3" t="s">
        <v>1251</v>
      </c>
      <c r="B57" s="68">
        <f>21%*E38</f>
        <v>129.35999999999999</v>
      </c>
    </row>
    <row r="58" spans="1:2" x14ac:dyDescent="0.15">
      <c r="A58" s="3" t="s">
        <v>1242</v>
      </c>
      <c r="B58" s="68">
        <f>B55+B56+B57</f>
        <v>628.20000000000005</v>
      </c>
    </row>
    <row r="59" spans="1:2" x14ac:dyDescent="0.15">
      <c r="B59" s="13"/>
    </row>
    <row r="60" spans="1:2" x14ac:dyDescent="0.15">
      <c r="A60" s="3" t="s">
        <v>228</v>
      </c>
      <c r="B60" s="13"/>
    </row>
    <row r="61" spans="1:2" x14ac:dyDescent="0.15">
      <c r="A61" s="3" t="s">
        <v>657</v>
      </c>
      <c r="B61" s="13"/>
    </row>
    <row r="62" spans="1:2" x14ac:dyDescent="0.15">
      <c r="A62" s="3" t="s">
        <v>1257</v>
      </c>
      <c r="B62" s="87">
        <v>15500000</v>
      </c>
    </row>
    <row r="63" spans="1:2" x14ac:dyDescent="0.15">
      <c r="A63" s="88" t="s">
        <v>1258</v>
      </c>
      <c r="B63" s="89">
        <v>20</v>
      </c>
    </row>
    <row r="64" spans="1:2" x14ac:dyDescent="0.15">
      <c r="A64" s="3" t="s">
        <v>469</v>
      </c>
      <c r="B64" s="90">
        <f>B62*B63/1000000</f>
        <v>310</v>
      </c>
    </row>
    <row r="65" spans="1:4" x14ac:dyDescent="0.15">
      <c r="B65" s="90"/>
    </row>
    <row r="66" spans="1:4" x14ac:dyDescent="0.15">
      <c r="A66" s="3" t="s">
        <v>1259</v>
      </c>
      <c r="B66" s="90"/>
    </row>
    <row r="67" spans="1:4" x14ac:dyDescent="0.15">
      <c r="A67" s="3" t="s">
        <v>1257</v>
      </c>
      <c r="B67" s="87">
        <v>3850000</v>
      </c>
    </row>
    <row r="68" spans="1:4" x14ac:dyDescent="0.15">
      <c r="A68" s="3" t="s">
        <v>1260</v>
      </c>
      <c r="B68" s="91">
        <v>36.96</v>
      </c>
    </row>
    <row r="69" spans="1:4" x14ac:dyDescent="0.15">
      <c r="B69" s="90"/>
    </row>
    <row r="70" spans="1:4" x14ac:dyDescent="0.15">
      <c r="A70" s="3" t="s">
        <v>1261</v>
      </c>
      <c r="B70" s="90"/>
    </row>
    <row r="71" spans="1:4" x14ac:dyDescent="0.15">
      <c r="A71" s="3" t="s">
        <v>1262</v>
      </c>
      <c r="B71" s="90">
        <v>160</v>
      </c>
    </row>
    <row r="72" spans="1:4" x14ac:dyDescent="0.15">
      <c r="A72" s="3" t="s">
        <v>1263</v>
      </c>
      <c r="B72" s="87">
        <v>1250000</v>
      </c>
    </row>
    <row r="73" spans="1:4" x14ac:dyDescent="0.15">
      <c r="A73" s="3" t="s">
        <v>1264</v>
      </c>
      <c r="B73" s="90">
        <v>4</v>
      </c>
      <c r="C73" s="524" t="s">
        <v>1085</v>
      </c>
      <c r="D73" s="524"/>
    </row>
    <row r="74" spans="1:4" x14ac:dyDescent="0.15">
      <c r="B74" s="90"/>
    </row>
    <row r="75" spans="1:4" x14ac:dyDescent="0.15">
      <c r="A75" s="7" t="s">
        <v>1265</v>
      </c>
      <c r="B75" s="90"/>
    </row>
    <row r="76" spans="1:4" x14ac:dyDescent="0.15">
      <c r="A76" s="3" t="s">
        <v>1267</v>
      </c>
      <c r="B76" s="90">
        <f>B64-B68</f>
        <v>273.04000000000002</v>
      </c>
    </row>
    <row r="77" spans="1:4" x14ac:dyDescent="0.15">
      <c r="A77" s="3" t="s">
        <v>1266</v>
      </c>
      <c r="B77" s="90">
        <f>80%*(E39-B71-(B64-B68))</f>
        <v>109.56799999999998</v>
      </c>
    </row>
    <row r="78" spans="1:4" x14ac:dyDescent="0.15">
      <c r="A78" s="88" t="s">
        <v>1268</v>
      </c>
      <c r="B78" s="89">
        <f>B72*B73/1000000</f>
        <v>5</v>
      </c>
    </row>
    <row r="79" spans="1:4" x14ac:dyDescent="0.15">
      <c r="A79" s="3" t="s">
        <v>1269</v>
      </c>
      <c r="B79" s="92">
        <f>SUM(B76:B78)</f>
        <v>387.608</v>
      </c>
      <c r="C79" s="29">
        <f>+B79-B56</f>
        <v>102.608</v>
      </c>
    </row>
    <row r="80" spans="1:4" x14ac:dyDescent="0.15">
      <c r="B80" s="90"/>
    </row>
    <row r="81" spans="1:3" x14ac:dyDescent="0.15">
      <c r="A81" s="7" t="s">
        <v>306</v>
      </c>
      <c r="B81" s="90"/>
    </row>
    <row r="82" spans="1:3" x14ac:dyDescent="0.15">
      <c r="A82" s="3" t="s">
        <v>1270</v>
      </c>
      <c r="B82" s="90">
        <f>B58</f>
        <v>628.20000000000005</v>
      </c>
    </row>
    <row r="83" spans="1:3" x14ac:dyDescent="0.15">
      <c r="A83" s="3" t="s">
        <v>1261</v>
      </c>
      <c r="B83" s="90">
        <f>80%*(E39-B71-B64+B68)</f>
        <v>109.56800000000001</v>
      </c>
    </row>
    <row r="84" spans="1:3" x14ac:dyDescent="0.15">
      <c r="A84" s="88" t="s">
        <v>1271</v>
      </c>
      <c r="B84" s="89">
        <f>B72*B73/1000000</f>
        <v>5</v>
      </c>
    </row>
    <row r="85" spans="1:3" x14ac:dyDescent="0.15">
      <c r="A85" s="3" t="s">
        <v>265</v>
      </c>
      <c r="B85" s="92">
        <f>B82-B83-B84</f>
        <v>513.63200000000006</v>
      </c>
    </row>
    <row r="86" spans="1:3" x14ac:dyDescent="0.15">
      <c r="B86" s="90"/>
    </row>
    <row r="87" spans="1:3" x14ac:dyDescent="0.15">
      <c r="A87" s="3" t="s">
        <v>1272</v>
      </c>
      <c r="B87" s="92">
        <f>B85/(B41+B62+B67)*1000000</f>
        <v>18.175230007077143</v>
      </c>
    </row>
    <row r="88" spans="1:3" x14ac:dyDescent="0.15">
      <c r="B88" s="92"/>
    </row>
    <row r="89" spans="1:3" s="96" customFormat="1" ht="15.75" customHeight="1" x14ac:dyDescent="0.15">
      <c r="A89" s="93" t="s">
        <v>1084</v>
      </c>
      <c r="B89" s="94">
        <f>+B87*B41/1000000</f>
        <v>161.94129936305734</v>
      </c>
      <c r="C89" s="95">
        <f>+B89-B55</f>
        <v>-51.898700636942664</v>
      </c>
    </row>
    <row r="90" spans="1:3" ht="30" x14ac:dyDescent="0.15">
      <c r="A90" s="93" t="s">
        <v>1086</v>
      </c>
      <c r="B90" s="92">
        <f>+B87*B62/1000000</f>
        <v>281.71606510969571</v>
      </c>
      <c r="C90" s="29">
        <f>+B90-B64</f>
        <v>-28.283934890304295</v>
      </c>
    </row>
    <row r="91" spans="1:3" x14ac:dyDescent="0.15">
      <c r="B91" s="92"/>
    </row>
    <row r="92" spans="1:3" x14ac:dyDescent="0.15">
      <c r="A92" s="7" t="s">
        <v>1273</v>
      </c>
      <c r="B92" s="92"/>
    </row>
    <row r="93" spans="1:3" x14ac:dyDescent="0.15">
      <c r="A93" s="3" t="s">
        <v>469</v>
      </c>
      <c r="B93" s="92">
        <f>B68+B87*B67/1000000</f>
        <v>106.934635527247</v>
      </c>
      <c r="C93" s="29">
        <f>+B93-B57</f>
        <v>-22.425364472752989</v>
      </c>
    </row>
    <row r="94" spans="1:3" x14ac:dyDescent="0.15">
      <c r="B94" s="92"/>
    </row>
    <row r="95" spans="1:3" x14ac:dyDescent="0.15">
      <c r="A95" s="3" t="s">
        <v>1274</v>
      </c>
      <c r="B95" s="92"/>
    </row>
  </sheetData>
  <mergeCells count="1">
    <mergeCell ref="C73:D73"/>
  </mergeCells>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G127"/>
  <sheetViews>
    <sheetView showGridLines="0" workbookViewId="0">
      <selection activeCell="C24" sqref="C24"/>
    </sheetView>
  </sheetViews>
  <sheetFormatPr baseColWidth="10" defaultColWidth="11" defaultRowHeight="14" x14ac:dyDescent="0.15"/>
  <cols>
    <col min="1" max="1" width="37.1640625" style="3" customWidth="1"/>
    <col min="2" max="2" width="11.83203125" style="3" customWidth="1"/>
    <col min="3" max="3" width="9.1640625" style="3" customWidth="1"/>
    <col min="4" max="5" width="11" style="3"/>
    <col min="6" max="6" width="12" style="3" customWidth="1"/>
    <col min="7" max="16384" width="11" style="3"/>
  </cols>
  <sheetData>
    <row r="1" spans="1:7" ht="15" x14ac:dyDescent="0.15">
      <c r="A1" s="2"/>
    </row>
    <row r="3" spans="1:7" x14ac:dyDescent="0.15">
      <c r="A3" s="7" t="s">
        <v>1</v>
      </c>
    </row>
    <row r="5" spans="1:7" ht="150" x14ac:dyDescent="0.15">
      <c r="A5" s="66" t="s">
        <v>1659</v>
      </c>
    </row>
    <row r="6" spans="1:7" ht="87" customHeight="1" x14ac:dyDescent="0.15">
      <c r="A6" s="66" t="s">
        <v>0</v>
      </c>
    </row>
    <row r="8" spans="1:7" x14ac:dyDescent="0.15">
      <c r="A8" s="7" t="s">
        <v>2</v>
      </c>
    </row>
    <row r="10" spans="1:7" ht="75" x14ac:dyDescent="0.15">
      <c r="A10" s="66" t="s">
        <v>1660</v>
      </c>
    </row>
    <row r="12" spans="1:7" x14ac:dyDescent="0.15">
      <c r="A12" s="7" t="s">
        <v>3</v>
      </c>
    </row>
    <row r="14" spans="1:7" x14ac:dyDescent="0.15">
      <c r="A14" s="3" t="s">
        <v>4</v>
      </c>
      <c r="B14" s="3" t="s">
        <v>5</v>
      </c>
      <c r="C14" s="3">
        <v>10</v>
      </c>
      <c r="D14" s="3" t="s">
        <v>131</v>
      </c>
      <c r="E14" s="3" t="s">
        <v>6</v>
      </c>
      <c r="F14" s="3">
        <v>30</v>
      </c>
      <c r="G14" s="3" t="s">
        <v>131</v>
      </c>
    </row>
    <row r="16" spans="1:7" x14ac:dyDescent="0.15">
      <c r="C16" s="3">
        <v>98</v>
      </c>
      <c r="F16" s="3">
        <v>100</v>
      </c>
    </row>
    <row r="18" spans="1:3" x14ac:dyDescent="0.15">
      <c r="B18" s="3" t="s">
        <v>7</v>
      </c>
      <c r="C18" s="67">
        <f>(F16/C16)^(365/(F14-C14))-1</f>
        <v>0.4458529273124856</v>
      </c>
    </row>
    <row r="20" spans="1:3" x14ac:dyDescent="0.15">
      <c r="A20" s="7" t="s">
        <v>8</v>
      </c>
    </row>
    <row r="21" spans="1:3" x14ac:dyDescent="0.15">
      <c r="A21" s="7"/>
    </row>
    <row r="22" spans="1:3" x14ac:dyDescent="0.15">
      <c r="A22" s="3" t="s">
        <v>1181</v>
      </c>
      <c r="B22" s="3">
        <v>10</v>
      </c>
      <c r="C22" s="3" t="s">
        <v>10</v>
      </c>
    </row>
    <row r="23" spans="1:3" x14ac:dyDescent="0.15">
      <c r="A23" s="3" t="s">
        <v>11</v>
      </c>
      <c r="B23" s="67">
        <v>0.2</v>
      </c>
    </row>
    <row r="24" spans="1:3" x14ac:dyDescent="0.15">
      <c r="A24" s="3" t="s">
        <v>9</v>
      </c>
      <c r="B24" s="29">
        <f>B22*(1+B23)*75/365</f>
        <v>2.4657534246575343</v>
      </c>
    </row>
    <row r="25" spans="1:3" x14ac:dyDescent="0.15">
      <c r="A25" s="3" t="s">
        <v>12</v>
      </c>
      <c r="B25" s="29">
        <f>B22*(1+B23)*60/365</f>
        <v>1.9726027397260273</v>
      </c>
    </row>
    <row r="26" spans="1:3" x14ac:dyDescent="0.15">
      <c r="A26" s="3" t="s">
        <v>13</v>
      </c>
      <c r="B26" s="29">
        <f>B24-B25</f>
        <v>0.49315068493150704</v>
      </c>
    </row>
    <row r="27" spans="1:3" x14ac:dyDescent="0.15">
      <c r="A27" s="3" t="s">
        <v>1405</v>
      </c>
      <c r="B27" s="68">
        <f>B26*0.04</f>
        <v>1.9726027397260284E-2</v>
      </c>
      <c r="C27" s="3" t="s">
        <v>139</v>
      </c>
    </row>
    <row r="29" spans="1:3" x14ac:dyDescent="0.15">
      <c r="A29" s="7" t="s">
        <v>14</v>
      </c>
    </row>
    <row r="31" spans="1:3" ht="105" x14ac:dyDescent="0.15">
      <c r="A31" s="66" t="s">
        <v>15</v>
      </c>
    </row>
    <row r="34" spans="1:6" x14ac:dyDescent="0.15">
      <c r="A34" s="7" t="s">
        <v>1406</v>
      </c>
    </row>
    <row r="35" spans="1:6" x14ac:dyDescent="0.15">
      <c r="A35" s="69"/>
    </row>
    <row r="36" spans="1:6" x14ac:dyDescent="0.15">
      <c r="A36" s="69"/>
    </row>
    <row r="37" spans="1:6" ht="15" x14ac:dyDescent="0.15">
      <c r="A37" s="70" t="s">
        <v>760</v>
      </c>
      <c r="B37" s="71">
        <v>1000</v>
      </c>
    </row>
    <row r="38" spans="1:6" x14ac:dyDescent="0.15">
      <c r="A38" s="70"/>
    </row>
    <row r="39" spans="1:6" ht="15" x14ac:dyDescent="0.15">
      <c r="A39" s="70" t="s">
        <v>761</v>
      </c>
      <c r="B39" s="71">
        <v>4</v>
      </c>
    </row>
    <row r="40" spans="1:6" ht="15" x14ac:dyDescent="0.15">
      <c r="A40" s="70" t="s">
        <v>762</v>
      </c>
      <c r="B40" s="71">
        <v>3.2</v>
      </c>
    </row>
    <row r="41" spans="1:6" ht="15" x14ac:dyDescent="0.15">
      <c r="A41" s="70" t="s">
        <v>763</v>
      </c>
      <c r="B41" s="71">
        <v>1</v>
      </c>
    </row>
    <row r="42" spans="1:6" x14ac:dyDescent="0.15">
      <c r="A42" s="70"/>
    </row>
    <row r="43" spans="1:6" ht="15" x14ac:dyDescent="0.15">
      <c r="A43" s="70" t="s">
        <v>764</v>
      </c>
      <c r="B43" s="72">
        <v>0.2</v>
      </c>
    </row>
    <row r="45" spans="1:6" ht="15" x14ac:dyDescent="0.15">
      <c r="A45" s="70" t="s">
        <v>758</v>
      </c>
      <c r="B45" s="73">
        <v>0</v>
      </c>
      <c r="C45" s="5">
        <v>15</v>
      </c>
      <c r="D45" s="5">
        <v>30</v>
      </c>
      <c r="E45" s="5">
        <v>45</v>
      </c>
      <c r="F45" s="5">
        <v>60</v>
      </c>
    </row>
    <row r="46" spans="1:6" ht="15" x14ac:dyDescent="0.15">
      <c r="A46" s="70" t="s">
        <v>759</v>
      </c>
      <c r="B46" s="71">
        <v>0</v>
      </c>
      <c r="C46" s="74">
        <v>40</v>
      </c>
      <c r="D46" s="74">
        <v>60</v>
      </c>
      <c r="E46" s="74">
        <v>70</v>
      </c>
      <c r="F46" s="74">
        <v>75</v>
      </c>
    </row>
    <row r="47" spans="1:6" x14ac:dyDescent="0.15">
      <c r="A47" s="70"/>
    </row>
    <row r="48" spans="1:6" x14ac:dyDescent="0.15">
      <c r="A48" s="60" t="s">
        <v>944</v>
      </c>
    </row>
    <row r="49" spans="1:6" ht="15" x14ac:dyDescent="0.15">
      <c r="A49" s="70" t="s">
        <v>765</v>
      </c>
      <c r="B49" s="71">
        <f>$B37+B46</f>
        <v>1000</v>
      </c>
      <c r="C49" s="74">
        <f>$B37+C46</f>
        <v>1040</v>
      </c>
      <c r="D49" s="74">
        <f>$B37+D46</f>
        <v>1060</v>
      </c>
      <c r="E49" s="74">
        <f>$B37+E46</f>
        <v>1070</v>
      </c>
      <c r="F49" s="74">
        <f>$B37+F46</f>
        <v>1075</v>
      </c>
    </row>
    <row r="50" spans="1:6" ht="15" x14ac:dyDescent="0.15">
      <c r="A50" s="70" t="s">
        <v>776</v>
      </c>
      <c r="B50" s="71">
        <f>B49/$B39</f>
        <v>250</v>
      </c>
      <c r="C50" s="74">
        <f>C49/$B39</f>
        <v>260</v>
      </c>
      <c r="D50" s="74">
        <f>D49/$B39</f>
        <v>265</v>
      </c>
      <c r="E50" s="74">
        <f>E49/$B39</f>
        <v>267.5</v>
      </c>
      <c r="F50" s="74">
        <f>F49/$B39</f>
        <v>268.75</v>
      </c>
    </row>
    <row r="51" spans="1:6" ht="15" x14ac:dyDescent="0.15">
      <c r="A51" s="70" t="s">
        <v>775</v>
      </c>
      <c r="B51" s="71">
        <f>(($B40-$B41)*B50+$B41*$B50)</f>
        <v>800</v>
      </c>
      <c r="C51" s="74">
        <f>(($B40-$B41)*C50+$B41*$B50)</f>
        <v>822</v>
      </c>
      <c r="D51" s="74">
        <f>(($B40-$B41)*D50+$B41*$B50)</f>
        <v>833</v>
      </c>
      <c r="E51" s="74">
        <f>(($B40-$B41)*E50+$B41*$B50)</f>
        <v>838.5</v>
      </c>
      <c r="F51" s="74">
        <f>(($B40-$B41)*F50+$B41*$B50)</f>
        <v>841.25</v>
      </c>
    </row>
    <row r="52" spans="1:6" ht="15" x14ac:dyDescent="0.15">
      <c r="A52" s="70" t="s">
        <v>777</v>
      </c>
      <c r="B52" s="71">
        <f>B49-B51</f>
        <v>200</v>
      </c>
      <c r="C52" s="74">
        <f>C49-C51</f>
        <v>218</v>
      </c>
      <c r="D52" s="74">
        <f>D49-D51</f>
        <v>227</v>
      </c>
      <c r="E52" s="74">
        <f>E49-E51</f>
        <v>231.5</v>
      </c>
      <c r="F52" s="74">
        <f>F49-F51</f>
        <v>233.75</v>
      </c>
    </row>
    <row r="53" spans="1:6" x14ac:dyDescent="0.15">
      <c r="A53" s="3" t="s">
        <v>778</v>
      </c>
      <c r="B53" s="71">
        <f>B52-$B52</f>
        <v>0</v>
      </c>
      <c r="C53" s="74">
        <f>C52-$B52</f>
        <v>18</v>
      </c>
      <c r="D53" s="74">
        <f>D52-$B52</f>
        <v>27</v>
      </c>
      <c r="E53" s="74">
        <f>E52-$B52</f>
        <v>31.5</v>
      </c>
      <c r="F53" s="74">
        <f>F52-$B52</f>
        <v>33.75</v>
      </c>
    </row>
    <row r="54" spans="1:6" x14ac:dyDescent="0.15">
      <c r="A54" s="70"/>
      <c r="B54" s="74"/>
      <c r="C54" s="74"/>
      <c r="D54" s="74"/>
      <c r="E54" s="74"/>
      <c r="F54" s="74"/>
    </row>
    <row r="55" spans="1:6" x14ac:dyDescent="0.15">
      <c r="A55" s="3" t="s">
        <v>782</v>
      </c>
      <c r="B55" s="74"/>
      <c r="C55" s="74"/>
      <c r="D55" s="74"/>
      <c r="E55" s="74"/>
      <c r="F55" s="74"/>
    </row>
    <row r="56" spans="1:6" ht="15" x14ac:dyDescent="0.15">
      <c r="A56" s="70" t="s">
        <v>775</v>
      </c>
      <c r="B56" s="71">
        <f>-B51+$B51</f>
        <v>0</v>
      </c>
      <c r="C56" s="74">
        <f>-C51+$B51</f>
        <v>-22</v>
      </c>
      <c r="D56" s="74">
        <f>-D51+$B51</f>
        <v>-33</v>
      </c>
      <c r="E56" s="74">
        <f>-E51+$B51</f>
        <v>-38.5</v>
      </c>
      <c r="F56" s="74">
        <f>-F51+$B51</f>
        <v>-41.25</v>
      </c>
    </row>
    <row r="57" spans="1:6" ht="15" x14ac:dyDescent="0.15">
      <c r="A57" s="70" t="s">
        <v>774</v>
      </c>
      <c r="B57" s="75">
        <f>B49/(1+$B43*B45/365)-$B49</f>
        <v>0</v>
      </c>
      <c r="C57" s="75">
        <f>C49/(1+$B43*C45/365)-$B49</f>
        <v>31.521739130434753</v>
      </c>
      <c r="D57" s="74">
        <f>D49/(1+$B43*D45/3650)-$B49</f>
        <v>58.260393873085377</v>
      </c>
      <c r="E57" s="74">
        <f>E49/(1+$B43*E45/365)-$B49</f>
        <v>44.251336898395721</v>
      </c>
      <c r="F57" s="74">
        <f>F49/(1+$B43*F45/365)-$B49</f>
        <v>40.782493368700216</v>
      </c>
    </row>
    <row r="58" spans="1:6" ht="15" x14ac:dyDescent="0.15">
      <c r="A58" s="70" t="s">
        <v>873</v>
      </c>
      <c r="B58" s="74"/>
      <c r="C58" s="74"/>
      <c r="D58" s="74"/>
      <c r="E58" s="74"/>
      <c r="F58" s="74"/>
    </row>
    <row r="60" spans="1:6" ht="15" x14ac:dyDescent="0.15">
      <c r="A60" s="70" t="s">
        <v>399</v>
      </c>
      <c r="B60" s="68">
        <f>SUM(B56:B57)</f>
        <v>0</v>
      </c>
      <c r="C60" s="68">
        <f>SUM(C56:C57)</f>
        <v>9.521739130434753</v>
      </c>
      <c r="D60" s="68">
        <f>SUM(D56:D57)</f>
        <v>25.260393873085377</v>
      </c>
      <c r="E60" s="68">
        <f>SUM(E56:E57)</f>
        <v>5.7513368983957207</v>
      </c>
      <c r="F60" s="68">
        <f>SUM(F56:F57)</f>
        <v>-0.4675066312997842</v>
      </c>
    </row>
    <row r="61" spans="1:6" x14ac:dyDescent="0.15">
      <c r="A61" s="70"/>
      <c r="B61" s="68"/>
      <c r="C61" s="68"/>
      <c r="D61" s="68"/>
      <c r="E61" s="68"/>
      <c r="F61" s="68"/>
    </row>
    <row r="62" spans="1:6" x14ac:dyDescent="0.15">
      <c r="A62" s="70"/>
      <c r="B62" s="68"/>
      <c r="C62" s="68"/>
      <c r="D62" s="68"/>
      <c r="E62" s="68"/>
      <c r="F62" s="68"/>
    </row>
    <row r="80" spans="1:3" ht="15" x14ac:dyDescent="0.15">
      <c r="A80" s="76" t="s">
        <v>767</v>
      </c>
      <c r="B80" s="77">
        <f>INDEX(B45:F45,1,MATCH(MAX(B60:F60),B60:F60,0))</f>
        <v>30</v>
      </c>
      <c r="C80" s="7" t="s">
        <v>131</v>
      </c>
    </row>
    <row r="82" spans="1:6" x14ac:dyDescent="0.15">
      <c r="A82" s="60" t="s">
        <v>768</v>
      </c>
    </row>
    <row r="83" spans="1:6" ht="15" x14ac:dyDescent="0.15">
      <c r="A83" s="70" t="s">
        <v>758</v>
      </c>
      <c r="B83" s="78">
        <f>B45</f>
        <v>0</v>
      </c>
      <c r="C83" s="3">
        <f>C45</f>
        <v>15</v>
      </c>
      <c r="D83" s="3">
        <f>D45</f>
        <v>30</v>
      </c>
      <c r="E83" s="3">
        <f>E45</f>
        <v>45</v>
      </c>
      <c r="F83" s="3">
        <f>F45</f>
        <v>60</v>
      </c>
    </row>
    <row r="84" spans="1:6" ht="15" x14ac:dyDescent="0.15">
      <c r="A84" s="70" t="s">
        <v>769</v>
      </c>
      <c r="B84" s="79">
        <v>1.2E-2</v>
      </c>
      <c r="C84" s="55">
        <v>0.02</v>
      </c>
      <c r="D84" s="55">
        <v>2.5000000000000001E-2</v>
      </c>
      <c r="E84" s="55">
        <v>0.03</v>
      </c>
      <c r="F84" s="55">
        <v>0.04</v>
      </c>
    </row>
    <row r="85" spans="1:6" x14ac:dyDescent="0.15">
      <c r="A85" s="70"/>
      <c r="B85" s="79"/>
      <c r="C85" s="55"/>
      <c r="D85" s="55"/>
      <c r="E85" s="55"/>
      <c r="F85" s="55"/>
    </row>
    <row r="86" spans="1:6" ht="15" x14ac:dyDescent="0.15">
      <c r="A86" s="70" t="s">
        <v>765</v>
      </c>
      <c r="B86" s="71">
        <f>B49</f>
        <v>1000</v>
      </c>
      <c r="C86" s="74">
        <f>C49</f>
        <v>1040</v>
      </c>
      <c r="D86" s="74">
        <f>D49</f>
        <v>1060</v>
      </c>
      <c r="E86" s="74">
        <f>E49</f>
        <v>1070</v>
      </c>
      <c r="F86" s="74">
        <f>F49</f>
        <v>1075</v>
      </c>
    </row>
    <row r="87" spans="1:6" ht="15" x14ac:dyDescent="0.15">
      <c r="A87" s="70" t="s">
        <v>776</v>
      </c>
      <c r="B87" s="71">
        <f>B86/$B39</f>
        <v>250</v>
      </c>
      <c r="C87" s="74">
        <f>C86/$B39</f>
        <v>260</v>
      </c>
      <c r="D87" s="74">
        <f>D86/$B39</f>
        <v>265</v>
      </c>
      <c r="E87" s="74">
        <f>E86/$B39</f>
        <v>267.5</v>
      </c>
      <c r="F87" s="74">
        <f>F86/$B39</f>
        <v>268.75</v>
      </c>
    </row>
    <row r="88" spans="1:6" ht="15" x14ac:dyDescent="0.15">
      <c r="A88" s="70" t="s">
        <v>775</v>
      </c>
      <c r="B88" s="71">
        <f>(($B40-$B41)*B87+$B41*$B87)</f>
        <v>800</v>
      </c>
      <c r="C88" s="71">
        <f>(($B40-$B41)*C87+$B41*$B87)</f>
        <v>822</v>
      </c>
      <c r="D88" s="71">
        <f>(($B40-$B41)*D87+$B41*$B87)</f>
        <v>833</v>
      </c>
      <c r="E88" s="71">
        <f>(($B40-$B41)*E87+$B41*$B87)</f>
        <v>838.5</v>
      </c>
      <c r="F88" s="71">
        <f>(($B40-$B41)*F87+$B41*$B87)</f>
        <v>841.25</v>
      </c>
    </row>
    <row r="89" spans="1:6" ht="15" x14ac:dyDescent="0.15">
      <c r="A89" s="70" t="s">
        <v>85</v>
      </c>
      <c r="B89" s="71">
        <f>B86*B84</f>
        <v>12</v>
      </c>
      <c r="C89" s="71">
        <f>C86*C84</f>
        <v>20.8</v>
      </c>
      <c r="D89" s="71">
        <f>D86*D84</f>
        <v>26.5</v>
      </c>
      <c r="E89" s="71">
        <f>E86*E84</f>
        <v>32.1</v>
      </c>
      <c r="F89" s="71">
        <f>F86*F84</f>
        <v>43</v>
      </c>
    </row>
    <row r="90" spans="1:6" ht="15" x14ac:dyDescent="0.15">
      <c r="A90" s="70" t="s">
        <v>777</v>
      </c>
      <c r="B90" s="71">
        <f>B86-B88-B89</f>
        <v>188</v>
      </c>
      <c r="C90" s="71">
        <f>C86-C88-C89</f>
        <v>197.2</v>
      </c>
      <c r="D90" s="71">
        <f>D86-D88-D89</f>
        <v>200.5</v>
      </c>
      <c r="E90" s="71">
        <f>E86-E88-E89</f>
        <v>199.4</v>
      </c>
      <c r="F90" s="71">
        <f>F86-F88-F89</f>
        <v>190.75</v>
      </c>
    </row>
    <row r="91" spans="1:6" x14ac:dyDescent="0.15">
      <c r="A91" s="3" t="s">
        <v>778</v>
      </c>
      <c r="B91" s="71">
        <f>B90-$B90</f>
        <v>0</v>
      </c>
      <c r="C91" s="74">
        <f>C90-$B90</f>
        <v>9.1999999999999886</v>
      </c>
      <c r="D91" s="74">
        <f>D90-$B90</f>
        <v>12.5</v>
      </c>
      <c r="E91" s="74">
        <f>E90-$B90</f>
        <v>11.400000000000006</v>
      </c>
      <c r="F91" s="74">
        <f>F90-$B90</f>
        <v>2.75</v>
      </c>
    </row>
    <row r="92" spans="1:6" x14ac:dyDescent="0.15">
      <c r="A92" s="70"/>
      <c r="B92" s="74"/>
      <c r="C92" s="74"/>
      <c r="D92" s="74"/>
      <c r="E92" s="74"/>
      <c r="F92" s="74"/>
    </row>
    <row r="93" spans="1:6" x14ac:dyDescent="0.15">
      <c r="A93" s="3" t="s">
        <v>782</v>
      </c>
      <c r="B93" s="74"/>
      <c r="C93" s="74"/>
      <c r="D93" s="74"/>
      <c r="E93" s="74"/>
      <c r="F93" s="74"/>
    </row>
    <row r="94" spans="1:6" ht="15" x14ac:dyDescent="0.15">
      <c r="A94" s="70" t="s">
        <v>775</v>
      </c>
      <c r="B94" s="71">
        <f>-B88+$B88</f>
        <v>0</v>
      </c>
      <c r="C94" s="74">
        <f>-C88+$B88</f>
        <v>-22</v>
      </c>
      <c r="D94" s="74">
        <f>-D88+$B88</f>
        <v>-33</v>
      </c>
      <c r="E94" s="74">
        <f>-E88+$B88</f>
        <v>-38.5</v>
      </c>
      <c r="F94" s="74">
        <f>-F88+$B88</f>
        <v>-41.25</v>
      </c>
    </row>
    <row r="95" spans="1:6" ht="15" x14ac:dyDescent="0.15">
      <c r="A95" s="70" t="s">
        <v>774</v>
      </c>
      <c r="B95" s="71">
        <f>B86*POWER(1+$B83,-B85/360)-$B86</f>
        <v>0</v>
      </c>
      <c r="C95" s="74">
        <f>C86*(1-C84)*POWER(1+$B43,-C83/360)-$B86</f>
        <v>11.486746075638393</v>
      </c>
      <c r="D95" s="74">
        <f>D86*(1-D84)*POWER(1+$B43,-D83/360)-$B86</f>
        <v>17.916241332128493</v>
      </c>
      <c r="E95" s="74">
        <f>E86*(1-E84)*POWER(1+$B43,-E83/360)-$B86</f>
        <v>14.513560005290287</v>
      </c>
      <c r="F95" s="74">
        <f>F86*(1-F84)*POWER(1+$B43,-F83/360)-$B86</f>
        <v>1.1123591400661326</v>
      </c>
    </row>
    <row r="97" spans="1:6" ht="15" x14ac:dyDescent="0.15">
      <c r="A97" s="70" t="s">
        <v>399</v>
      </c>
      <c r="B97" s="68">
        <f>SUM(B94:B95)</f>
        <v>0</v>
      </c>
      <c r="C97" s="68">
        <f>SUM(C94:C95)</f>
        <v>-10.513253924361607</v>
      </c>
      <c r="D97" s="68">
        <f>SUM(D94:D95)</f>
        <v>-15.083758667871507</v>
      </c>
      <c r="E97" s="68">
        <f>SUM(E94:E95)</f>
        <v>-23.986439994709713</v>
      </c>
      <c r="F97" s="68">
        <f>SUM(F94:F95)</f>
        <v>-40.137640859933867</v>
      </c>
    </row>
    <row r="98" spans="1:6" x14ac:dyDescent="0.15">
      <c r="A98" s="70"/>
      <c r="B98" s="68"/>
      <c r="C98" s="68"/>
      <c r="D98" s="68"/>
      <c r="E98" s="68"/>
      <c r="F98" s="68"/>
    </row>
    <row r="116" spans="1:4" ht="15" x14ac:dyDescent="0.15">
      <c r="A116" s="76" t="s">
        <v>767</v>
      </c>
      <c r="B116" s="77">
        <f>INDEX(B83:F83,1,MATCH(MAX(B97:F97),B97:F97,0))</f>
        <v>0</v>
      </c>
      <c r="C116" s="7" t="s">
        <v>131</v>
      </c>
      <c r="D116" s="68"/>
    </row>
    <row r="119" spans="1:4" x14ac:dyDescent="0.15">
      <c r="A119" s="7" t="s">
        <v>1407</v>
      </c>
    </row>
    <row r="121" spans="1:4" x14ac:dyDescent="0.15">
      <c r="A121" s="3" t="s">
        <v>333</v>
      </c>
      <c r="B121" s="80">
        <v>0.13</v>
      </c>
    </row>
    <row r="122" spans="1:4" x14ac:dyDescent="0.15">
      <c r="A122" s="3" t="s">
        <v>1408</v>
      </c>
      <c r="B122" s="80">
        <v>0.08</v>
      </c>
    </row>
    <row r="123" spans="1:4" x14ac:dyDescent="0.15">
      <c r="A123" s="3" t="s">
        <v>205</v>
      </c>
      <c r="B123" s="80">
        <v>0.1</v>
      </c>
    </row>
    <row r="124" spans="1:4" x14ac:dyDescent="0.15">
      <c r="A124" s="3" t="s">
        <v>1409</v>
      </c>
      <c r="B124" s="80">
        <v>0.5</v>
      </c>
    </row>
    <row r="125" spans="1:4" x14ac:dyDescent="0.15">
      <c r="A125" s="3" t="s">
        <v>1410</v>
      </c>
      <c r="B125" s="80">
        <v>0.04</v>
      </c>
    </row>
    <row r="127" spans="1:4" x14ac:dyDescent="0.15">
      <c r="A127" s="3" t="s">
        <v>1411</v>
      </c>
      <c r="B127" s="67">
        <f>(B125*B121)/(B123*B124)</f>
        <v>0.10400000000000001</v>
      </c>
      <c r="C127" s="3" t="s">
        <v>1412</v>
      </c>
    </row>
  </sheetData>
  <phoneticPr fontId="4" type="noConversion"/>
  <pageMargins left="0.78740157499999996" right="0.78740157499999996" top="0.984251969" bottom="0.984251969" header="0.4921259845" footer="0.4921259845"/>
  <pageSetup paperSize="9" orientation="portrait" r:id="rId1"/>
  <headerFooter alignWithMargins="0">
    <oddFooter>&amp;L&amp;1#&amp;"Calibri"&amp;1&amp;KFFFFFFC1 - Public Natixis</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euil44"/>
  <dimension ref="A1:J68"/>
  <sheetViews>
    <sheetView showGridLines="0" workbookViewId="0"/>
  </sheetViews>
  <sheetFormatPr baseColWidth="10" defaultColWidth="11" defaultRowHeight="14" x14ac:dyDescent="0.15"/>
  <cols>
    <col min="1" max="1" width="23.83203125" style="3" bestFit="1" customWidth="1"/>
    <col min="2" max="2" width="15.83203125" style="3" bestFit="1" customWidth="1"/>
    <col min="3" max="3" width="14.1640625" style="3" bestFit="1" customWidth="1"/>
    <col min="4" max="5" width="11.1640625" style="3" bestFit="1" customWidth="1"/>
    <col min="6" max="6" width="15.83203125" style="3" bestFit="1" customWidth="1"/>
    <col min="7" max="10" width="11.1640625" style="3" bestFit="1" customWidth="1"/>
    <col min="11" max="16384" width="11" style="3"/>
  </cols>
  <sheetData>
    <row r="1" spans="1:10" ht="15" x14ac:dyDescent="0.15">
      <c r="A1" s="1" t="s">
        <v>1235</v>
      </c>
    </row>
    <row r="2" spans="1:10" s="6" customFormat="1" ht="30" x14ac:dyDescent="0.15">
      <c r="B2" s="6" t="s">
        <v>711</v>
      </c>
      <c r="C2" s="6" t="s">
        <v>712</v>
      </c>
      <c r="D2" s="6" t="s">
        <v>713</v>
      </c>
    </row>
    <row r="3" spans="1:10" x14ac:dyDescent="0.15">
      <c r="A3" s="3" t="s">
        <v>1732</v>
      </c>
      <c r="B3" s="49">
        <v>4.7500000000000001E-2</v>
      </c>
      <c r="C3" s="49">
        <v>4.8750000000000002E-2</v>
      </c>
      <c r="F3" s="50"/>
      <c r="J3" s="51">
        <f>3%+7%/8</f>
        <v>3.875E-2</v>
      </c>
    </row>
    <row r="4" spans="1:10" x14ac:dyDescent="0.15">
      <c r="A4" s="3" t="s">
        <v>1733</v>
      </c>
      <c r="B4" s="49">
        <f>(3+7/8)/100</f>
        <v>3.875E-2</v>
      </c>
      <c r="C4" s="49">
        <v>0.04</v>
      </c>
      <c r="F4" s="50"/>
    </row>
    <row r="5" spans="1:10" x14ac:dyDescent="0.15">
      <c r="A5" s="3" t="s">
        <v>1735</v>
      </c>
      <c r="B5" s="3">
        <v>1.0209999999999999</v>
      </c>
      <c r="C5" s="3">
        <v>1.022</v>
      </c>
      <c r="D5" s="3" t="s">
        <v>1734</v>
      </c>
      <c r="F5" s="50"/>
    </row>
    <row r="6" spans="1:10" x14ac:dyDescent="0.15">
      <c r="A6" s="3" t="s">
        <v>1736</v>
      </c>
      <c r="B6" s="3">
        <f>1/C5</f>
        <v>0.97847358121330719</v>
      </c>
      <c r="C6" s="3">
        <f>1/B5</f>
        <v>0.97943192948090119</v>
      </c>
      <c r="D6" s="3" t="s">
        <v>1737</v>
      </c>
      <c r="F6" s="3">
        <f>B6*(1+C3/4)/(1+B4/4)</f>
        <v>0.98089629512531773</v>
      </c>
      <c r="G6" s="3">
        <f>B6*(1+B3/4)/(1+C4/4)</f>
        <v>0.98029005444575779</v>
      </c>
      <c r="H6" s="3">
        <f>C6*(1+C3/4)/(1+B4/4)</f>
        <v>0.9818570162762732</v>
      </c>
      <c r="I6" s="3">
        <f>C6*(1+B3/4)/(1+C4/4)</f>
        <v>0.9812501818252346</v>
      </c>
    </row>
    <row r="7" spans="1:10" x14ac:dyDescent="0.15">
      <c r="F7" s="3">
        <f>B6*(1+B3/4)/(1+B4/4)</f>
        <v>0.98059345588631652</v>
      </c>
      <c r="G7" s="3">
        <f>B6*(1+C3/4)/(1+C4/4)</f>
        <v>0.98059279998449933</v>
      </c>
      <c r="H7" s="3">
        <f>C6*(1+B3/4)/(1+B4/4)</f>
        <v>0.98155388042685177</v>
      </c>
      <c r="I7" s="3">
        <f>C6*(1+C3/4)/(1+C4/4)</f>
        <v>0.98155322388262345</v>
      </c>
    </row>
    <row r="8" spans="1:10" ht="45" x14ac:dyDescent="0.15">
      <c r="A8" s="3" t="s">
        <v>1742</v>
      </c>
      <c r="B8" s="6" t="s">
        <v>1743</v>
      </c>
      <c r="C8" s="6" t="s">
        <v>1738</v>
      </c>
      <c r="D8" s="3" t="s">
        <v>1737</v>
      </c>
      <c r="F8" s="3">
        <f>B6*(1+B4/4)/(1+C3/4)</f>
        <v>0.97605685115782514</v>
      </c>
      <c r="G8" s="3">
        <f>B6*(1+C4/4)/(1+B3/4)</f>
        <v>0.97666047389790267</v>
      </c>
      <c r="H8" s="3">
        <f>C6*(1+B4/4)/(1+C3/4)</f>
        <v>0.97701283240283798</v>
      </c>
      <c r="I8" s="3">
        <f>C6*(1+C4/4)/(1+B3/4)</f>
        <v>0.97761704635030033</v>
      </c>
    </row>
    <row r="9" spans="1:10" x14ac:dyDescent="0.15">
      <c r="B9" s="6"/>
      <c r="C9" s="6"/>
      <c r="F9" s="3">
        <f>B6*(1+B4/4)/(1+B3/4)</f>
        <v>0.9763582893453352</v>
      </c>
      <c r="G9" s="3">
        <f>B6*(1+C4/4)/(1+C3/4)</f>
        <v>0.9763589424147604</v>
      </c>
      <c r="H9" s="3">
        <f>C6*(1+B4/4)/(1+B3/4)</f>
        <v>0.9773145658285336</v>
      </c>
      <c r="I9" s="3">
        <f>C6*(1+C4/4)/(1+C3/4)</f>
        <v>0.9773152195375957</v>
      </c>
    </row>
    <row r="10" spans="1:10" ht="15" x14ac:dyDescent="0.15">
      <c r="B10" s="6" t="s">
        <v>1744</v>
      </c>
      <c r="C10" s="6" t="s">
        <v>1745</v>
      </c>
      <c r="F10" s="3">
        <f>B6*(1+F4/4)/(1+F3/4)</f>
        <v>0.97847358121330719</v>
      </c>
    </row>
    <row r="11" spans="1:10" x14ac:dyDescent="0.15">
      <c r="B11" s="6">
        <f>1/(1+C4*90/360)</f>
        <v>0.99009900990099009</v>
      </c>
      <c r="C11" s="6">
        <f>1/(1+B4/4)</f>
        <v>0.99040544722995971</v>
      </c>
    </row>
    <row r="12" spans="1:10" ht="30" x14ac:dyDescent="0.15">
      <c r="B12" s="6" t="s">
        <v>1746</v>
      </c>
      <c r="C12" s="6" t="s">
        <v>1747</v>
      </c>
    </row>
    <row r="13" spans="1:10" x14ac:dyDescent="0.15">
      <c r="A13" s="3" t="s">
        <v>1748</v>
      </c>
      <c r="B13" s="6">
        <f>B6</f>
        <v>0.97847358121330719</v>
      </c>
      <c r="C13" s="6">
        <f>C6</f>
        <v>0.97943192948090119</v>
      </c>
      <c r="D13" s="3" t="s">
        <v>1737</v>
      </c>
    </row>
    <row r="14" spans="1:10" ht="30" x14ac:dyDescent="0.15">
      <c r="B14" s="6" t="s">
        <v>1739</v>
      </c>
      <c r="C14" s="6" t="s">
        <v>1740</v>
      </c>
    </row>
    <row r="15" spans="1:10" x14ac:dyDescent="0.15">
      <c r="B15" s="6">
        <f>(1+B3*90/360)</f>
        <v>1.0118750000000001</v>
      </c>
      <c r="C15" s="6">
        <f>(1+C3/4)</f>
        <v>1.0121875</v>
      </c>
    </row>
    <row r="17" spans="1:7" x14ac:dyDescent="0.15">
      <c r="A17" s="7" t="s">
        <v>1742</v>
      </c>
      <c r="B17" s="52">
        <f>B11*B13*B15</f>
        <v>0.98029005444575767</v>
      </c>
      <c r="C17" s="52">
        <f>C11*C13*C15</f>
        <v>0.98185701627627331</v>
      </c>
      <c r="D17" s="3" t="s">
        <v>1737</v>
      </c>
    </row>
    <row r="18" spans="1:7" x14ac:dyDescent="0.15">
      <c r="A18" s="7" t="s">
        <v>1741</v>
      </c>
      <c r="B18" s="53">
        <f>1/B17</f>
        <v>1.0201062384187771</v>
      </c>
      <c r="C18" s="53">
        <f>1/C17</f>
        <v>1.0184782340228464</v>
      </c>
      <c r="D18" s="3" t="s">
        <v>1734</v>
      </c>
    </row>
    <row r="22" spans="1:7" x14ac:dyDescent="0.15">
      <c r="A22" s="54" t="s">
        <v>1237</v>
      </c>
      <c r="G22" s="50"/>
    </row>
    <row r="23" spans="1:7" ht="15" x14ac:dyDescent="0.15">
      <c r="B23" s="6" t="s">
        <v>711</v>
      </c>
      <c r="C23" s="6" t="s">
        <v>712</v>
      </c>
    </row>
    <row r="24" spans="1:7" x14ac:dyDescent="0.15">
      <c r="A24" s="3" t="s">
        <v>1749</v>
      </c>
      <c r="B24" s="55">
        <v>4.4999999999999998E-2</v>
      </c>
      <c r="C24" s="56">
        <v>4.6249999999999999E-2</v>
      </c>
    </row>
    <row r="25" spans="1:7" x14ac:dyDescent="0.15">
      <c r="A25" s="3" t="s">
        <v>1750</v>
      </c>
      <c r="B25" s="3">
        <v>1.0209999999999999</v>
      </c>
      <c r="C25" s="3">
        <v>1.022</v>
      </c>
      <c r="D25" s="3" t="s">
        <v>1734</v>
      </c>
    </row>
    <row r="26" spans="1:7" x14ac:dyDescent="0.15">
      <c r="A26" s="3" t="s">
        <v>1751</v>
      </c>
      <c r="B26" s="3">
        <v>1.0149999999999999</v>
      </c>
      <c r="C26" s="3">
        <v>1.016</v>
      </c>
      <c r="D26" s="3" t="s">
        <v>1734</v>
      </c>
    </row>
    <row r="28" spans="1:7" ht="30" x14ac:dyDescent="0.15">
      <c r="B28" s="6" t="s">
        <v>1753</v>
      </c>
      <c r="C28" s="6" t="s">
        <v>1754</v>
      </c>
    </row>
    <row r="30" spans="1:7" ht="15" x14ac:dyDescent="0.15">
      <c r="B30" s="6" t="s">
        <v>1752</v>
      </c>
      <c r="C30" s="6" t="s">
        <v>1755</v>
      </c>
    </row>
    <row r="31" spans="1:7" x14ac:dyDescent="0.15">
      <c r="B31" s="55">
        <f>B24</f>
        <v>4.4999999999999998E-2</v>
      </c>
      <c r="C31" s="3">
        <f>1/B25</f>
        <v>0.97943192948090119</v>
      </c>
    </row>
    <row r="32" spans="1:7" ht="15" x14ac:dyDescent="0.15">
      <c r="B32" s="6" t="s">
        <v>1757</v>
      </c>
      <c r="C32" s="6" t="s">
        <v>1756</v>
      </c>
    </row>
    <row r="33" spans="1:8" x14ac:dyDescent="0.15">
      <c r="B33" s="6">
        <f>1/C25</f>
        <v>0.97847358121330719</v>
      </c>
      <c r="C33" s="55">
        <f>C24</f>
        <v>4.6249999999999999E-2</v>
      </c>
    </row>
    <row r="34" spans="1:8" ht="30" x14ac:dyDescent="0.15">
      <c r="B34" s="6" t="s">
        <v>1758</v>
      </c>
      <c r="C34" s="6" t="s">
        <v>1759</v>
      </c>
    </row>
    <row r="35" spans="1:8" x14ac:dyDescent="0.15">
      <c r="B35" s="3">
        <f>B26</f>
        <v>1.0149999999999999</v>
      </c>
      <c r="C35" s="3">
        <f>C26</f>
        <v>1.016</v>
      </c>
    </row>
    <row r="37" spans="1:8" x14ac:dyDescent="0.15">
      <c r="A37" s="7" t="s">
        <v>1760</v>
      </c>
      <c r="B37" s="57">
        <f>((1+B31*180/360)*B33*B35-1)*360/180</f>
        <v>3.0993150684931248E-2</v>
      </c>
      <c r="C37" s="57">
        <f>((C31*(1+C33*180/360)*C35)-1)*360/180</f>
        <v>3.6229187071498803E-2</v>
      </c>
    </row>
    <row r="39" spans="1:8" x14ac:dyDescent="0.15">
      <c r="A39" s="54" t="s">
        <v>196</v>
      </c>
    </row>
    <row r="40" spans="1:8" ht="15" x14ac:dyDescent="0.15">
      <c r="B40" s="6" t="s">
        <v>711</v>
      </c>
      <c r="C40" s="6" t="s">
        <v>712</v>
      </c>
      <c r="D40" s="3" t="s">
        <v>549</v>
      </c>
    </row>
    <row r="41" spans="1:8" ht="30" x14ac:dyDescent="0.15">
      <c r="A41" s="6" t="s">
        <v>1761</v>
      </c>
      <c r="B41" s="49">
        <v>3.7499999999999999E-2</v>
      </c>
      <c r="C41" s="49">
        <v>3.875E-2</v>
      </c>
    </row>
    <row r="42" spans="1:8" x14ac:dyDescent="0.15">
      <c r="A42" s="6"/>
      <c r="B42" s="49"/>
      <c r="C42" s="49"/>
    </row>
    <row r="43" spans="1:8" x14ac:dyDescent="0.15">
      <c r="A43" s="6"/>
      <c r="B43" s="58" t="s">
        <v>367</v>
      </c>
      <c r="C43" s="59">
        <v>0.02</v>
      </c>
    </row>
    <row r="44" spans="1:8" x14ac:dyDescent="0.15">
      <c r="B44" s="3" t="s">
        <v>398</v>
      </c>
      <c r="C44" s="3" t="s">
        <v>404</v>
      </c>
      <c r="D44" s="3" t="s">
        <v>359</v>
      </c>
      <c r="E44" s="3" t="s">
        <v>362</v>
      </c>
      <c r="F44" s="3" t="s">
        <v>516</v>
      </c>
    </row>
    <row r="45" spans="1:8" x14ac:dyDescent="0.15">
      <c r="A45" s="60" t="s">
        <v>550</v>
      </c>
      <c r="B45" s="49"/>
      <c r="D45" s="49"/>
    </row>
    <row r="46" spans="1:8" ht="15" x14ac:dyDescent="0.15">
      <c r="A46" s="6" t="s">
        <v>551</v>
      </c>
      <c r="B46" s="61">
        <v>500000000</v>
      </c>
      <c r="C46" s="3">
        <v>90</v>
      </c>
      <c r="D46" s="49">
        <f>C41</f>
        <v>3.875E-2</v>
      </c>
      <c r="E46" s="3">
        <v>90</v>
      </c>
      <c r="F46" s="61">
        <f>B46/(1+C$43*C46/360)</f>
        <v>497512437.81094533</v>
      </c>
    </row>
    <row r="47" spans="1:8" ht="15" x14ac:dyDescent="0.15">
      <c r="A47" s="6" t="s">
        <v>552</v>
      </c>
      <c r="B47" s="61">
        <f>-B46*(1+D46*E46/360)</f>
        <v>-504843750.00000006</v>
      </c>
      <c r="C47" s="3">
        <v>180</v>
      </c>
      <c r="F47" s="61">
        <f>B47/(1+C$43*C47/360)</f>
        <v>-499845297.02970302</v>
      </c>
      <c r="H47" s="3">
        <f>+(3+6/8)/100</f>
        <v>3.7499999999999999E-2</v>
      </c>
    </row>
    <row r="48" spans="1:8" x14ac:dyDescent="0.15">
      <c r="A48" s="6"/>
      <c r="B48" s="61"/>
      <c r="E48" s="7" t="s">
        <v>938</v>
      </c>
      <c r="F48" s="62">
        <f>SUM(F46:F47)</f>
        <v>-2332859.218757689</v>
      </c>
    </row>
    <row r="49" spans="1:7" x14ac:dyDescent="0.15">
      <c r="A49" s="60" t="s">
        <v>553</v>
      </c>
      <c r="B49" s="61"/>
    </row>
    <row r="50" spans="1:7" ht="30" x14ac:dyDescent="0.15">
      <c r="A50" s="6" t="s">
        <v>872</v>
      </c>
      <c r="B50" s="61">
        <f>B46/(1+D51/4)</f>
        <v>495202723.61497986</v>
      </c>
      <c r="C50" s="6">
        <v>0</v>
      </c>
      <c r="D50" s="49">
        <f>C37</f>
        <v>3.6229187071498803E-2</v>
      </c>
      <c r="E50" s="3">
        <v>180</v>
      </c>
      <c r="F50" s="61">
        <f>B50/(1+C$43*C50/360)</f>
        <v>495202723.61497986</v>
      </c>
      <c r="G50" s="6"/>
    </row>
    <row r="51" spans="1:7" x14ac:dyDescent="0.15">
      <c r="A51" s="3" t="s">
        <v>554</v>
      </c>
      <c r="B51" s="61">
        <f>-B50</f>
        <v>-495202723.61497986</v>
      </c>
      <c r="C51" s="6">
        <v>0</v>
      </c>
      <c r="D51" s="49">
        <f>B4</f>
        <v>3.875E-2</v>
      </c>
      <c r="E51" s="6">
        <v>90</v>
      </c>
      <c r="F51" s="61">
        <f>B51/(1+C$43*C51/360)</f>
        <v>-495202723.61497986</v>
      </c>
      <c r="G51" s="6"/>
    </row>
    <row r="52" spans="1:7" x14ac:dyDescent="0.15">
      <c r="A52" s="3" t="s">
        <v>556</v>
      </c>
      <c r="B52" s="61">
        <f>-B51*(1+D51*E51/360)</f>
        <v>500000000</v>
      </c>
      <c r="C52" s="3">
        <v>90</v>
      </c>
      <c r="D52" s="55"/>
      <c r="F52" s="61">
        <f>B52/(1+C$43*C52/360)</f>
        <v>497512437.81094533</v>
      </c>
    </row>
    <row r="53" spans="1:7" x14ac:dyDescent="0.15">
      <c r="A53" s="3" t="s">
        <v>557</v>
      </c>
      <c r="B53" s="61">
        <f>-B50*(1+D50*E50/360)</f>
        <v>-504173119.67106128</v>
      </c>
      <c r="C53" s="6">
        <v>180</v>
      </c>
      <c r="D53" s="6"/>
      <c r="E53" s="6"/>
      <c r="F53" s="61">
        <f>B53/(1+C$43*C53/360)</f>
        <v>-499181306.60501117</v>
      </c>
    </row>
    <row r="54" spans="1:7" x14ac:dyDescent="0.15">
      <c r="E54" s="7" t="s">
        <v>938</v>
      </c>
      <c r="F54" s="62">
        <f>SUM(F50:F53)</f>
        <v>-1668868.7940658331</v>
      </c>
    </row>
    <row r="56" spans="1:7" x14ac:dyDescent="0.15">
      <c r="A56" s="63" t="s">
        <v>558</v>
      </c>
      <c r="B56" s="64">
        <f>+B47-B53</f>
        <v>-670630.32893878222</v>
      </c>
      <c r="F56" s="62">
        <f>F54-F48</f>
        <v>663990.42469185591</v>
      </c>
    </row>
    <row r="58" spans="1:7" x14ac:dyDescent="0.15">
      <c r="A58" s="65" t="s">
        <v>1092</v>
      </c>
    </row>
    <row r="59" spans="1:7" ht="30" x14ac:dyDescent="0.15">
      <c r="A59" s="6" t="s">
        <v>872</v>
      </c>
      <c r="B59" s="61">
        <v>495202723.61497986</v>
      </c>
      <c r="C59" s="6">
        <v>0</v>
      </c>
      <c r="D59" s="49">
        <v>3.6229187071498803E-2</v>
      </c>
      <c r="E59" s="3">
        <v>180</v>
      </c>
      <c r="F59" s="61">
        <f t="shared" ref="F59:F65" si="0">B59/(1+C$43*C59/360)</f>
        <v>495202723.61497986</v>
      </c>
    </row>
    <row r="60" spans="1:7" x14ac:dyDescent="0.15">
      <c r="A60" s="3" t="s">
        <v>554</v>
      </c>
      <c r="B60" s="61">
        <v>-495202723.61497986</v>
      </c>
      <c r="C60" s="6">
        <v>0</v>
      </c>
      <c r="D60" s="49">
        <v>3.875E-2</v>
      </c>
      <c r="E60" s="6">
        <v>90</v>
      </c>
      <c r="F60" s="61">
        <f t="shared" si="0"/>
        <v>-495202723.61497986</v>
      </c>
    </row>
    <row r="61" spans="1:7" x14ac:dyDescent="0.15">
      <c r="A61" s="3" t="s">
        <v>556</v>
      </c>
      <c r="B61" s="61">
        <v>500000000</v>
      </c>
      <c r="C61" s="3">
        <v>90</v>
      </c>
      <c r="D61" s="55"/>
      <c r="F61" s="61">
        <f t="shared" si="0"/>
        <v>497512437.81094533</v>
      </c>
    </row>
    <row r="62" spans="1:7" x14ac:dyDescent="0.15">
      <c r="A62" s="3" t="s">
        <v>1087</v>
      </c>
      <c r="B62" s="61">
        <v>500000000</v>
      </c>
      <c r="C62" s="3">
        <v>90</v>
      </c>
      <c r="D62" s="49">
        <f>+B41</f>
        <v>3.7499999999999999E-2</v>
      </c>
      <c r="E62" s="6">
        <v>90</v>
      </c>
      <c r="F62" s="61">
        <f t="shared" si="0"/>
        <v>497512437.81094533</v>
      </c>
      <c r="G62" s="6"/>
    </row>
    <row r="63" spans="1:7" x14ac:dyDescent="0.15">
      <c r="A63" s="3" t="s">
        <v>1088</v>
      </c>
      <c r="B63" s="61">
        <f>B62*(1+D62*E62/360)</f>
        <v>504687499.99999994</v>
      </c>
      <c r="C63" s="3">
        <v>180</v>
      </c>
      <c r="D63" s="49"/>
      <c r="E63" s="6"/>
      <c r="F63" s="61">
        <f t="shared" si="0"/>
        <v>499690594.05940586</v>
      </c>
      <c r="G63" s="6"/>
    </row>
    <row r="64" spans="1:7" x14ac:dyDescent="0.15">
      <c r="A64" s="3" t="s">
        <v>1093</v>
      </c>
      <c r="B64" s="61">
        <f>-B59*(1+D59*E59/360)</f>
        <v>-504173119.67106128</v>
      </c>
      <c r="C64" s="3">
        <v>180</v>
      </c>
      <c r="D64" s="49"/>
      <c r="E64" s="6"/>
      <c r="F64" s="61">
        <f t="shared" si="0"/>
        <v>-499181306.60501117</v>
      </c>
      <c r="G64" s="6"/>
    </row>
    <row r="65" spans="1:7" x14ac:dyDescent="0.15">
      <c r="A65" s="7" t="s">
        <v>1091</v>
      </c>
      <c r="B65" s="62">
        <f>+B63+B64</f>
        <v>514380.32893866301</v>
      </c>
      <c r="C65" s="7">
        <v>180</v>
      </c>
      <c r="D65" s="57"/>
      <c r="E65" s="4"/>
      <c r="F65" s="62">
        <f t="shared" si="0"/>
        <v>509287.45439471584</v>
      </c>
      <c r="G65" s="6"/>
    </row>
    <row r="66" spans="1:7" x14ac:dyDescent="0.15">
      <c r="B66" s="61"/>
      <c r="D66" s="49"/>
      <c r="E66" s="6"/>
      <c r="F66" s="6"/>
      <c r="G66" s="6"/>
    </row>
    <row r="67" spans="1:7" x14ac:dyDescent="0.15">
      <c r="B67" s="61"/>
      <c r="D67" s="49"/>
      <c r="E67" s="6"/>
      <c r="F67" s="6"/>
      <c r="G67" s="6"/>
    </row>
    <row r="68" spans="1:7" x14ac:dyDescent="0.15">
      <c r="B68" s="61"/>
      <c r="D68" s="49"/>
      <c r="E68" s="6"/>
      <c r="F68" s="6"/>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V132"/>
  <sheetViews>
    <sheetView showGridLines="0" workbookViewId="0">
      <selection sqref="A1:H1"/>
    </sheetView>
  </sheetViews>
  <sheetFormatPr baseColWidth="10" defaultColWidth="10.83203125" defaultRowHeight="14" outlineLevelRow="1" x14ac:dyDescent="0.2"/>
  <cols>
    <col min="1" max="1" width="56.83203125" style="33" bestFit="1" customWidth="1"/>
    <col min="2" max="16384" width="10.83203125" style="33"/>
  </cols>
  <sheetData>
    <row r="1" spans="1:22" ht="15" x14ac:dyDescent="0.2">
      <c r="A1" s="527" t="s">
        <v>1510</v>
      </c>
      <c r="B1" s="528"/>
      <c r="C1" s="528"/>
      <c r="D1" s="528"/>
      <c r="E1" s="528"/>
      <c r="F1" s="528"/>
      <c r="G1" s="528"/>
      <c r="H1" s="528"/>
    </row>
    <row r="2" spans="1:22" x14ac:dyDescent="0.2">
      <c r="A2" s="34"/>
      <c r="B2" s="34"/>
      <c r="C2" s="34"/>
      <c r="D2" s="34"/>
      <c r="E2" s="34"/>
      <c r="F2" s="34"/>
      <c r="G2" s="34"/>
      <c r="H2" s="34"/>
    </row>
    <row r="4" spans="1:22" x14ac:dyDescent="0.2">
      <c r="A4" s="33" t="s">
        <v>1470</v>
      </c>
      <c r="H4" s="35"/>
      <c r="I4" s="35"/>
      <c r="J4" s="35"/>
      <c r="K4" s="35"/>
      <c r="L4" s="35"/>
      <c r="M4" s="35"/>
      <c r="N4" s="35"/>
      <c r="O4" s="35"/>
      <c r="P4" s="35"/>
      <c r="Q4" s="35"/>
      <c r="R4" s="35"/>
      <c r="S4" s="35"/>
      <c r="T4" s="35"/>
      <c r="U4" s="35"/>
      <c r="V4" s="35"/>
    </row>
    <row r="6" spans="1:22" x14ac:dyDescent="0.2">
      <c r="B6" s="35" t="s">
        <v>1471</v>
      </c>
      <c r="C6" s="35" t="s">
        <v>1472</v>
      </c>
      <c r="D6" s="35" t="s">
        <v>1473</v>
      </c>
      <c r="E6" s="35" t="s">
        <v>1474</v>
      </c>
      <c r="F6" s="35" t="s">
        <v>1475</v>
      </c>
      <c r="G6" s="35" t="s">
        <v>1476</v>
      </c>
      <c r="H6" s="35" t="s">
        <v>1477</v>
      </c>
      <c r="I6" s="35" t="s">
        <v>1478</v>
      </c>
      <c r="J6" s="35" t="s">
        <v>1479</v>
      </c>
      <c r="K6" s="35" t="s">
        <v>1480</v>
      </c>
      <c r="L6" s="35" t="s">
        <v>1481</v>
      </c>
      <c r="M6" s="35" t="s">
        <v>1482</v>
      </c>
      <c r="N6" s="35" t="s">
        <v>1483</v>
      </c>
      <c r="O6" s="35" t="s">
        <v>1484</v>
      </c>
      <c r="P6" s="35" t="s">
        <v>1485</v>
      </c>
      <c r="Q6" s="35" t="s">
        <v>1486</v>
      </c>
      <c r="R6" s="35" t="s">
        <v>1487</v>
      </c>
      <c r="S6" s="35" t="s">
        <v>1488</v>
      </c>
      <c r="T6" s="35" t="s">
        <v>1489</v>
      </c>
      <c r="U6" s="35" t="s">
        <v>1490</v>
      </c>
      <c r="V6" s="35" t="s">
        <v>1491</v>
      </c>
    </row>
    <row r="8" spans="1:22" x14ac:dyDescent="0.2">
      <c r="A8" s="33" t="s">
        <v>1181</v>
      </c>
      <c r="B8" s="36">
        <v>0</v>
      </c>
      <c r="C8" s="37">
        <v>3429</v>
      </c>
      <c r="D8" s="37">
        <v>5988</v>
      </c>
      <c r="E8" s="37">
        <v>6800</v>
      </c>
      <c r="F8" s="37">
        <v>7088</v>
      </c>
      <c r="G8" s="37">
        <v>7390</v>
      </c>
      <c r="H8" s="37">
        <v>7635</v>
      </c>
      <c r="I8" s="37">
        <f>H8</f>
        <v>7635</v>
      </c>
      <c r="J8" s="37">
        <f t="shared" ref="J8:V8" si="0">I8</f>
        <v>7635</v>
      </c>
      <c r="K8" s="37">
        <f t="shared" si="0"/>
        <v>7635</v>
      </c>
      <c r="L8" s="37">
        <f t="shared" si="0"/>
        <v>7635</v>
      </c>
      <c r="M8" s="37">
        <f t="shared" si="0"/>
        <v>7635</v>
      </c>
      <c r="N8" s="37">
        <f t="shared" si="0"/>
        <v>7635</v>
      </c>
      <c r="O8" s="37">
        <f t="shared" si="0"/>
        <v>7635</v>
      </c>
      <c r="P8" s="37">
        <f t="shared" si="0"/>
        <v>7635</v>
      </c>
      <c r="Q8" s="37">
        <f t="shared" si="0"/>
        <v>7635</v>
      </c>
      <c r="R8" s="37">
        <f t="shared" si="0"/>
        <v>7635</v>
      </c>
      <c r="S8" s="37">
        <f t="shared" si="0"/>
        <v>7635</v>
      </c>
      <c r="T8" s="37">
        <f t="shared" si="0"/>
        <v>7635</v>
      </c>
      <c r="U8" s="37">
        <f t="shared" si="0"/>
        <v>7635</v>
      </c>
      <c r="V8" s="37">
        <f t="shared" si="0"/>
        <v>7635</v>
      </c>
    </row>
    <row r="9" spans="1:22" x14ac:dyDescent="0.2">
      <c r="A9" s="33" t="s">
        <v>1158</v>
      </c>
      <c r="B9" s="38">
        <v>0</v>
      </c>
      <c r="C9" s="39">
        <v>-1484</v>
      </c>
      <c r="D9" s="39">
        <v>-2551</v>
      </c>
      <c r="E9" s="39">
        <v>-2912</v>
      </c>
      <c r="F9" s="39">
        <v>-3047</v>
      </c>
      <c r="G9" s="39">
        <v>-3190</v>
      </c>
      <c r="H9" s="39">
        <v>-3301</v>
      </c>
      <c r="I9" s="39">
        <f>H9</f>
        <v>-3301</v>
      </c>
      <c r="J9" s="39">
        <f t="shared" ref="J9:V9" si="1">I9</f>
        <v>-3301</v>
      </c>
      <c r="K9" s="39">
        <f t="shared" si="1"/>
        <v>-3301</v>
      </c>
      <c r="L9" s="39">
        <f t="shared" si="1"/>
        <v>-3301</v>
      </c>
      <c r="M9" s="39">
        <f t="shared" si="1"/>
        <v>-3301</v>
      </c>
      <c r="N9" s="39">
        <f t="shared" si="1"/>
        <v>-3301</v>
      </c>
      <c r="O9" s="39">
        <f t="shared" si="1"/>
        <v>-3301</v>
      </c>
      <c r="P9" s="39">
        <f t="shared" si="1"/>
        <v>-3301</v>
      </c>
      <c r="Q9" s="39">
        <f t="shared" si="1"/>
        <v>-3301</v>
      </c>
      <c r="R9" s="39">
        <f t="shared" si="1"/>
        <v>-3301</v>
      </c>
      <c r="S9" s="39">
        <f t="shared" si="1"/>
        <v>-3301</v>
      </c>
      <c r="T9" s="39">
        <f t="shared" si="1"/>
        <v>-3301</v>
      </c>
      <c r="U9" s="39">
        <f t="shared" si="1"/>
        <v>-3301</v>
      </c>
      <c r="V9" s="39">
        <f t="shared" si="1"/>
        <v>-3301</v>
      </c>
    </row>
    <row r="10" spans="1:22" x14ac:dyDescent="0.2">
      <c r="A10" s="33" t="s">
        <v>55</v>
      </c>
      <c r="B10" s="38">
        <v>0</v>
      </c>
      <c r="C10" s="39">
        <v>-667</v>
      </c>
      <c r="D10" s="39">
        <v>-887</v>
      </c>
      <c r="E10" s="39">
        <v>-913</v>
      </c>
      <c r="F10" s="39">
        <v>-941</v>
      </c>
      <c r="G10" s="39">
        <v>-969</v>
      </c>
      <c r="H10" s="39">
        <v>-988</v>
      </c>
      <c r="I10" s="39">
        <f>H10</f>
        <v>-988</v>
      </c>
      <c r="J10" s="39">
        <f t="shared" ref="J10:V10" si="2">I10</f>
        <v>-988</v>
      </c>
      <c r="K10" s="39">
        <f t="shared" si="2"/>
        <v>-988</v>
      </c>
      <c r="L10" s="39">
        <f t="shared" si="2"/>
        <v>-988</v>
      </c>
      <c r="M10" s="39">
        <f t="shared" si="2"/>
        <v>-988</v>
      </c>
      <c r="N10" s="39">
        <f t="shared" si="2"/>
        <v>-988</v>
      </c>
      <c r="O10" s="39">
        <f t="shared" si="2"/>
        <v>-988</v>
      </c>
      <c r="P10" s="39">
        <f t="shared" si="2"/>
        <v>-988</v>
      </c>
      <c r="Q10" s="39">
        <f t="shared" si="2"/>
        <v>-988</v>
      </c>
      <c r="R10" s="39">
        <f t="shared" si="2"/>
        <v>-988</v>
      </c>
      <c r="S10" s="39">
        <f t="shared" si="2"/>
        <v>-988</v>
      </c>
      <c r="T10" s="39">
        <f t="shared" si="2"/>
        <v>-988</v>
      </c>
      <c r="U10" s="39">
        <f t="shared" si="2"/>
        <v>-988</v>
      </c>
      <c r="V10" s="39">
        <f t="shared" si="2"/>
        <v>-988</v>
      </c>
    </row>
    <row r="11" spans="1:22" x14ac:dyDescent="0.2">
      <c r="A11" s="33" t="s">
        <v>1492</v>
      </c>
      <c r="B11" s="38">
        <v>0</v>
      </c>
      <c r="C11" s="39">
        <f>-1152+667+273</f>
        <v>-212</v>
      </c>
      <c r="D11" s="39">
        <v>-51</v>
      </c>
      <c r="E11" s="39">
        <v>169</v>
      </c>
      <c r="F11" s="39">
        <v>176</v>
      </c>
      <c r="G11" s="39">
        <v>181</v>
      </c>
      <c r="H11" s="39">
        <v>197</v>
      </c>
      <c r="I11" s="39">
        <f>H11</f>
        <v>197</v>
      </c>
      <c r="J11" s="39">
        <f t="shared" ref="J11:V11" si="3">I11</f>
        <v>197</v>
      </c>
      <c r="K11" s="39">
        <f t="shared" si="3"/>
        <v>197</v>
      </c>
      <c r="L11" s="39">
        <f t="shared" si="3"/>
        <v>197</v>
      </c>
      <c r="M11" s="39">
        <f t="shared" si="3"/>
        <v>197</v>
      </c>
      <c r="N11" s="39">
        <f t="shared" si="3"/>
        <v>197</v>
      </c>
      <c r="O11" s="39">
        <f t="shared" si="3"/>
        <v>197</v>
      </c>
      <c r="P11" s="39">
        <f t="shared" si="3"/>
        <v>197</v>
      </c>
      <c r="Q11" s="39">
        <f t="shared" si="3"/>
        <v>197</v>
      </c>
      <c r="R11" s="39">
        <f t="shared" si="3"/>
        <v>197</v>
      </c>
      <c r="S11" s="39">
        <f t="shared" si="3"/>
        <v>197</v>
      </c>
      <c r="T11" s="39">
        <f t="shared" si="3"/>
        <v>197</v>
      </c>
      <c r="U11" s="39">
        <f t="shared" si="3"/>
        <v>197</v>
      </c>
      <c r="V11" s="39">
        <f t="shared" si="3"/>
        <v>197</v>
      </c>
    </row>
    <row r="12" spans="1:22" x14ac:dyDescent="0.2">
      <c r="A12" s="33" t="s">
        <v>1493</v>
      </c>
      <c r="B12" s="38">
        <v>0</v>
      </c>
      <c r="C12" s="39">
        <v>0</v>
      </c>
      <c r="D12" s="39">
        <v>0</v>
      </c>
      <c r="E12" s="39">
        <v>0</v>
      </c>
      <c r="F12" s="39">
        <v>0</v>
      </c>
      <c r="G12" s="39">
        <v>0</v>
      </c>
      <c r="H12" s="39">
        <v>0</v>
      </c>
      <c r="I12" s="39">
        <f>H12</f>
        <v>0</v>
      </c>
      <c r="J12" s="39">
        <f t="shared" ref="J12:V12" si="4">I12</f>
        <v>0</v>
      </c>
      <c r="K12" s="39">
        <f t="shared" si="4"/>
        <v>0</v>
      </c>
      <c r="L12" s="39">
        <f t="shared" si="4"/>
        <v>0</v>
      </c>
      <c r="M12" s="39">
        <f t="shared" si="4"/>
        <v>0</v>
      </c>
      <c r="N12" s="39">
        <f t="shared" si="4"/>
        <v>0</v>
      </c>
      <c r="O12" s="39">
        <f t="shared" si="4"/>
        <v>0</v>
      </c>
      <c r="P12" s="39">
        <f t="shared" si="4"/>
        <v>0</v>
      </c>
      <c r="Q12" s="39">
        <f t="shared" si="4"/>
        <v>0</v>
      </c>
      <c r="R12" s="39">
        <f t="shared" si="4"/>
        <v>0</v>
      </c>
      <c r="S12" s="39">
        <f t="shared" si="4"/>
        <v>0</v>
      </c>
      <c r="T12" s="39">
        <f t="shared" si="4"/>
        <v>0</v>
      </c>
      <c r="U12" s="39">
        <f t="shared" si="4"/>
        <v>0</v>
      </c>
      <c r="V12" s="39">
        <f t="shared" si="4"/>
        <v>0</v>
      </c>
    </row>
    <row r="13" spans="1:22" x14ac:dyDescent="0.2">
      <c r="A13" s="40" t="s">
        <v>1114</v>
      </c>
      <c r="B13" s="41">
        <v>0</v>
      </c>
      <c r="C13" s="42">
        <f t="shared" ref="C13:V13" si="5">+SUM(C8:C12)</f>
        <v>1066</v>
      </c>
      <c r="D13" s="42">
        <f t="shared" si="5"/>
        <v>2499</v>
      </c>
      <c r="E13" s="42">
        <f t="shared" si="5"/>
        <v>3144</v>
      </c>
      <c r="F13" s="42">
        <f t="shared" si="5"/>
        <v>3276</v>
      </c>
      <c r="G13" s="42">
        <f t="shared" si="5"/>
        <v>3412</v>
      </c>
      <c r="H13" s="42">
        <f t="shared" si="5"/>
        <v>3543</v>
      </c>
      <c r="I13" s="42">
        <f t="shared" si="5"/>
        <v>3543</v>
      </c>
      <c r="J13" s="42">
        <f t="shared" si="5"/>
        <v>3543</v>
      </c>
      <c r="K13" s="42">
        <f t="shared" si="5"/>
        <v>3543</v>
      </c>
      <c r="L13" s="42">
        <f t="shared" si="5"/>
        <v>3543</v>
      </c>
      <c r="M13" s="42">
        <f t="shared" si="5"/>
        <v>3543</v>
      </c>
      <c r="N13" s="42">
        <f t="shared" si="5"/>
        <v>3543</v>
      </c>
      <c r="O13" s="42">
        <f t="shared" si="5"/>
        <v>3543</v>
      </c>
      <c r="P13" s="42">
        <f t="shared" si="5"/>
        <v>3543</v>
      </c>
      <c r="Q13" s="42">
        <f t="shared" si="5"/>
        <v>3543</v>
      </c>
      <c r="R13" s="42">
        <f t="shared" si="5"/>
        <v>3543</v>
      </c>
      <c r="S13" s="42">
        <f t="shared" si="5"/>
        <v>3543</v>
      </c>
      <c r="T13" s="42">
        <f t="shared" si="5"/>
        <v>3543</v>
      </c>
      <c r="U13" s="42">
        <f t="shared" si="5"/>
        <v>3543</v>
      </c>
      <c r="V13" s="42">
        <f t="shared" si="5"/>
        <v>3543</v>
      </c>
    </row>
    <row r="14" spans="1:22" outlineLevel="1" x14ac:dyDescent="0.2">
      <c r="A14" s="33" t="s">
        <v>986</v>
      </c>
      <c r="B14" s="38">
        <v>0</v>
      </c>
      <c r="C14" s="39">
        <f>-(B26-3700)/15</f>
        <v>-1000</v>
      </c>
      <c r="D14" s="39">
        <f>C14</f>
        <v>-1000</v>
      </c>
      <c r="E14" s="39">
        <f t="shared" ref="E14:V14" si="6">D14</f>
        <v>-1000</v>
      </c>
      <c r="F14" s="39">
        <f t="shared" si="6"/>
        <v>-1000</v>
      </c>
      <c r="G14" s="39">
        <f t="shared" si="6"/>
        <v>-1000</v>
      </c>
      <c r="H14" s="39">
        <f t="shared" si="6"/>
        <v>-1000</v>
      </c>
      <c r="I14" s="39">
        <f t="shared" si="6"/>
        <v>-1000</v>
      </c>
      <c r="J14" s="39">
        <f t="shared" si="6"/>
        <v>-1000</v>
      </c>
      <c r="K14" s="39">
        <f t="shared" si="6"/>
        <v>-1000</v>
      </c>
      <c r="L14" s="39">
        <f t="shared" si="6"/>
        <v>-1000</v>
      </c>
      <c r="M14" s="39">
        <f t="shared" si="6"/>
        <v>-1000</v>
      </c>
      <c r="N14" s="39">
        <f t="shared" si="6"/>
        <v>-1000</v>
      </c>
      <c r="O14" s="39">
        <f t="shared" si="6"/>
        <v>-1000</v>
      </c>
      <c r="P14" s="39">
        <f t="shared" si="6"/>
        <v>-1000</v>
      </c>
      <c r="Q14" s="39">
        <f t="shared" si="6"/>
        <v>-1000</v>
      </c>
      <c r="R14" s="39">
        <v>0</v>
      </c>
      <c r="S14" s="39">
        <f t="shared" si="6"/>
        <v>0</v>
      </c>
      <c r="T14" s="39">
        <f t="shared" si="6"/>
        <v>0</v>
      </c>
      <c r="U14" s="39">
        <f t="shared" si="6"/>
        <v>0</v>
      </c>
      <c r="V14" s="39">
        <f t="shared" si="6"/>
        <v>0</v>
      </c>
    </row>
    <row r="15" spans="1:22" outlineLevel="1" x14ac:dyDescent="0.2">
      <c r="A15" s="40" t="s">
        <v>1014</v>
      </c>
      <c r="B15" s="41">
        <v>0</v>
      </c>
      <c r="C15" s="42">
        <f t="shared" ref="C15:V15" si="7">+C13+C14</f>
        <v>66</v>
      </c>
      <c r="D15" s="42">
        <f t="shared" si="7"/>
        <v>1499</v>
      </c>
      <c r="E15" s="42">
        <f t="shared" si="7"/>
        <v>2144</v>
      </c>
      <c r="F15" s="42">
        <f t="shared" si="7"/>
        <v>2276</v>
      </c>
      <c r="G15" s="42">
        <f t="shared" si="7"/>
        <v>2412</v>
      </c>
      <c r="H15" s="42">
        <f t="shared" si="7"/>
        <v>2543</v>
      </c>
      <c r="I15" s="42">
        <f t="shared" si="7"/>
        <v>2543</v>
      </c>
      <c r="J15" s="42">
        <f t="shared" si="7"/>
        <v>2543</v>
      </c>
      <c r="K15" s="42">
        <f t="shared" si="7"/>
        <v>2543</v>
      </c>
      <c r="L15" s="42">
        <f t="shared" si="7"/>
        <v>2543</v>
      </c>
      <c r="M15" s="42">
        <f t="shared" si="7"/>
        <v>2543</v>
      </c>
      <c r="N15" s="42">
        <f t="shared" si="7"/>
        <v>2543</v>
      </c>
      <c r="O15" s="42">
        <f t="shared" si="7"/>
        <v>2543</v>
      </c>
      <c r="P15" s="42">
        <f t="shared" si="7"/>
        <v>2543</v>
      </c>
      <c r="Q15" s="42">
        <f t="shared" si="7"/>
        <v>2543</v>
      </c>
      <c r="R15" s="42">
        <f t="shared" si="7"/>
        <v>3543</v>
      </c>
      <c r="S15" s="42">
        <f t="shared" si="7"/>
        <v>3543</v>
      </c>
      <c r="T15" s="42">
        <f t="shared" si="7"/>
        <v>3543</v>
      </c>
      <c r="U15" s="42">
        <f t="shared" si="7"/>
        <v>3543</v>
      </c>
      <c r="V15" s="42">
        <f t="shared" si="7"/>
        <v>3543</v>
      </c>
    </row>
    <row r="16" spans="1:22" outlineLevel="1" x14ac:dyDescent="0.2">
      <c r="A16" s="33" t="s">
        <v>1185</v>
      </c>
      <c r="B16" s="38">
        <v>0</v>
      </c>
      <c r="C16" s="39">
        <f t="shared" ref="C16:L16" si="8">-$B$30*$B$51</f>
        <v>-467.5</v>
      </c>
      <c r="D16" s="39">
        <f t="shared" si="8"/>
        <v>-467.5</v>
      </c>
      <c r="E16" s="39">
        <f t="shared" si="8"/>
        <v>-467.5</v>
      </c>
      <c r="F16" s="39">
        <f t="shared" si="8"/>
        <v>-467.5</v>
      </c>
      <c r="G16" s="39">
        <f t="shared" si="8"/>
        <v>-467.5</v>
      </c>
      <c r="H16" s="39">
        <f t="shared" si="8"/>
        <v>-467.5</v>
      </c>
      <c r="I16" s="39">
        <f t="shared" si="8"/>
        <v>-467.5</v>
      </c>
      <c r="J16" s="39">
        <f t="shared" si="8"/>
        <v>-467.5</v>
      </c>
      <c r="K16" s="39">
        <f t="shared" si="8"/>
        <v>-467.5</v>
      </c>
      <c r="L16" s="39">
        <f t="shared" si="8"/>
        <v>-467.5</v>
      </c>
      <c r="M16" s="39">
        <v>0</v>
      </c>
      <c r="N16" s="39">
        <v>0</v>
      </c>
      <c r="O16" s="39">
        <v>0</v>
      </c>
      <c r="P16" s="39">
        <v>0</v>
      </c>
      <c r="Q16" s="39">
        <v>0</v>
      </c>
      <c r="R16" s="39">
        <v>0</v>
      </c>
      <c r="S16" s="39">
        <v>0</v>
      </c>
      <c r="T16" s="39">
        <v>0</v>
      </c>
      <c r="U16" s="39">
        <v>0</v>
      </c>
      <c r="V16" s="39">
        <v>0</v>
      </c>
    </row>
    <row r="17" spans="1:256" outlineLevel="1" x14ac:dyDescent="0.2">
      <c r="A17" s="33" t="s">
        <v>1494</v>
      </c>
      <c r="B17" s="38">
        <v>0</v>
      </c>
      <c r="C17" s="39">
        <f>+IF((C15+C16)&lt;0,0,(C15+C16)*$B$20)</f>
        <v>0</v>
      </c>
      <c r="D17" s="39">
        <f t="shared" ref="D17:V17" si="9">+IF((D15+D16)&lt;0,0,-(D15+D16)*$B$20)</f>
        <v>-257.875</v>
      </c>
      <c r="E17" s="39">
        <f t="shared" si="9"/>
        <v>-419.125</v>
      </c>
      <c r="F17" s="39">
        <f t="shared" si="9"/>
        <v>-452.125</v>
      </c>
      <c r="G17" s="39">
        <f t="shared" si="9"/>
        <v>-486.125</v>
      </c>
      <c r="H17" s="39">
        <f t="shared" si="9"/>
        <v>-518.875</v>
      </c>
      <c r="I17" s="39">
        <f t="shared" si="9"/>
        <v>-518.875</v>
      </c>
      <c r="J17" s="39">
        <f t="shared" si="9"/>
        <v>-518.875</v>
      </c>
      <c r="K17" s="39">
        <f t="shared" si="9"/>
        <v>-518.875</v>
      </c>
      <c r="L17" s="39">
        <f t="shared" si="9"/>
        <v>-518.875</v>
      </c>
      <c r="M17" s="39">
        <f t="shared" si="9"/>
        <v>-635.75</v>
      </c>
      <c r="N17" s="39">
        <f t="shared" si="9"/>
        <v>-635.75</v>
      </c>
      <c r="O17" s="39">
        <f t="shared" si="9"/>
        <v>-635.75</v>
      </c>
      <c r="P17" s="39">
        <f t="shared" si="9"/>
        <v>-635.75</v>
      </c>
      <c r="Q17" s="39">
        <f t="shared" si="9"/>
        <v>-635.75</v>
      </c>
      <c r="R17" s="39">
        <f t="shared" si="9"/>
        <v>-885.75</v>
      </c>
      <c r="S17" s="39">
        <f t="shared" si="9"/>
        <v>-885.75</v>
      </c>
      <c r="T17" s="39">
        <f t="shared" si="9"/>
        <v>-885.75</v>
      </c>
      <c r="U17" s="39">
        <f t="shared" si="9"/>
        <v>-885.75</v>
      </c>
      <c r="V17" s="39">
        <f t="shared" si="9"/>
        <v>-885.75</v>
      </c>
    </row>
    <row r="18" spans="1:256" outlineLevel="1" x14ac:dyDescent="0.2">
      <c r="A18" s="40" t="s">
        <v>1495</v>
      </c>
      <c r="B18" s="41">
        <v>0</v>
      </c>
      <c r="C18" s="42">
        <f t="shared" ref="C18:V18" si="10">+SUM(C15:C17)</f>
        <v>-401.5</v>
      </c>
      <c r="D18" s="42">
        <f t="shared" si="10"/>
        <v>773.625</v>
      </c>
      <c r="E18" s="42">
        <f t="shared" si="10"/>
        <v>1257.375</v>
      </c>
      <c r="F18" s="42">
        <f t="shared" si="10"/>
        <v>1356.375</v>
      </c>
      <c r="G18" s="42">
        <f t="shared" si="10"/>
        <v>1458.375</v>
      </c>
      <c r="H18" s="42">
        <f t="shared" si="10"/>
        <v>1556.625</v>
      </c>
      <c r="I18" s="42">
        <f t="shared" si="10"/>
        <v>1556.625</v>
      </c>
      <c r="J18" s="42">
        <f t="shared" si="10"/>
        <v>1556.625</v>
      </c>
      <c r="K18" s="42">
        <f t="shared" si="10"/>
        <v>1556.625</v>
      </c>
      <c r="L18" s="42">
        <f t="shared" si="10"/>
        <v>1556.625</v>
      </c>
      <c r="M18" s="42">
        <f t="shared" si="10"/>
        <v>1907.25</v>
      </c>
      <c r="N18" s="42">
        <f t="shared" si="10"/>
        <v>1907.25</v>
      </c>
      <c r="O18" s="42">
        <f t="shared" si="10"/>
        <v>1907.25</v>
      </c>
      <c r="P18" s="42">
        <f t="shared" si="10"/>
        <v>1907.25</v>
      </c>
      <c r="Q18" s="42">
        <f t="shared" si="10"/>
        <v>1907.25</v>
      </c>
      <c r="R18" s="42">
        <f t="shared" si="10"/>
        <v>2657.25</v>
      </c>
      <c r="S18" s="42">
        <f t="shared" si="10"/>
        <v>2657.25</v>
      </c>
      <c r="T18" s="42">
        <f t="shared" si="10"/>
        <v>2657.25</v>
      </c>
      <c r="U18" s="42">
        <f t="shared" si="10"/>
        <v>2657.25</v>
      </c>
      <c r="V18" s="42">
        <f t="shared" si="10"/>
        <v>2657.25</v>
      </c>
    </row>
    <row r="20" spans="1:256" x14ac:dyDescent="0.2">
      <c r="A20" s="33" t="s">
        <v>632</v>
      </c>
      <c r="B20" s="43">
        <v>0.25</v>
      </c>
    </row>
    <row r="24" spans="1:256" x14ac:dyDescent="0.2">
      <c r="A24" s="33" t="s">
        <v>1496</v>
      </c>
      <c r="B24" s="35" t="str">
        <f t="shared" ref="B24:V24" si="11">B6</f>
        <v>N</v>
      </c>
      <c r="C24" s="35" t="str">
        <f t="shared" si="11"/>
        <v>N+1</v>
      </c>
      <c r="D24" s="35" t="str">
        <f t="shared" si="11"/>
        <v>N+2</v>
      </c>
      <c r="E24" s="35" t="str">
        <f t="shared" si="11"/>
        <v>N+3</v>
      </c>
      <c r="F24" s="35" t="str">
        <f t="shared" si="11"/>
        <v>N+4</v>
      </c>
      <c r="G24" s="35" t="str">
        <f t="shared" si="11"/>
        <v>N+5</v>
      </c>
      <c r="H24" s="35" t="str">
        <f t="shared" si="11"/>
        <v>N+6</v>
      </c>
      <c r="I24" s="35" t="str">
        <f t="shared" si="11"/>
        <v>N+7</v>
      </c>
      <c r="J24" s="35" t="str">
        <f t="shared" si="11"/>
        <v>N+8</v>
      </c>
      <c r="K24" s="35" t="str">
        <f t="shared" si="11"/>
        <v>N+9</v>
      </c>
      <c r="L24" s="35" t="str">
        <f t="shared" si="11"/>
        <v>N+10</v>
      </c>
      <c r="M24" s="35" t="str">
        <f t="shared" si="11"/>
        <v>N+11</v>
      </c>
      <c r="N24" s="35" t="str">
        <f t="shared" si="11"/>
        <v>N+12</v>
      </c>
      <c r="O24" s="35" t="str">
        <f t="shared" si="11"/>
        <v>N+13</v>
      </c>
      <c r="P24" s="35" t="str">
        <f t="shared" si="11"/>
        <v>N+14</v>
      </c>
      <c r="Q24" s="35" t="str">
        <f t="shared" si="11"/>
        <v>N+15</v>
      </c>
      <c r="R24" s="35" t="str">
        <f t="shared" si="11"/>
        <v>N+16</v>
      </c>
      <c r="S24" s="35" t="str">
        <f t="shared" si="11"/>
        <v>N+17</v>
      </c>
      <c r="T24" s="35" t="str">
        <f t="shared" si="11"/>
        <v>N+18</v>
      </c>
      <c r="U24" s="35" t="str">
        <f t="shared" si="11"/>
        <v>N+19</v>
      </c>
      <c r="V24" s="35" t="str">
        <f t="shared" si="11"/>
        <v>N+20</v>
      </c>
    </row>
    <row r="26" spans="1:256" x14ac:dyDescent="0.2">
      <c r="A26" s="33" t="s">
        <v>1497</v>
      </c>
      <c r="B26" s="36">
        <v>18700</v>
      </c>
      <c r="C26" s="37">
        <f t="shared" ref="C26:V26" si="12">+B26+C14</f>
        <v>17700</v>
      </c>
      <c r="D26" s="37">
        <f t="shared" si="12"/>
        <v>16700</v>
      </c>
      <c r="E26" s="37">
        <f t="shared" si="12"/>
        <v>15700</v>
      </c>
      <c r="F26" s="37">
        <f t="shared" si="12"/>
        <v>14700</v>
      </c>
      <c r="G26" s="37">
        <f t="shared" si="12"/>
        <v>13700</v>
      </c>
      <c r="H26" s="37">
        <f t="shared" si="12"/>
        <v>12700</v>
      </c>
      <c r="I26" s="37">
        <f t="shared" si="12"/>
        <v>11700</v>
      </c>
      <c r="J26" s="37">
        <f t="shared" si="12"/>
        <v>10700</v>
      </c>
      <c r="K26" s="37">
        <f t="shared" si="12"/>
        <v>9700</v>
      </c>
      <c r="L26" s="37">
        <f t="shared" si="12"/>
        <v>8700</v>
      </c>
      <c r="M26" s="37">
        <f t="shared" si="12"/>
        <v>7700</v>
      </c>
      <c r="N26" s="37">
        <f t="shared" si="12"/>
        <v>6700</v>
      </c>
      <c r="O26" s="37">
        <f t="shared" si="12"/>
        <v>5700</v>
      </c>
      <c r="P26" s="37">
        <f t="shared" si="12"/>
        <v>4700</v>
      </c>
      <c r="Q26" s="37">
        <f t="shared" si="12"/>
        <v>3700</v>
      </c>
      <c r="R26" s="37">
        <f t="shared" si="12"/>
        <v>3700</v>
      </c>
      <c r="S26" s="37">
        <f t="shared" si="12"/>
        <v>3700</v>
      </c>
      <c r="T26" s="37">
        <f t="shared" si="12"/>
        <v>3700</v>
      </c>
      <c r="U26" s="37">
        <f t="shared" si="12"/>
        <v>3700</v>
      </c>
      <c r="V26" s="37">
        <f t="shared" si="12"/>
        <v>3700</v>
      </c>
    </row>
    <row r="27" spans="1:256" x14ac:dyDescent="0.2">
      <c r="A27" s="33" t="s">
        <v>1236</v>
      </c>
      <c r="B27" s="38">
        <v>0</v>
      </c>
      <c r="C27" s="39">
        <v>0</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row>
    <row r="28" spans="1:256" x14ac:dyDescent="0.2">
      <c r="A28" s="40" t="s">
        <v>190</v>
      </c>
      <c r="B28" s="41">
        <f t="shared" ref="B28:V28" si="13">+B27+B26</f>
        <v>18700</v>
      </c>
      <c r="C28" s="42">
        <f t="shared" si="13"/>
        <v>17700</v>
      </c>
      <c r="D28" s="42">
        <f t="shared" si="13"/>
        <v>16700</v>
      </c>
      <c r="E28" s="42">
        <f t="shared" si="13"/>
        <v>15700</v>
      </c>
      <c r="F28" s="42">
        <f t="shared" si="13"/>
        <v>14700</v>
      </c>
      <c r="G28" s="42">
        <f t="shared" si="13"/>
        <v>13700</v>
      </c>
      <c r="H28" s="42">
        <f t="shared" si="13"/>
        <v>12700</v>
      </c>
      <c r="I28" s="42">
        <f t="shared" si="13"/>
        <v>11700</v>
      </c>
      <c r="J28" s="42">
        <f t="shared" si="13"/>
        <v>10700</v>
      </c>
      <c r="K28" s="42">
        <f t="shared" si="13"/>
        <v>9700</v>
      </c>
      <c r="L28" s="42">
        <f t="shared" si="13"/>
        <v>8700</v>
      </c>
      <c r="M28" s="42">
        <f t="shared" si="13"/>
        <v>7700</v>
      </c>
      <c r="N28" s="42">
        <f t="shared" si="13"/>
        <v>6700</v>
      </c>
      <c r="O28" s="42">
        <f t="shared" si="13"/>
        <v>5700</v>
      </c>
      <c r="P28" s="42">
        <f t="shared" si="13"/>
        <v>4700</v>
      </c>
      <c r="Q28" s="42">
        <f t="shared" si="13"/>
        <v>3700</v>
      </c>
      <c r="R28" s="42">
        <f t="shared" si="13"/>
        <v>3700</v>
      </c>
      <c r="S28" s="42">
        <f t="shared" si="13"/>
        <v>3700</v>
      </c>
      <c r="T28" s="42">
        <f t="shared" si="13"/>
        <v>3700</v>
      </c>
      <c r="U28" s="42">
        <f t="shared" si="13"/>
        <v>3700</v>
      </c>
      <c r="V28" s="42">
        <f t="shared" si="13"/>
        <v>3700</v>
      </c>
    </row>
    <row r="29" spans="1:256" x14ac:dyDescent="0.2">
      <c r="A29" s="33" t="s">
        <v>1199</v>
      </c>
      <c r="B29" s="38">
        <v>0</v>
      </c>
      <c r="C29" s="39">
        <f t="shared" ref="C29:V29" si="14">+B29+C18</f>
        <v>-401.5</v>
      </c>
      <c r="D29" s="39">
        <f t="shared" si="14"/>
        <v>372.125</v>
      </c>
      <c r="E29" s="39">
        <f t="shared" si="14"/>
        <v>1629.5</v>
      </c>
      <c r="F29" s="39">
        <f t="shared" si="14"/>
        <v>2985.875</v>
      </c>
      <c r="G29" s="39">
        <f t="shared" si="14"/>
        <v>4444.25</v>
      </c>
      <c r="H29" s="39">
        <f t="shared" si="14"/>
        <v>6000.875</v>
      </c>
      <c r="I29" s="39">
        <f t="shared" si="14"/>
        <v>7557.5</v>
      </c>
      <c r="J29" s="39">
        <f t="shared" si="14"/>
        <v>9114.125</v>
      </c>
      <c r="K29" s="39">
        <f t="shared" si="14"/>
        <v>10670.75</v>
      </c>
      <c r="L29" s="39">
        <f t="shared" si="14"/>
        <v>12227.375</v>
      </c>
      <c r="M29" s="39">
        <f t="shared" si="14"/>
        <v>14134.625</v>
      </c>
      <c r="N29" s="39">
        <f t="shared" si="14"/>
        <v>16041.875</v>
      </c>
      <c r="O29" s="39">
        <f t="shared" si="14"/>
        <v>17949.125</v>
      </c>
      <c r="P29" s="39">
        <f t="shared" si="14"/>
        <v>19856.375</v>
      </c>
      <c r="Q29" s="39">
        <f t="shared" si="14"/>
        <v>21763.625</v>
      </c>
      <c r="R29" s="39">
        <f t="shared" si="14"/>
        <v>24420.875</v>
      </c>
      <c r="S29" s="39">
        <f t="shared" si="14"/>
        <v>27078.125</v>
      </c>
      <c r="T29" s="39">
        <f t="shared" si="14"/>
        <v>29735.375</v>
      </c>
      <c r="U29" s="39">
        <f t="shared" si="14"/>
        <v>32392.625</v>
      </c>
      <c r="V29" s="39">
        <f t="shared" si="14"/>
        <v>35049.875</v>
      </c>
    </row>
    <row r="30" spans="1:256" x14ac:dyDescent="0.2">
      <c r="A30" s="33" t="s">
        <v>1498</v>
      </c>
      <c r="B30" s="38">
        <f>+B26</f>
        <v>18700</v>
      </c>
      <c r="C30" s="39">
        <f t="shared" ref="C30:V30" si="15">+B30+C46</f>
        <v>18101.5</v>
      </c>
      <c r="D30" s="39">
        <f t="shared" si="15"/>
        <v>16327.875</v>
      </c>
      <c r="E30" s="39">
        <f t="shared" si="15"/>
        <v>14070.5</v>
      </c>
      <c r="F30" s="39">
        <f t="shared" si="15"/>
        <v>11714.125</v>
      </c>
      <c r="G30" s="39">
        <f t="shared" si="15"/>
        <v>9255.75</v>
      </c>
      <c r="H30" s="39">
        <f t="shared" si="15"/>
        <v>6699.125</v>
      </c>
      <c r="I30" s="39">
        <f t="shared" si="15"/>
        <v>4142.5</v>
      </c>
      <c r="J30" s="39">
        <f t="shared" si="15"/>
        <v>1585.875</v>
      </c>
      <c r="K30" s="39">
        <f t="shared" si="15"/>
        <v>-970.75</v>
      </c>
      <c r="L30" s="39">
        <f t="shared" si="15"/>
        <v>-3527.375</v>
      </c>
      <c r="M30" s="39">
        <f t="shared" si="15"/>
        <v>-6434.625</v>
      </c>
      <c r="N30" s="39">
        <f t="shared" si="15"/>
        <v>-9341.875</v>
      </c>
      <c r="O30" s="39">
        <f t="shared" si="15"/>
        <v>-12249.125</v>
      </c>
      <c r="P30" s="39">
        <f t="shared" si="15"/>
        <v>-15156.375</v>
      </c>
      <c r="Q30" s="39">
        <f t="shared" si="15"/>
        <v>-18063.625</v>
      </c>
      <c r="R30" s="39">
        <f t="shared" si="15"/>
        <v>-20720.875</v>
      </c>
      <c r="S30" s="39">
        <f t="shared" si="15"/>
        <v>-23378.125</v>
      </c>
      <c r="T30" s="39">
        <f t="shared" si="15"/>
        <v>-26035.375</v>
      </c>
      <c r="U30" s="39">
        <f t="shared" si="15"/>
        <v>-28692.625</v>
      </c>
      <c r="V30" s="39">
        <f t="shared" si="15"/>
        <v>-31349.875</v>
      </c>
    </row>
    <row r="31" spans="1:256" x14ac:dyDescent="0.2">
      <c r="A31" s="40" t="s">
        <v>1499</v>
      </c>
      <c r="B31" s="41">
        <f t="shared" ref="B31:V31" si="16">+B30+B29</f>
        <v>18700</v>
      </c>
      <c r="C31" s="42">
        <f t="shared" si="16"/>
        <v>17700</v>
      </c>
      <c r="D31" s="42">
        <f t="shared" si="16"/>
        <v>16700</v>
      </c>
      <c r="E31" s="42">
        <f t="shared" si="16"/>
        <v>15700</v>
      </c>
      <c r="F31" s="42">
        <f t="shared" si="16"/>
        <v>14700</v>
      </c>
      <c r="G31" s="42">
        <f t="shared" si="16"/>
        <v>13700</v>
      </c>
      <c r="H31" s="42">
        <f t="shared" si="16"/>
        <v>12700</v>
      </c>
      <c r="I31" s="42">
        <f t="shared" si="16"/>
        <v>11700</v>
      </c>
      <c r="J31" s="42">
        <f t="shared" si="16"/>
        <v>10700</v>
      </c>
      <c r="K31" s="42">
        <f t="shared" si="16"/>
        <v>9700</v>
      </c>
      <c r="L31" s="42">
        <f t="shared" si="16"/>
        <v>8700</v>
      </c>
      <c r="M31" s="42">
        <f t="shared" si="16"/>
        <v>7700</v>
      </c>
      <c r="N31" s="42">
        <f t="shared" si="16"/>
        <v>6700</v>
      </c>
      <c r="O31" s="42">
        <f t="shared" si="16"/>
        <v>5700</v>
      </c>
      <c r="P31" s="42">
        <f t="shared" si="16"/>
        <v>4700</v>
      </c>
      <c r="Q31" s="42">
        <f t="shared" si="16"/>
        <v>3700</v>
      </c>
      <c r="R31" s="42">
        <f t="shared" si="16"/>
        <v>3700</v>
      </c>
      <c r="S31" s="42">
        <f t="shared" si="16"/>
        <v>3700</v>
      </c>
      <c r="T31" s="42">
        <f t="shared" si="16"/>
        <v>3700</v>
      </c>
      <c r="U31" s="42">
        <f t="shared" si="16"/>
        <v>3700</v>
      </c>
      <c r="V31" s="42">
        <f t="shared" si="16"/>
        <v>3700</v>
      </c>
      <c r="IV31" s="33">
        <f>+IV30+IV29</f>
        <v>0</v>
      </c>
    </row>
    <row r="37" spans="1:22" x14ac:dyDescent="0.2">
      <c r="A37" s="33" t="s">
        <v>1500</v>
      </c>
      <c r="B37" s="35" t="str">
        <f t="shared" ref="B37:V37" si="17">B6</f>
        <v>N</v>
      </c>
      <c r="C37" s="35" t="str">
        <f t="shared" si="17"/>
        <v>N+1</v>
      </c>
      <c r="D37" s="35" t="str">
        <f t="shared" si="17"/>
        <v>N+2</v>
      </c>
      <c r="E37" s="35" t="str">
        <f t="shared" si="17"/>
        <v>N+3</v>
      </c>
      <c r="F37" s="35" t="str">
        <f t="shared" si="17"/>
        <v>N+4</v>
      </c>
      <c r="G37" s="35" t="str">
        <f t="shared" si="17"/>
        <v>N+5</v>
      </c>
      <c r="H37" s="35" t="str">
        <f t="shared" si="17"/>
        <v>N+6</v>
      </c>
      <c r="I37" s="35" t="str">
        <f t="shared" si="17"/>
        <v>N+7</v>
      </c>
      <c r="J37" s="35" t="str">
        <f t="shared" si="17"/>
        <v>N+8</v>
      </c>
      <c r="K37" s="35" t="str">
        <f t="shared" si="17"/>
        <v>N+9</v>
      </c>
      <c r="L37" s="35" t="str">
        <f t="shared" si="17"/>
        <v>N+10</v>
      </c>
      <c r="M37" s="35" t="str">
        <f t="shared" si="17"/>
        <v>N+11</v>
      </c>
      <c r="N37" s="35" t="str">
        <f t="shared" si="17"/>
        <v>N+12</v>
      </c>
      <c r="O37" s="35" t="str">
        <f t="shared" si="17"/>
        <v>N+13</v>
      </c>
      <c r="P37" s="35" t="str">
        <f t="shared" si="17"/>
        <v>N+14</v>
      </c>
      <c r="Q37" s="35" t="str">
        <f t="shared" si="17"/>
        <v>N+15</v>
      </c>
      <c r="R37" s="35" t="str">
        <f t="shared" si="17"/>
        <v>N+16</v>
      </c>
      <c r="S37" s="35" t="str">
        <f t="shared" si="17"/>
        <v>N+17</v>
      </c>
      <c r="T37" s="35" t="str">
        <f t="shared" si="17"/>
        <v>N+18</v>
      </c>
      <c r="U37" s="35" t="str">
        <f t="shared" si="17"/>
        <v>N+19</v>
      </c>
      <c r="V37" s="35" t="str">
        <f t="shared" si="17"/>
        <v>N+20</v>
      </c>
    </row>
    <row r="39" spans="1:22" x14ac:dyDescent="0.2">
      <c r="A39" s="33" t="s">
        <v>1051</v>
      </c>
      <c r="B39" s="36">
        <v>0</v>
      </c>
      <c r="C39" s="37">
        <f t="shared" ref="C39:V39" si="18">+C18</f>
        <v>-401.5</v>
      </c>
      <c r="D39" s="37">
        <f t="shared" si="18"/>
        <v>773.625</v>
      </c>
      <c r="E39" s="37">
        <f t="shared" si="18"/>
        <v>1257.375</v>
      </c>
      <c r="F39" s="37">
        <f t="shared" si="18"/>
        <v>1356.375</v>
      </c>
      <c r="G39" s="37">
        <f t="shared" si="18"/>
        <v>1458.375</v>
      </c>
      <c r="H39" s="37">
        <f t="shared" si="18"/>
        <v>1556.625</v>
      </c>
      <c r="I39" s="37">
        <f t="shared" si="18"/>
        <v>1556.625</v>
      </c>
      <c r="J39" s="37">
        <f t="shared" si="18"/>
        <v>1556.625</v>
      </c>
      <c r="K39" s="37">
        <f t="shared" si="18"/>
        <v>1556.625</v>
      </c>
      <c r="L39" s="37">
        <f t="shared" si="18"/>
        <v>1556.625</v>
      </c>
      <c r="M39" s="37">
        <f t="shared" si="18"/>
        <v>1907.25</v>
      </c>
      <c r="N39" s="37">
        <f t="shared" si="18"/>
        <v>1907.25</v>
      </c>
      <c r="O39" s="37">
        <f t="shared" si="18"/>
        <v>1907.25</v>
      </c>
      <c r="P39" s="37">
        <f t="shared" si="18"/>
        <v>1907.25</v>
      </c>
      <c r="Q39" s="37">
        <f t="shared" si="18"/>
        <v>1907.25</v>
      </c>
      <c r="R39" s="37">
        <f t="shared" si="18"/>
        <v>2657.25</v>
      </c>
      <c r="S39" s="37">
        <f t="shared" si="18"/>
        <v>2657.25</v>
      </c>
      <c r="T39" s="37">
        <f t="shared" si="18"/>
        <v>2657.25</v>
      </c>
      <c r="U39" s="37">
        <f t="shared" si="18"/>
        <v>2657.25</v>
      </c>
      <c r="V39" s="37">
        <f t="shared" si="18"/>
        <v>2657.25</v>
      </c>
    </row>
    <row r="40" spans="1:22" x14ac:dyDescent="0.2">
      <c r="A40" s="33" t="s">
        <v>986</v>
      </c>
      <c r="B40" s="38">
        <v>0</v>
      </c>
      <c r="C40" s="39">
        <f t="shared" ref="C40:V40" si="19">-C14</f>
        <v>1000</v>
      </c>
      <c r="D40" s="39">
        <f t="shared" si="19"/>
        <v>1000</v>
      </c>
      <c r="E40" s="39">
        <f t="shared" si="19"/>
        <v>1000</v>
      </c>
      <c r="F40" s="39">
        <f t="shared" si="19"/>
        <v>1000</v>
      </c>
      <c r="G40" s="39">
        <f t="shared" si="19"/>
        <v>1000</v>
      </c>
      <c r="H40" s="39">
        <f t="shared" si="19"/>
        <v>1000</v>
      </c>
      <c r="I40" s="39">
        <f t="shared" si="19"/>
        <v>1000</v>
      </c>
      <c r="J40" s="39">
        <f t="shared" si="19"/>
        <v>1000</v>
      </c>
      <c r="K40" s="39">
        <f t="shared" si="19"/>
        <v>1000</v>
      </c>
      <c r="L40" s="39">
        <f t="shared" si="19"/>
        <v>1000</v>
      </c>
      <c r="M40" s="39">
        <f t="shared" si="19"/>
        <v>1000</v>
      </c>
      <c r="N40" s="39">
        <f t="shared" si="19"/>
        <v>1000</v>
      </c>
      <c r="O40" s="39">
        <f t="shared" si="19"/>
        <v>1000</v>
      </c>
      <c r="P40" s="39">
        <f t="shared" si="19"/>
        <v>1000</v>
      </c>
      <c r="Q40" s="39">
        <f t="shared" si="19"/>
        <v>1000</v>
      </c>
      <c r="R40" s="39">
        <f t="shared" si="19"/>
        <v>0</v>
      </c>
      <c r="S40" s="39">
        <f t="shared" si="19"/>
        <v>0</v>
      </c>
      <c r="T40" s="39">
        <f t="shared" si="19"/>
        <v>0</v>
      </c>
      <c r="U40" s="39">
        <f t="shared" si="19"/>
        <v>0</v>
      </c>
      <c r="V40" s="39">
        <f t="shared" si="19"/>
        <v>0</v>
      </c>
    </row>
    <row r="41" spans="1:22" x14ac:dyDescent="0.2">
      <c r="A41" s="40" t="s">
        <v>1168</v>
      </c>
      <c r="B41" s="41">
        <v>0</v>
      </c>
      <c r="C41" s="42">
        <f t="shared" ref="C41:V41" si="20">+C40+C39</f>
        <v>598.5</v>
      </c>
      <c r="D41" s="42">
        <f t="shared" si="20"/>
        <v>1773.625</v>
      </c>
      <c r="E41" s="42">
        <f t="shared" si="20"/>
        <v>2257.375</v>
      </c>
      <c r="F41" s="42">
        <f t="shared" si="20"/>
        <v>2356.375</v>
      </c>
      <c r="G41" s="42">
        <f t="shared" si="20"/>
        <v>2458.375</v>
      </c>
      <c r="H41" s="42">
        <f t="shared" si="20"/>
        <v>2556.625</v>
      </c>
      <c r="I41" s="42">
        <f t="shared" si="20"/>
        <v>2556.625</v>
      </c>
      <c r="J41" s="42">
        <f t="shared" si="20"/>
        <v>2556.625</v>
      </c>
      <c r="K41" s="42">
        <f t="shared" si="20"/>
        <v>2556.625</v>
      </c>
      <c r="L41" s="42">
        <f t="shared" si="20"/>
        <v>2556.625</v>
      </c>
      <c r="M41" s="42">
        <f t="shared" si="20"/>
        <v>2907.25</v>
      </c>
      <c r="N41" s="42">
        <f t="shared" si="20"/>
        <v>2907.25</v>
      </c>
      <c r="O41" s="42">
        <f t="shared" si="20"/>
        <v>2907.25</v>
      </c>
      <c r="P41" s="42">
        <f t="shared" si="20"/>
        <v>2907.25</v>
      </c>
      <c r="Q41" s="42">
        <f t="shared" si="20"/>
        <v>2907.25</v>
      </c>
      <c r="R41" s="42">
        <f t="shared" si="20"/>
        <v>2657.25</v>
      </c>
      <c r="S41" s="42">
        <f t="shared" si="20"/>
        <v>2657.25</v>
      </c>
      <c r="T41" s="42">
        <f t="shared" si="20"/>
        <v>2657.25</v>
      </c>
      <c r="U41" s="42">
        <f t="shared" si="20"/>
        <v>2657.25</v>
      </c>
      <c r="V41" s="42">
        <f t="shared" si="20"/>
        <v>2657.25</v>
      </c>
    </row>
    <row r="42" spans="1:22" x14ac:dyDescent="0.2">
      <c r="A42" s="33" t="s">
        <v>1501</v>
      </c>
      <c r="B42" s="38">
        <v>0</v>
      </c>
      <c r="C42" s="39">
        <f t="shared" ref="C42:V42" si="21">+B27-C27</f>
        <v>0</v>
      </c>
      <c r="D42" s="39">
        <f t="shared" si="21"/>
        <v>0</v>
      </c>
      <c r="E42" s="39">
        <f t="shared" si="21"/>
        <v>0</v>
      </c>
      <c r="F42" s="39">
        <f t="shared" si="21"/>
        <v>0</v>
      </c>
      <c r="G42" s="39">
        <f t="shared" si="21"/>
        <v>0</v>
      </c>
      <c r="H42" s="39">
        <f t="shared" si="21"/>
        <v>0</v>
      </c>
      <c r="I42" s="39">
        <f t="shared" si="21"/>
        <v>0</v>
      </c>
      <c r="J42" s="39">
        <f t="shared" si="21"/>
        <v>0</v>
      </c>
      <c r="K42" s="39">
        <f t="shared" si="21"/>
        <v>0</v>
      </c>
      <c r="L42" s="39">
        <f t="shared" si="21"/>
        <v>0</v>
      </c>
      <c r="M42" s="39">
        <f t="shared" si="21"/>
        <v>0</v>
      </c>
      <c r="N42" s="39">
        <f t="shared" si="21"/>
        <v>0</v>
      </c>
      <c r="O42" s="39">
        <f t="shared" si="21"/>
        <v>0</v>
      </c>
      <c r="P42" s="39">
        <f t="shared" si="21"/>
        <v>0</v>
      </c>
      <c r="Q42" s="39">
        <f t="shared" si="21"/>
        <v>0</v>
      </c>
      <c r="R42" s="39">
        <f t="shared" si="21"/>
        <v>0</v>
      </c>
      <c r="S42" s="39">
        <f t="shared" si="21"/>
        <v>0</v>
      </c>
      <c r="T42" s="39">
        <f t="shared" si="21"/>
        <v>0</v>
      </c>
      <c r="U42" s="39">
        <f t="shared" si="21"/>
        <v>0</v>
      </c>
      <c r="V42" s="39">
        <f t="shared" si="21"/>
        <v>0</v>
      </c>
    </row>
    <row r="43" spans="1:22" x14ac:dyDescent="0.2">
      <c r="A43" s="40" t="s">
        <v>1502</v>
      </c>
      <c r="B43" s="41">
        <v>0</v>
      </c>
      <c r="C43" s="42">
        <f t="shared" ref="C43:V43" si="22">+SUM(C41:C42)</f>
        <v>598.5</v>
      </c>
      <c r="D43" s="42">
        <f t="shared" si="22"/>
        <v>1773.625</v>
      </c>
      <c r="E43" s="42">
        <f t="shared" si="22"/>
        <v>2257.375</v>
      </c>
      <c r="F43" s="42">
        <f t="shared" si="22"/>
        <v>2356.375</v>
      </c>
      <c r="G43" s="42">
        <f t="shared" si="22"/>
        <v>2458.375</v>
      </c>
      <c r="H43" s="42">
        <f t="shared" si="22"/>
        <v>2556.625</v>
      </c>
      <c r="I43" s="42">
        <f t="shared" si="22"/>
        <v>2556.625</v>
      </c>
      <c r="J43" s="42">
        <f t="shared" si="22"/>
        <v>2556.625</v>
      </c>
      <c r="K43" s="42">
        <f t="shared" si="22"/>
        <v>2556.625</v>
      </c>
      <c r="L43" s="42">
        <f t="shared" si="22"/>
        <v>2556.625</v>
      </c>
      <c r="M43" s="42">
        <f t="shared" si="22"/>
        <v>2907.25</v>
      </c>
      <c r="N43" s="42">
        <f t="shared" si="22"/>
        <v>2907.25</v>
      </c>
      <c r="O43" s="42">
        <f t="shared" si="22"/>
        <v>2907.25</v>
      </c>
      <c r="P43" s="42">
        <f t="shared" si="22"/>
        <v>2907.25</v>
      </c>
      <c r="Q43" s="42">
        <f t="shared" si="22"/>
        <v>2907.25</v>
      </c>
      <c r="R43" s="42">
        <f t="shared" si="22"/>
        <v>2657.25</v>
      </c>
      <c r="S43" s="42">
        <f t="shared" si="22"/>
        <v>2657.25</v>
      </c>
      <c r="T43" s="42">
        <f t="shared" si="22"/>
        <v>2657.25</v>
      </c>
      <c r="U43" s="42">
        <f t="shared" si="22"/>
        <v>2657.25</v>
      </c>
      <c r="V43" s="42">
        <f t="shared" si="22"/>
        <v>2657.25</v>
      </c>
    </row>
    <row r="44" spans="1:22" x14ac:dyDescent="0.2">
      <c r="A44" s="33" t="s">
        <v>1503</v>
      </c>
      <c r="B44" s="38">
        <f>-B26</f>
        <v>-18700</v>
      </c>
      <c r="C44" s="39">
        <v>0</v>
      </c>
      <c r="D44" s="39">
        <v>0</v>
      </c>
      <c r="E44" s="39">
        <v>0</v>
      </c>
      <c r="F44" s="39">
        <v>0</v>
      </c>
      <c r="G44" s="39">
        <v>0</v>
      </c>
      <c r="H44" s="39">
        <v>0</v>
      </c>
      <c r="I44" s="39">
        <v>0</v>
      </c>
      <c r="J44" s="39">
        <v>0</v>
      </c>
      <c r="K44" s="39">
        <v>0</v>
      </c>
      <c r="L44" s="39">
        <v>0</v>
      </c>
      <c r="M44" s="39">
        <v>0</v>
      </c>
      <c r="N44" s="39">
        <v>0</v>
      </c>
      <c r="O44" s="39">
        <v>0</v>
      </c>
      <c r="P44" s="39">
        <v>0</v>
      </c>
      <c r="Q44" s="39">
        <v>0</v>
      </c>
      <c r="R44" s="39">
        <v>0</v>
      </c>
      <c r="S44" s="39">
        <v>0</v>
      </c>
      <c r="T44" s="39">
        <v>0</v>
      </c>
      <c r="U44" s="39">
        <v>0</v>
      </c>
      <c r="V44" s="39">
        <v>0</v>
      </c>
    </row>
    <row r="45" spans="1:22" x14ac:dyDescent="0.2">
      <c r="A45" s="40" t="s">
        <v>204</v>
      </c>
      <c r="B45" s="41">
        <f t="shared" ref="B45:V45" si="23">+B43+B44</f>
        <v>-18700</v>
      </c>
      <c r="C45" s="42">
        <f t="shared" si="23"/>
        <v>598.5</v>
      </c>
      <c r="D45" s="42">
        <f t="shared" si="23"/>
        <v>1773.625</v>
      </c>
      <c r="E45" s="42">
        <f t="shared" si="23"/>
        <v>2257.375</v>
      </c>
      <c r="F45" s="42">
        <f t="shared" si="23"/>
        <v>2356.375</v>
      </c>
      <c r="G45" s="42">
        <f t="shared" si="23"/>
        <v>2458.375</v>
      </c>
      <c r="H45" s="42">
        <f t="shared" si="23"/>
        <v>2556.625</v>
      </c>
      <c r="I45" s="42">
        <f t="shared" si="23"/>
        <v>2556.625</v>
      </c>
      <c r="J45" s="42">
        <f t="shared" si="23"/>
        <v>2556.625</v>
      </c>
      <c r="K45" s="42">
        <f t="shared" si="23"/>
        <v>2556.625</v>
      </c>
      <c r="L45" s="42">
        <f t="shared" si="23"/>
        <v>2556.625</v>
      </c>
      <c r="M45" s="42">
        <f t="shared" si="23"/>
        <v>2907.25</v>
      </c>
      <c r="N45" s="42">
        <f t="shared" si="23"/>
        <v>2907.25</v>
      </c>
      <c r="O45" s="42">
        <f t="shared" si="23"/>
        <v>2907.25</v>
      </c>
      <c r="P45" s="42">
        <f t="shared" si="23"/>
        <v>2907.25</v>
      </c>
      <c r="Q45" s="42">
        <f t="shared" si="23"/>
        <v>2907.25</v>
      </c>
      <c r="R45" s="42">
        <f t="shared" si="23"/>
        <v>2657.25</v>
      </c>
      <c r="S45" s="42">
        <f t="shared" si="23"/>
        <v>2657.25</v>
      </c>
      <c r="T45" s="42">
        <f t="shared" si="23"/>
        <v>2657.25</v>
      </c>
      <c r="U45" s="42">
        <f t="shared" si="23"/>
        <v>2657.25</v>
      </c>
      <c r="V45" s="42">
        <f t="shared" si="23"/>
        <v>2657.25</v>
      </c>
    </row>
    <row r="46" spans="1:22" ht="15" x14ac:dyDescent="0.2">
      <c r="A46" s="44" t="s">
        <v>1504</v>
      </c>
      <c r="B46" s="41">
        <f t="shared" ref="B46:V46" si="24">-B45</f>
        <v>18700</v>
      </c>
      <c r="C46" s="42">
        <f t="shared" si="24"/>
        <v>-598.5</v>
      </c>
      <c r="D46" s="42">
        <f t="shared" si="24"/>
        <v>-1773.625</v>
      </c>
      <c r="E46" s="42">
        <f t="shared" si="24"/>
        <v>-2257.375</v>
      </c>
      <c r="F46" s="42">
        <f t="shared" si="24"/>
        <v>-2356.375</v>
      </c>
      <c r="G46" s="42">
        <f t="shared" si="24"/>
        <v>-2458.375</v>
      </c>
      <c r="H46" s="42">
        <f t="shared" si="24"/>
        <v>-2556.625</v>
      </c>
      <c r="I46" s="42">
        <f t="shared" si="24"/>
        <v>-2556.625</v>
      </c>
      <c r="J46" s="42">
        <f t="shared" si="24"/>
        <v>-2556.625</v>
      </c>
      <c r="K46" s="42">
        <f t="shared" si="24"/>
        <v>-2556.625</v>
      </c>
      <c r="L46" s="42">
        <f t="shared" si="24"/>
        <v>-2556.625</v>
      </c>
      <c r="M46" s="42">
        <f t="shared" si="24"/>
        <v>-2907.25</v>
      </c>
      <c r="N46" s="42">
        <f t="shared" si="24"/>
        <v>-2907.25</v>
      </c>
      <c r="O46" s="42">
        <f t="shared" si="24"/>
        <v>-2907.25</v>
      </c>
      <c r="P46" s="42">
        <f t="shared" si="24"/>
        <v>-2907.25</v>
      </c>
      <c r="Q46" s="42">
        <f t="shared" si="24"/>
        <v>-2907.25</v>
      </c>
      <c r="R46" s="42">
        <f t="shared" si="24"/>
        <v>-2657.25</v>
      </c>
      <c r="S46" s="42">
        <f t="shared" si="24"/>
        <v>-2657.25</v>
      </c>
      <c r="T46" s="42">
        <f t="shared" si="24"/>
        <v>-2657.25</v>
      </c>
      <c r="U46" s="42">
        <f t="shared" si="24"/>
        <v>-2657.25</v>
      </c>
      <c r="V46" s="42">
        <f t="shared" si="24"/>
        <v>-2657.25</v>
      </c>
    </row>
    <row r="48" spans="1:22" ht="5.25" customHeight="1" x14ac:dyDescent="0.2">
      <c r="D48" s="45"/>
    </row>
    <row r="49" spans="1:22" ht="5.25" customHeight="1" x14ac:dyDescent="0.2"/>
    <row r="50" spans="1:22" x14ac:dyDescent="0.2">
      <c r="A50" s="33" t="s">
        <v>1505</v>
      </c>
      <c r="D50" s="45"/>
    </row>
    <row r="51" spans="1:22" x14ac:dyDescent="0.2">
      <c r="A51" s="33" t="s">
        <v>1506</v>
      </c>
      <c r="B51" s="46">
        <v>2.5000000000000001E-2</v>
      </c>
    </row>
    <row r="52" spans="1:22" x14ac:dyDescent="0.2">
      <c r="D52" s="45"/>
    </row>
    <row r="54" spans="1:22" x14ac:dyDescent="0.2">
      <c r="A54" s="33" t="s">
        <v>1507</v>
      </c>
      <c r="D54" s="45"/>
    </row>
    <row r="57" spans="1:22" x14ac:dyDescent="0.2">
      <c r="A57" s="33" t="s">
        <v>204</v>
      </c>
      <c r="B57" s="47">
        <f t="shared" ref="B57:U57" si="25">B15*(1-$B$20)+B44+B40+B42</f>
        <v>-18700</v>
      </c>
      <c r="C57" s="47">
        <f t="shared" si="25"/>
        <v>1049.5</v>
      </c>
      <c r="D57" s="47">
        <f t="shared" si="25"/>
        <v>2124.25</v>
      </c>
      <c r="E57" s="47">
        <f t="shared" si="25"/>
        <v>2608</v>
      </c>
      <c r="F57" s="47">
        <f t="shared" si="25"/>
        <v>2707</v>
      </c>
      <c r="G57" s="47">
        <f t="shared" si="25"/>
        <v>2809</v>
      </c>
      <c r="H57" s="47">
        <f t="shared" si="25"/>
        <v>2907.25</v>
      </c>
      <c r="I57" s="47">
        <f t="shared" si="25"/>
        <v>2907.25</v>
      </c>
      <c r="J57" s="47">
        <f t="shared" si="25"/>
        <v>2907.25</v>
      </c>
      <c r="K57" s="47">
        <f t="shared" si="25"/>
        <v>2907.25</v>
      </c>
      <c r="L57" s="47">
        <f t="shared" si="25"/>
        <v>2907.25</v>
      </c>
      <c r="M57" s="47">
        <f t="shared" si="25"/>
        <v>2907.25</v>
      </c>
      <c r="N57" s="47">
        <f t="shared" si="25"/>
        <v>2907.25</v>
      </c>
      <c r="O57" s="47">
        <f t="shared" si="25"/>
        <v>2907.25</v>
      </c>
      <c r="P57" s="47">
        <f t="shared" si="25"/>
        <v>2907.25</v>
      </c>
      <c r="Q57" s="47">
        <f t="shared" si="25"/>
        <v>2907.25</v>
      </c>
      <c r="R57" s="47">
        <f t="shared" si="25"/>
        <v>2657.25</v>
      </c>
      <c r="S57" s="47">
        <f t="shared" si="25"/>
        <v>2657.25</v>
      </c>
      <c r="T57" s="47">
        <f t="shared" si="25"/>
        <v>2657.25</v>
      </c>
      <c r="U57" s="47">
        <f t="shared" si="25"/>
        <v>2657.25</v>
      </c>
      <c r="V57" s="47">
        <f>V15*(1-$B$20)+V44+V40+V42+V26</f>
        <v>6357.25</v>
      </c>
    </row>
    <row r="58" spans="1:22" x14ac:dyDescent="0.2">
      <c r="A58" s="33" t="s">
        <v>601</v>
      </c>
      <c r="B58" s="48">
        <v>7.0000000000000007E-2</v>
      </c>
      <c r="D58" s="45"/>
    </row>
    <row r="59" spans="1:22" x14ac:dyDescent="0.2">
      <c r="A59" s="33" t="s">
        <v>399</v>
      </c>
      <c r="B59" s="47">
        <f>NPV(B58,B57:V57)</f>
        <v>9155.9419533374567</v>
      </c>
    </row>
    <row r="60" spans="1:22" x14ac:dyDescent="0.2">
      <c r="B60" s="48"/>
      <c r="D60" s="45"/>
    </row>
    <row r="63" spans="1:22" x14ac:dyDescent="0.2">
      <c r="A63" s="33" t="s">
        <v>1508</v>
      </c>
      <c r="B63" s="39">
        <f>B46-18700</f>
        <v>0</v>
      </c>
      <c r="C63" s="39">
        <f>-C46</f>
        <v>598.5</v>
      </c>
      <c r="D63" s="39">
        <f t="shared" ref="D63:U63" si="26">-D46</f>
        <v>1773.625</v>
      </c>
      <c r="E63" s="39">
        <f t="shared" si="26"/>
        <v>2257.375</v>
      </c>
      <c r="F63" s="39">
        <f t="shared" si="26"/>
        <v>2356.375</v>
      </c>
      <c r="G63" s="39">
        <f t="shared" si="26"/>
        <v>2458.375</v>
      </c>
      <c r="H63" s="39">
        <f t="shared" si="26"/>
        <v>2556.625</v>
      </c>
      <c r="I63" s="39">
        <f t="shared" si="26"/>
        <v>2556.625</v>
      </c>
      <c r="J63" s="39">
        <f t="shared" si="26"/>
        <v>2556.625</v>
      </c>
      <c r="K63" s="39">
        <f t="shared" si="26"/>
        <v>2556.625</v>
      </c>
      <c r="L63" s="39">
        <f t="shared" si="26"/>
        <v>2556.625</v>
      </c>
      <c r="M63" s="39">
        <f t="shared" si="26"/>
        <v>2907.25</v>
      </c>
      <c r="N63" s="39">
        <f t="shared" si="26"/>
        <v>2907.25</v>
      </c>
      <c r="O63" s="39">
        <f t="shared" si="26"/>
        <v>2907.25</v>
      </c>
      <c r="P63" s="39">
        <f t="shared" si="26"/>
        <v>2907.25</v>
      </c>
      <c r="Q63" s="39">
        <f>-Q46-18700</f>
        <v>-15792.75</v>
      </c>
      <c r="R63" s="39">
        <f t="shared" si="26"/>
        <v>2657.25</v>
      </c>
      <c r="S63" s="39">
        <f t="shared" si="26"/>
        <v>2657.25</v>
      </c>
      <c r="T63" s="39">
        <f t="shared" si="26"/>
        <v>2657.25</v>
      </c>
      <c r="U63" s="39">
        <f t="shared" si="26"/>
        <v>2657.25</v>
      </c>
      <c r="V63" s="39">
        <f>-V46+V26</f>
        <v>6357.25</v>
      </c>
    </row>
    <row r="64" spans="1:22" x14ac:dyDescent="0.2">
      <c r="A64" s="33" t="s">
        <v>601</v>
      </c>
      <c r="B64" s="48">
        <v>7.0000000000000007E-2</v>
      </c>
    </row>
    <row r="65" spans="1:22" x14ac:dyDescent="0.2">
      <c r="A65" s="33" t="s">
        <v>399</v>
      </c>
      <c r="B65" s="47">
        <f>NPV(B64,B63:V63)</f>
        <v>17909.033302574306</v>
      </c>
    </row>
    <row r="73" spans="1:22" x14ac:dyDescent="0.2">
      <c r="A73" s="528" t="s">
        <v>1509</v>
      </c>
      <c r="B73" s="528"/>
      <c r="C73" s="528"/>
      <c r="D73" s="528"/>
      <c r="E73" s="528"/>
      <c r="F73" s="528"/>
      <c r="G73" s="528"/>
      <c r="H73" s="528"/>
    </row>
    <row r="75" spans="1:22" x14ac:dyDescent="0.2">
      <c r="A75" s="529"/>
      <c r="B75" s="529"/>
      <c r="C75" s="529"/>
      <c r="D75" s="529"/>
      <c r="E75" s="529"/>
      <c r="F75" s="529"/>
      <c r="G75" s="529"/>
      <c r="H75" s="529"/>
    </row>
    <row r="77" spans="1:22" x14ac:dyDescent="0.2">
      <c r="A77" s="33" t="s">
        <v>1470</v>
      </c>
      <c r="H77" s="35"/>
      <c r="I77" s="35"/>
      <c r="J77" s="35"/>
      <c r="K77" s="35"/>
      <c r="L77" s="35"/>
      <c r="M77" s="35"/>
      <c r="N77" s="35"/>
      <c r="O77" s="35"/>
      <c r="P77" s="35"/>
      <c r="Q77" s="35"/>
      <c r="R77" s="35"/>
      <c r="S77" s="35"/>
      <c r="T77" s="35"/>
      <c r="U77" s="35"/>
      <c r="V77" s="35"/>
    </row>
    <row r="79" spans="1:22" x14ac:dyDescent="0.2">
      <c r="B79" s="35" t="s">
        <v>1471</v>
      </c>
      <c r="C79" s="35" t="s">
        <v>1472</v>
      </c>
      <c r="D79" s="35" t="s">
        <v>1473</v>
      </c>
      <c r="E79" s="35" t="s">
        <v>1474</v>
      </c>
      <c r="F79" s="35" t="s">
        <v>1475</v>
      </c>
      <c r="G79" s="35" t="s">
        <v>1476</v>
      </c>
      <c r="H79" s="35" t="s">
        <v>1477</v>
      </c>
      <c r="I79" s="35" t="s">
        <v>1478</v>
      </c>
      <c r="J79" s="35" t="s">
        <v>1479</v>
      </c>
      <c r="K79" s="35" t="s">
        <v>1480</v>
      </c>
      <c r="L79" s="35" t="s">
        <v>1481</v>
      </c>
      <c r="M79" s="35" t="s">
        <v>1482</v>
      </c>
      <c r="N79" s="35" t="s">
        <v>1483</v>
      </c>
      <c r="O79" s="35" t="s">
        <v>1484</v>
      </c>
      <c r="P79" s="35" t="s">
        <v>1485</v>
      </c>
      <c r="Q79" s="35" t="s">
        <v>1486</v>
      </c>
      <c r="R79" s="35" t="s">
        <v>1487</v>
      </c>
      <c r="S79" s="35" t="s">
        <v>1488</v>
      </c>
      <c r="T79" s="35" t="s">
        <v>1489</v>
      </c>
      <c r="U79" s="35" t="s">
        <v>1490</v>
      </c>
      <c r="V79" s="35" t="s">
        <v>1491</v>
      </c>
    </row>
    <row r="81" spans="1:22" x14ac:dyDescent="0.2">
      <c r="A81" s="33" t="s">
        <v>1181</v>
      </c>
      <c r="B81" s="36">
        <v>0</v>
      </c>
      <c r="C81" s="37">
        <v>3429</v>
      </c>
      <c r="D81" s="37">
        <v>5988</v>
      </c>
      <c r="E81" s="37">
        <v>6800</v>
      </c>
      <c r="F81" s="37">
        <v>7088</v>
      </c>
      <c r="G81" s="37">
        <v>7390</v>
      </c>
      <c r="H81" s="37">
        <v>7635</v>
      </c>
      <c r="I81" s="37">
        <f>H81</f>
        <v>7635</v>
      </c>
      <c r="J81" s="37">
        <f t="shared" ref="J81:V81" si="27">I81</f>
        <v>7635</v>
      </c>
      <c r="K81" s="37">
        <f t="shared" si="27"/>
        <v>7635</v>
      </c>
      <c r="L81" s="37">
        <f t="shared" si="27"/>
        <v>7635</v>
      </c>
      <c r="M81" s="37">
        <f t="shared" si="27"/>
        <v>7635</v>
      </c>
      <c r="N81" s="37">
        <f t="shared" si="27"/>
        <v>7635</v>
      </c>
      <c r="O81" s="37">
        <f t="shared" si="27"/>
        <v>7635</v>
      </c>
      <c r="P81" s="37">
        <f t="shared" si="27"/>
        <v>7635</v>
      </c>
      <c r="Q81" s="37">
        <f t="shared" si="27"/>
        <v>7635</v>
      </c>
      <c r="R81" s="37">
        <f t="shared" si="27"/>
        <v>7635</v>
      </c>
      <c r="S81" s="37">
        <f t="shared" si="27"/>
        <v>7635</v>
      </c>
      <c r="T81" s="37">
        <f t="shared" si="27"/>
        <v>7635</v>
      </c>
      <c r="U81" s="37">
        <f t="shared" si="27"/>
        <v>7635</v>
      </c>
      <c r="V81" s="37">
        <f t="shared" si="27"/>
        <v>7635</v>
      </c>
    </row>
    <row r="82" spans="1:22" x14ac:dyDescent="0.2">
      <c r="A82" s="33" t="s">
        <v>1158</v>
      </c>
      <c r="B82" s="38">
        <v>0</v>
      </c>
      <c r="C82" s="39">
        <v>-1484</v>
      </c>
      <c r="D82" s="39">
        <v>-2551</v>
      </c>
      <c r="E82" s="39">
        <v>-2912</v>
      </c>
      <c r="F82" s="39">
        <v>-3047</v>
      </c>
      <c r="G82" s="39">
        <v>-3190</v>
      </c>
      <c r="H82" s="39">
        <v>-3301</v>
      </c>
      <c r="I82" s="39">
        <f>H82</f>
        <v>-3301</v>
      </c>
      <c r="J82" s="39">
        <f t="shared" ref="J82:V82" si="28">I82</f>
        <v>-3301</v>
      </c>
      <c r="K82" s="39">
        <f t="shared" si="28"/>
        <v>-3301</v>
      </c>
      <c r="L82" s="39">
        <f t="shared" si="28"/>
        <v>-3301</v>
      </c>
      <c r="M82" s="39">
        <f t="shared" si="28"/>
        <v>-3301</v>
      </c>
      <c r="N82" s="39">
        <f t="shared" si="28"/>
        <v>-3301</v>
      </c>
      <c r="O82" s="39">
        <f t="shared" si="28"/>
        <v>-3301</v>
      </c>
      <c r="P82" s="39">
        <f t="shared" si="28"/>
        <v>-3301</v>
      </c>
      <c r="Q82" s="39">
        <f t="shared" si="28"/>
        <v>-3301</v>
      </c>
      <c r="R82" s="39">
        <f t="shared" si="28"/>
        <v>-3301</v>
      </c>
      <c r="S82" s="39">
        <f t="shared" si="28"/>
        <v>-3301</v>
      </c>
      <c r="T82" s="39">
        <f t="shared" si="28"/>
        <v>-3301</v>
      </c>
      <c r="U82" s="39">
        <f t="shared" si="28"/>
        <v>-3301</v>
      </c>
      <c r="V82" s="39">
        <f t="shared" si="28"/>
        <v>-3301</v>
      </c>
    </row>
    <row r="83" spans="1:22" x14ac:dyDescent="0.2">
      <c r="A83" s="33" t="s">
        <v>55</v>
      </c>
      <c r="B83" s="38">
        <v>0</v>
      </c>
      <c r="C83" s="39">
        <v>-667</v>
      </c>
      <c r="D83" s="39">
        <v>-887</v>
      </c>
      <c r="E83" s="39">
        <v>-913</v>
      </c>
      <c r="F83" s="39">
        <v>-941</v>
      </c>
      <c r="G83" s="39">
        <v>-969</v>
      </c>
      <c r="H83" s="39">
        <v>-988</v>
      </c>
      <c r="I83" s="39">
        <f>H83</f>
        <v>-988</v>
      </c>
      <c r="J83" s="39">
        <f t="shared" ref="J83:V83" si="29">I83</f>
        <v>-988</v>
      </c>
      <c r="K83" s="39">
        <f t="shared" si="29"/>
        <v>-988</v>
      </c>
      <c r="L83" s="39">
        <f t="shared" si="29"/>
        <v>-988</v>
      </c>
      <c r="M83" s="39">
        <f t="shared" si="29"/>
        <v>-988</v>
      </c>
      <c r="N83" s="39">
        <f t="shared" si="29"/>
        <v>-988</v>
      </c>
      <c r="O83" s="39">
        <f t="shared" si="29"/>
        <v>-988</v>
      </c>
      <c r="P83" s="39">
        <f t="shared" si="29"/>
        <v>-988</v>
      </c>
      <c r="Q83" s="39">
        <f t="shared" si="29"/>
        <v>-988</v>
      </c>
      <c r="R83" s="39">
        <f t="shared" si="29"/>
        <v>-988</v>
      </c>
      <c r="S83" s="39">
        <f t="shared" si="29"/>
        <v>-988</v>
      </c>
      <c r="T83" s="39">
        <f t="shared" si="29"/>
        <v>-988</v>
      </c>
      <c r="U83" s="39">
        <f t="shared" si="29"/>
        <v>-988</v>
      </c>
      <c r="V83" s="39">
        <f t="shared" si="29"/>
        <v>-988</v>
      </c>
    </row>
    <row r="84" spans="1:22" x14ac:dyDescent="0.2">
      <c r="A84" s="33" t="s">
        <v>1492</v>
      </c>
      <c r="B84" s="38">
        <v>0</v>
      </c>
      <c r="C84" s="39">
        <f>-1152+667+273</f>
        <v>-212</v>
      </c>
      <c r="D84" s="39">
        <v>-51</v>
      </c>
      <c r="E84" s="39">
        <v>169</v>
      </c>
      <c r="F84" s="39">
        <v>176</v>
      </c>
      <c r="G84" s="39">
        <v>181</v>
      </c>
      <c r="H84" s="39">
        <v>197</v>
      </c>
      <c r="I84" s="39">
        <f>H84</f>
        <v>197</v>
      </c>
      <c r="J84" s="39">
        <f t="shared" ref="J84:V84" si="30">I84</f>
        <v>197</v>
      </c>
      <c r="K84" s="39">
        <f t="shared" si="30"/>
        <v>197</v>
      </c>
      <c r="L84" s="39">
        <f t="shared" si="30"/>
        <v>197</v>
      </c>
      <c r="M84" s="39">
        <f t="shared" si="30"/>
        <v>197</v>
      </c>
      <c r="N84" s="39">
        <f t="shared" si="30"/>
        <v>197</v>
      </c>
      <c r="O84" s="39">
        <f t="shared" si="30"/>
        <v>197</v>
      </c>
      <c r="P84" s="39">
        <f t="shared" si="30"/>
        <v>197</v>
      </c>
      <c r="Q84" s="39">
        <f t="shared" si="30"/>
        <v>197</v>
      </c>
      <c r="R84" s="39">
        <f t="shared" si="30"/>
        <v>197</v>
      </c>
      <c r="S84" s="39">
        <f t="shared" si="30"/>
        <v>197</v>
      </c>
      <c r="T84" s="39">
        <f t="shared" si="30"/>
        <v>197</v>
      </c>
      <c r="U84" s="39">
        <f t="shared" si="30"/>
        <v>197</v>
      </c>
      <c r="V84" s="39">
        <f t="shared" si="30"/>
        <v>197</v>
      </c>
    </row>
    <row r="85" spans="1:22" x14ac:dyDescent="0.2">
      <c r="A85" s="33" t="s">
        <v>1493</v>
      </c>
      <c r="B85" s="38">
        <v>0</v>
      </c>
      <c r="C85" s="39">
        <v>-1350</v>
      </c>
      <c r="D85" s="39">
        <v>-1350</v>
      </c>
      <c r="E85" s="39">
        <v>-1350</v>
      </c>
      <c r="F85" s="39">
        <v>-1350</v>
      </c>
      <c r="G85" s="39">
        <v>-1350</v>
      </c>
      <c r="H85" s="39">
        <v>-1350</v>
      </c>
      <c r="I85" s="39">
        <v>-1350</v>
      </c>
      <c r="J85" s="39">
        <v>-1350</v>
      </c>
      <c r="K85" s="39">
        <v>-1350</v>
      </c>
      <c r="L85" s="39">
        <v>-1350</v>
      </c>
      <c r="M85" s="39">
        <v>-1350</v>
      </c>
      <c r="N85" s="39">
        <v>-1350</v>
      </c>
      <c r="O85" s="39">
        <v>-1350</v>
      </c>
      <c r="P85" s="39">
        <v>-1350</v>
      </c>
      <c r="Q85" s="39">
        <v>-1350</v>
      </c>
      <c r="R85" s="39">
        <v>-1350</v>
      </c>
      <c r="S85" s="39">
        <v>-1350</v>
      </c>
      <c r="T85" s="39">
        <v>-1350</v>
      </c>
      <c r="U85" s="39">
        <v>-1350</v>
      </c>
      <c r="V85" s="39">
        <v>-1350</v>
      </c>
    </row>
    <row r="86" spans="1:22" x14ac:dyDescent="0.2">
      <c r="A86" s="40" t="s">
        <v>1114</v>
      </c>
      <c r="B86" s="41">
        <v>0</v>
      </c>
      <c r="C86" s="42">
        <f t="shared" ref="C86:V86" si="31">+SUM(C81:C85)</f>
        <v>-284</v>
      </c>
      <c r="D86" s="42">
        <f t="shared" si="31"/>
        <v>1149</v>
      </c>
      <c r="E86" s="42">
        <f t="shared" si="31"/>
        <v>1794</v>
      </c>
      <c r="F86" s="42">
        <f t="shared" si="31"/>
        <v>1926</v>
      </c>
      <c r="G86" s="42">
        <f t="shared" si="31"/>
        <v>2062</v>
      </c>
      <c r="H86" s="42">
        <f t="shared" si="31"/>
        <v>2193</v>
      </c>
      <c r="I86" s="42">
        <f t="shared" si="31"/>
        <v>2193</v>
      </c>
      <c r="J86" s="42">
        <f t="shared" si="31"/>
        <v>2193</v>
      </c>
      <c r="K86" s="42">
        <f t="shared" si="31"/>
        <v>2193</v>
      </c>
      <c r="L86" s="42">
        <f t="shared" si="31"/>
        <v>2193</v>
      </c>
      <c r="M86" s="42">
        <f t="shared" si="31"/>
        <v>2193</v>
      </c>
      <c r="N86" s="42">
        <f t="shared" si="31"/>
        <v>2193</v>
      </c>
      <c r="O86" s="42">
        <f t="shared" si="31"/>
        <v>2193</v>
      </c>
      <c r="P86" s="42">
        <f t="shared" si="31"/>
        <v>2193</v>
      </c>
      <c r="Q86" s="42">
        <f t="shared" si="31"/>
        <v>2193</v>
      </c>
      <c r="R86" s="42">
        <f t="shared" si="31"/>
        <v>2193</v>
      </c>
      <c r="S86" s="42">
        <f t="shared" si="31"/>
        <v>2193</v>
      </c>
      <c r="T86" s="42">
        <f t="shared" si="31"/>
        <v>2193</v>
      </c>
      <c r="U86" s="42">
        <f t="shared" si="31"/>
        <v>2193</v>
      </c>
      <c r="V86" s="42">
        <f t="shared" si="31"/>
        <v>2193</v>
      </c>
    </row>
    <row r="87" spans="1:22" x14ac:dyDescent="0.2">
      <c r="A87" s="33" t="s">
        <v>986</v>
      </c>
      <c r="B87" s="38">
        <v>0</v>
      </c>
      <c r="C87" s="39">
        <v>0</v>
      </c>
      <c r="D87" s="39">
        <f>C87</f>
        <v>0</v>
      </c>
      <c r="E87" s="39">
        <f t="shared" ref="E87:V87" si="32">D87</f>
        <v>0</v>
      </c>
      <c r="F87" s="39">
        <f t="shared" si="32"/>
        <v>0</v>
      </c>
      <c r="G87" s="39">
        <f t="shared" si="32"/>
        <v>0</v>
      </c>
      <c r="H87" s="39">
        <f t="shared" si="32"/>
        <v>0</v>
      </c>
      <c r="I87" s="39">
        <f t="shared" si="32"/>
        <v>0</v>
      </c>
      <c r="J87" s="39">
        <f t="shared" si="32"/>
        <v>0</v>
      </c>
      <c r="K87" s="39">
        <f t="shared" si="32"/>
        <v>0</v>
      </c>
      <c r="L87" s="39">
        <f t="shared" si="32"/>
        <v>0</v>
      </c>
      <c r="M87" s="39">
        <f t="shared" si="32"/>
        <v>0</v>
      </c>
      <c r="N87" s="39">
        <f t="shared" si="32"/>
        <v>0</v>
      </c>
      <c r="O87" s="39">
        <f t="shared" si="32"/>
        <v>0</v>
      </c>
      <c r="P87" s="39">
        <f t="shared" si="32"/>
        <v>0</v>
      </c>
      <c r="Q87" s="39">
        <f t="shared" si="32"/>
        <v>0</v>
      </c>
      <c r="R87" s="39">
        <v>0</v>
      </c>
      <c r="S87" s="39">
        <f t="shared" si="32"/>
        <v>0</v>
      </c>
      <c r="T87" s="39">
        <f t="shared" si="32"/>
        <v>0</v>
      </c>
      <c r="U87" s="39">
        <f t="shared" si="32"/>
        <v>0</v>
      </c>
      <c r="V87" s="39">
        <f t="shared" si="32"/>
        <v>0</v>
      </c>
    </row>
    <row r="88" spans="1:22" x14ac:dyDescent="0.2">
      <c r="A88" s="40" t="s">
        <v>1014</v>
      </c>
      <c r="B88" s="41">
        <v>0</v>
      </c>
      <c r="C88" s="42">
        <f t="shared" ref="C88:V88" si="33">+C86+C87</f>
        <v>-284</v>
      </c>
      <c r="D88" s="42">
        <f t="shared" si="33"/>
        <v>1149</v>
      </c>
      <c r="E88" s="42">
        <f t="shared" si="33"/>
        <v>1794</v>
      </c>
      <c r="F88" s="42">
        <f t="shared" si="33"/>
        <v>1926</v>
      </c>
      <c r="G88" s="42">
        <f t="shared" si="33"/>
        <v>2062</v>
      </c>
      <c r="H88" s="42">
        <f t="shared" si="33"/>
        <v>2193</v>
      </c>
      <c r="I88" s="42">
        <f t="shared" si="33"/>
        <v>2193</v>
      </c>
      <c r="J88" s="42">
        <f t="shared" si="33"/>
        <v>2193</v>
      </c>
      <c r="K88" s="42">
        <f t="shared" si="33"/>
        <v>2193</v>
      </c>
      <c r="L88" s="42">
        <f t="shared" si="33"/>
        <v>2193</v>
      </c>
      <c r="M88" s="42">
        <f t="shared" si="33"/>
        <v>2193</v>
      </c>
      <c r="N88" s="42">
        <f t="shared" si="33"/>
        <v>2193</v>
      </c>
      <c r="O88" s="42">
        <f t="shared" si="33"/>
        <v>2193</v>
      </c>
      <c r="P88" s="42">
        <f t="shared" si="33"/>
        <v>2193</v>
      </c>
      <c r="Q88" s="42">
        <f t="shared" si="33"/>
        <v>2193</v>
      </c>
      <c r="R88" s="42">
        <f t="shared" si="33"/>
        <v>2193</v>
      </c>
      <c r="S88" s="42">
        <f t="shared" si="33"/>
        <v>2193</v>
      </c>
      <c r="T88" s="42">
        <f t="shared" si="33"/>
        <v>2193</v>
      </c>
      <c r="U88" s="42">
        <f t="shared" si="33"/>
        <v>2193</v>
      </c>
      <c r="V88" s="42">
        <f t="shared" si="33"/>
        <v>2193</v>
      </c>
    </row>
    <row r="89" spans="1:22" x14ac:dyDescent="0.2">
      <c r="A89" s="33" t="s">
        <v>1185</v>
      </c>
      <c r="B89" s="38">
        <v>0</v>
      </c>
      <c r="C89" s="39">
        <f t="shared" ref="C89:L89" si="34">-$B$30*$B$51</f>
        <v>-467.5</v>
      </c>
      <c r="D89" s="39">
        <f t="shared" si="34"/>
        <v>-467.5</v>
      </c>
      <c r="E89" s="39">
        <f t="shared" si="34"/>
        <v>-467.5</v>
      </c>
      <c r="F89" s="39">
        <f t="shared" si="34"/>
        <v>-467.5</v>
      </c>
      <c r="G89" s="39">
        <f t="shared" si="34"/>
        <v>-467.5</v>
      </c>
      <c r="H89" s="39">
        <f t="shared" si="34"/>
        <v>-467.5</v>
      </c>
      <c r="I89" s="39">
        <f t="shared" si="34"/>
        <v>-467.5</v>
      </c>
      <c r="J89" s="39">
        <f t="shared" si="34"/>
        <v>-467.5</v>
      </c>
      <c r="K89" s="39">
        <f t="shared" si="34"/>
        <v>-467.5</v>
      </c>
      <c r="L89" s="39">
        <f t="shared" si="34"/>
        <v>-467.5</v>
      </c>
      <c r="M89" s="39">
        <v>0</v>
      </c>
      <c r="N89" s="39">
        <v>0</v>
      </c>
      <c r="O89" s="39">
        <v>0</v>
      </c>
      <c r="P89" s="39">
        <v>0</v>
      </c>
      <c r="Q89" s="39">
        <v>0</v>
      </c>
      <c r="R89" s="39">
        <v>0</v>
      </c>
      <c r="S89" s="39">
        <v>0</v>
      </c>
      <c r="T89" s="39">
        <v>0</v>
      </c>
      <c r="U89" s="39">
        <v>0</v>
      </c>
      <c r="V89" s="39">
        <v>0</v>
      </c>
    </row>
    <row r="90" spans="1:22" x14ac:dyDescent="0.2">
      <c r="A90" s="33" t="s">
        <v>1494</v>
      </c>
      <c r="B90" s="38">
        <v>0</v>
      </c>
      <c r="C90" s="39">
        <f>+IF((C88+C89)&lt;0,0,(C88+C89)*$B$20)</f>
        <v>0</v>
      </c>
      <c r="D90" s="39">
        <f t="shared" ref="D90:V90" si="35">+IF((D88+D89)&lt;0,0,-(D88+D89)*$B$20)</f>
        <v>-170.375</v>
      </c>
      <c r="E90" s="39">
        <f t="shared" si="35"/>
        <v>-331.625</v>
      </c>
      <c r="F90" s="39">
        <f t="shared" si="35"/>
        <v>-364.625</v>
      </c>
      <c r="G90" s="39">
        <f t="shared" si="35"/>
        <v>-398.625</v>
      </c>
      <c r="H90" s="39">
        <f t="shared" si="35"/>
        <v>-431.375</v>
      </c>
      <c r="I90" s="39">
        <f t="shared" si="35"/>
        <v>-431.375</v>
      </c>
      <c r="J90" s="39">
        <f t="shared" si="35"/>
        <v>-431.375</v>
      </c>
      <c r="K90" s="39">
        <f t="shared" si="35"/>
        <v>-431.375</v>
      </c>
      <c r="L90" s="39">
        <f t="shared" si="35"/>
        <v>-431.375</v>
      </c>
      <c r="M90" s="39">
        <f t="shared" si="35"/>
        <v>-548.25</v>
      </c>
      <c r="N90" s="39">
        <f t="shared" si="35"/>
        <v>-548.25</v>
      </c>
      <c r="O90" s="39">
        <f t="shared" si="35"/>
        <v>-548.25</v>
      </c>
      <c r="P90" s="39">
        <f t="shared" si="35"/>
        <v>-548.25</v>
      </c>
      <c r="Q90" s="39">
        <f t="shared" si="35"/>
        <v>-548.25</v>
      </c>
      <c r="R90" s="39">
        <f t="shared" si="35"/>
        <v>-548.25</v>
      </c>
      <c r="S90" s="39">
        <f t="shared" si="35"/>
        <v>-548.25</v>
      </c>
      <c r="T90" s="39">
        <f t="shared" si="35"/>
        <v>-548.25</v>
      </c>
      <c r="U90" s="39">
        <f t="shared" si="35"/>
        <v>-548.25</v>
      </c>
      <c r="V90" s="39">
        <f t="shared" si="35"/>
        <v>-548.25</v>
      </c>
    </row>
    <row r="91" spans="1:22" x14ac:dyDescent="0.2">
      <c r="A91" s="40" t="s">
        <v>1495</v>
      </c>
      <c r="B91" s="41">
        <v>0</v>
      </c>
      <c r="C91" s="42">
        <f t="shared" ref="C91:V91" si="36">+SUM(C88:C90)</f>
        <v>-751.5</v>
      </c>
      <c r="D91" s="42">
        <f t="shared" si="36"/>
        <v>511.125</v>
      </c>
      <c r="E91" s="42">
        <f t="shared" si="36"/>
        <v>994.875</v>
      </c>
      <c r="F91" s="42">
        <f t="shared" si="36"/>
        <v>1093.875</v>
      </c>
      <c r="G91" s="42">
        <f t="shared" si="36"/>
        <v>1195.875</v>
      </c>
      <c r="H91" s="42">
        <f t="shared" si="36"/>
        <v>1294.125</v>
      </c>
      <c r="I91" s="42">
        <f t="shared" si="36"/>
        <v>1294.125</v>
      </c>
      <c r="J91" s="42">
        <f t="shared" si="36"/>
        <v>1294.125</v>
      </c>
      <c r="K91" s="42">
        <f t="shared" si="36"/>
        <v>1294.125</v>
      </c>
      <c r="L91" s="42">
        <f t="shared" si="36"/>
        <v>1294.125</v>
      </c>
      <c r="M91" s="42">
        <f t="shared" si="36"/>
        <v>1644.75</v>
      </c>
      <c r="N91" s="42">
        <f t="shared" si="36"/>
        <v>1644.75</v>
      </c>
      <c r="O91" s="42">
        <f t="shared" si="36"/>
        <v>1644.75</v>
      </c>
      <c r="P91" s="42">
        <f t="shared" si="36"/>
        <v>1644.75</v>
      </c>
      <c r="Q91" s="42">
        <f t="shared" si="36"/>
        <v>1644.75</v>
      </c>
      <c r="R91" s="42">
        <f t="shared" si="36"/>
        <v>1644.75</v>
      </c>
      <c r="S91" s="42">
        <f t="shared" si="36"/>
        <v>1644.75</v>
      </c>
      <c r="T91" s="42">
        <f t="shared" si="36"/>
        <v>1644.75</v>
      </c>
      <c r="U91" s="42">
        <f t="shared" si="36"/>
        <v>1644.75</v>
      </c>
      <c r="V91" s="42">
        <f t="shared" si="36"/>
        <v>1644.75</v>
      </c>
    </row>
    <row r="93" spans="1:22" x14ac:dyDescent="0.2">
      <c r="A93" s="33" t="s">
        <v>632</v>
      </c>
      <c r="B93" s="43">
        <v>0.35</v>
      </c>
    </row>
    <row r="97" spans="1:22" x14ac:dyDescent="0.2">
      <c r="A97" s="33" t="s">
        <v>1496</v>
      </c>
      <c r="B97" s="35" t="str">
        <f t="shared" ref="B97:V97" si="37">B79</f>
        <v>N</v>
      </c>
      <c r="C97" s="35" t="str">
        <f t="shared" si="37"/>
        <v>N+1</v>
      </c>
      <c r="D97" s="35" t="str">
        <f t="shared" si="37"/>
        <v>N+2</v>
      </c>
      <c r="E97" s="35" t="str">
        <f t="shared" si="37"/>
        <v>N+3</v>
      </c>
      <c r="F97" s="35" t="str">
        <f t="shared" si="37"/>
        <v>N+4</v>
      </c>
      <c r="G97" s="35" t="str">
        <f t="shared" si="37"/>
        <v>N+5</v>
      </c>
      <c r="H97" s="35" t="str">
        <f t="shared" si="37"/>
        <v>N+6</v>
      </c>
      <c r="I97" s="35" t="str">
        <f t="shared" si="37"/>
        <v>N+7</v>
      </c>
      <c r="J97" s="35" t="str">
        <f t="shared" si="37"/>
        <v>N+8</v>
      </c>
      <c r="K97" s="35" t="str">
        <f t="shared" si="37"/>
        <v>N+9</v>
      </c>
      <c r="L97" s="35" t="str">
        <f t="shared" si="37"/>
        <v>N+10</v>
      </c>
      <c r="M97" s="35" t="str">
        <f t="shared" si="37"/>
        <v>N+11</v>
      </c>
      <c r="N97" s="35" t="str">
        <f t="shared" si="37"/>
        <v>N+12</v>
      </c>
      <c r="O97" s="35" t="str">
        <f t="shared" si="37"/>
        <v>N+13</v>
      </c>
      <c r="P97" s="35" t="str">
        <f t="shared" si="37"/>
        <v>N+14</v>
      </c>
      <c r="Q97" s="35" t="str">
        <f t="shared" si="37"/>
        <v>N+15</v>
      </c>
      <c r="R97" s="35" t="str">
        <f t="shared" si="37"/>
        <v>N+16</v>
      </c>
      <c r="S97" s="35" t="str">
        <f t="shared" si="37"/>
        <v>N+17</v>
      </c>
      <c r="T97" s="35" t="str">
        <f t="shared" si="37"/>
        <v>N+18</v>
      </c>
      <c r="U97" s="35" t="str">
        <f t="shared" si="37"/>
        <v>N+19</v>
      </c>
      <c r="V97" s="35" t="str">
        <f t="shared" si="37"/>
        <v>N+20</v>
      </c>
    </row>
    <row r="99" spans="1:22" x14ac:dyDescent="0.2">
      <c r="A99" s="33" t="s">
        <v>1497</v>
      </c>
      <c r="B99" s="36">
        <v>0</v>
      </c>
      <c r="C99" s="37">
        <f t="shared" ref="C99:V99" si="38">+B99+C87</f>
        <v>0</v>
      </c>
      <c r="D99" s="37">
        <f t="shared" si="38"/>
        <v>0</v>
      </c>
      <c r="E99" s="37">
        <f t="shared" si="38"/>
        <v>0</v>
      </c>
      <c r="F99" s="37">
        <f t="shared" si="38"/>
        <v>0</v>
      </c>
      <c r="G99" s="37">
        <f t="shared" si="38"/>
        <v>0</v>
      </c>
      <c r="H99" s="37">
        <f t="shared" si="38"/>
        <v>0</v>
      </c>
      <c r="I99" s="37">
        <f t="shared" si="38"/>
        <v>0</v>
      </c>
      <c r="J99" s="37">
        <f t="shared" si="38"/>
        <v>0</v>
      </c>
      <c r="K99" s="37">
        <f t="shared" si="38"/>
        <v>0</v>
      </c>
      <c r="L99" s="37">
        <f t="shared" si="38"/>
        <v>0</v>
      </c>
      <c r="M99" s="37">
        <f t="shared" si="38"/>
        <v>0</v>
      </c>
      <c r="N99" s="37">
        <f t="shared" si="38"/>
        <v>0</v>
      </c>
      <c r="O99" s="37">
        <f t="shared" si="38"/>
        <v>0</v>
      </c>
      <c r="P99" s="37">
        <f t="shared" si="38"/>
        <v>0</v>
      </c>
      <c r="Q99" s="37">
        <f t="shared" si="38"/>
        <v>0</v>
      </c>
      <c r="R99" s="37">
        <f t="shared" si="38"/>
        <v>0</v>
      </c>
      <c r="S99" s="37">
        <f t="shared" si="38"/>
        <v>0</v>
      </c>
      <c r="T99" s="37">
        <f t="shared" si="38"/>
        <v>0</v>
      </c>
      <c r="U99" s="37">
        <f t="shared" si="38"/>
        <v>0</v>
      </c>
      <c r="V99" s="37">
        <f t="shared" si="38"/>
        <v>0</v>
      </c>
    </row>
    <row r="100" spans="1:22" x14ac:dyDescent="0.2">
      <c r="A100" s="33" t="s">
        <v>1236</v>
      </c>
      <c r="B100" s="38">
        <v>0</v>
      </c>
      <c r="C100" s="39">
        <v>0</v>
      </c>
      <c r="D100" s="39">
        <v>0</v>
      </c>
      <c r="E100" s="39">
        <v>0</v>
      </c>
      <c r="F100" s="39">
        <v>0</v>
      </c>
      <c r="G100" s="39">
        <v>0</v>
      </c>
      <c r="H100" s="39">
        <v>0</v>
      </c>
      <c r="I100" s="39">
        <v>0</v>
      </c>
      <c r="J100" s="39">
        <v>0</v>
      </c>
      <c r="K100" s="39">
        <v>0</v>
      </c>
      <c r="L100" s="39">
        <v>0</v>
      </c>
      <c r="M100" s="39">
        <v>0</v>
      </c>
      <c r="N100" s="39">
        <v>0</v>
      </c>
      <c r="O100" s="39">
        <v>0</v>
      </c>
      <c r="P100" s="39">
        <v>0</v>
      </c>
      <c r="Q100" s="39">
        <v>0</v>
      </c>
      <c r="R100" s="39">
        <v>0</v>
      </c>
      <c r="S100" s="39">
        <v>0</v>
      </c>
      <c r="T100" s="39">
        <v>0</v>
      </c>
      <c r="U100" s="39">
        <v>0</v>
      </c>
      <c r="V100" s="39">
        <v>0</v>
      </c>
    </row>
    <row r="101" spans="1:22" x14ac:dyDescent="0.2">
      <c r="A101" s="40" t="s">
        <v>190</v>
      </c>
      <c r="B101" s="41">
        <f t="shared" ref="B101:V101" si="39">+B100+B99</f>
        <v>0</v>
      </c>
      <c r="C101" s="42">
        <f t="shared" si="39"/>
        <v>0</v>
      </c>
      <c r="D101" s="42">
        <f t="shared" si="39"/>
        <v>0</v>
      </c>
      <c r="E101" s="42">
        <f t="shared" si="39"/>
        <v>0</v>
      </c>
      <c r="F101" s="42">
        <f t="shared" si="39"/>
        <v>0</v>
      </c>
      <c r="G101" s="42">
        <f t="shared" si="39"/>
        <v>0</v>
      </c>
      <c r="H101" s="42">
        <f t="shared" si="39"/>
        <v>0</v>
      </c>
      <c r="I101" s="42">
        <f t="shared" si="39"/>
        <v>0</v>
      </c>
      <c r="J101" s="42">
        <f t="shared" si="39"/>
        <v>0</v>
      </c>
      <c r="K101" s="42">
        <f t="shared" si="39"/>
        <v>0</v>
      </c>
      <c r="L101" s="42">
        <f t="shared" si="39"/>
        <v>0</v>
      </c>
      <c r="M101" s="42">
        <f t="shared" si="39"/>
        <v>0</v>
      </c>
      <c r="N101" s="42">
        <f t="shared" si="39"/>
        <v>0</v>
      </c>
      <c r="O101" s="42">
        <f t="shared" si="39"/>
        <v>0</v>
      </c>
      <c r="P101" s="42">
        <f t="shared" si="39"/>
        <v>0</v>
      </c>
      <c r="Q101" s="42">
        <f t="shared" si="39"/>
        <v>0</v>
      </c>
      <c r="R101" s="42">
        <f t="shared" si="39"/>
        <v>0</v>
      </c>
      <c r="S101" s="42">
        <f t="shared" si="39"/>
        <v>0</v>
      </c>
      <c r="T101" s="42">
        <f t="shared" si="39"/>
        <v>0</v>
      </c>
      <c r="U101" s="42">
        <f t="shared" si="39"/>
        <v>0</v>
      </c>
      <c r="V101" s="42">
        <f t="shared" si="39"/>
        <v>0</v>
      </c>
    </row>
    <row r="102" spans="1:22" x14ac:dyDescent="0.2">
      <c r="A102" s="33" t="s">
        <v>1199</v>
      </c>
      <c r="B102" s="38">
        <v>0</v>
      </c>
      <c r="C102" s="39">
        <f t="shared" ref="C102:V102" si="40">+B102+C91</f>
        <v>-751.5</v>
      </c>
      <c r="D102" s="39">
        <f t="shared" si="40"/>
        <v>-240.375</v>
      </c>
      <c r="E102" s="39">
        <f t="shared" si="40"/>
        <v>754.5</v>
      </c>
      <c r="F102" s="39">
        <f t="shared" si="40"/>
        <v>1848.375</v>
      </c>
      <c r="G102" s="39">
        <f t="shared" si="40"/>
        <v>3044.25</v>
      </c>
      <c r="H102" s="39">
        <f t="shared" si="40"/>
        <v>4338.375</v>
      </c>
      <c r="I102" s="39">
        <f t="shared" si="40"/>
        <v>5632.5</v>
      </c>
      <c r="J102" s="39">
        <f t="shared" si="40"/>
        <v>6926.625</v>
      </c>
      <c r="K102" s="39">
        <f t="shared" si="40"/>
        <v>8220.75</v>
      </c>
      <c r="L102" s="39">
        <f t="shared" si="40"/>
        <v>9514.875</v>
      </c>
      <c r="M102" s="39">
        <f t="shared" si="40"/>
        <v>11159.625</v>
      </c>
      <c r="N102" s="39">
        <f t="shared" si="40"/>
        <v>12804.375</v>
      </c>
      <c r="O102" s="39">
        <f t="shared" si="40"/>
        <v>14449.125</v>
      </c>
      <c r="P102" s="39">
        <f t="shared" si="40"/>
        <v>16093.875</v>
      </c>
      <c r="Q102" s="39">
        <f t="shared" si="40"/>
        <v>17738.625</v>
      </c>
      <c r="R102" s="39">
        <f t="shared" si="40"/>
        <v>19383.375</v>
      </c>
      <c r="S102" s="39">
        <f t="shared" si="40"/>
        <v>21028.125</v>
      </c>
      <c r="T102" s="39">
        <f t="shared" si="40"/>
        <v>22672.875</v>
      </c>
      <c r="U102" s="39">
        <f t="shared" si="40"/>
        <v>24317.625</v>
      </c>
      <c r="V102" s="39">
        <f t="shared" si="40"/>
        <v>25962.375</v>
      </c>
    </row>
    <row r="103" spans="1:22" x14ac:dyDescent="0.2">
      <c r="A103" s="33" t="s">
        <v>1498</v>
      </c>
      <c r="B103" s="38">
        <f>+B99</f>
        <v>0</v>
      </c>
      <c r="C103" s="39">
        <f t="shared" ref="C103:V103" si="41">+B103+C119</f>
        <v>751.5</v>
      </c>
      <c r="D103" s="39">
        <f t="shared" si="41"/>
        <v>240.375</v>
      </c>
      <c r="E103" s="39">
        <f t="shared" si="41"/>
        <v>-754.5</v>
      </c>
      <c r="F103" s="39">
        <f t="shared" si="41"/>
        <v>-1848.375</v>
      </c>
      <c r="G103" s="39">
        <f t="shared" si="41"/>
        <v>-3044.25</v>
      </c>
      <c r="H103" s="39">
        <f t="shared" si="41"/>
        <v>-4338.375</v>
      </c>
      <c r="I103" s="39">
        <f t="shared" si="41"/>
        <v>-5632.5</v>
      </c>
      <c r="J103" s="39">
        <f t="shared" si="41"/>
        <v>-6926.625</v>
      </c>
      <c r="K103" s="39">
        <f t="shared" si="41"/>
        <v>-8220.75</v>
      </c>
      <c r="L103" s="39">
        <f t="shared" si="41"/>
        <v>-9514.875</v>
      </c>
      <c r="M103" s="39">
        <f t="shared" si="41"/>
        <v>-11159.625</v>
      </c>
      <c r="N103" s="39">
        <f t="shared" si="41"/>
        <v>-12804.375</v>
      </c>
      <c r="O103" s="39">
        <f t="shared" si="41"/>
        <v>-14449.125</v>
      </c>
      <c r="P103" s="39">
        <f t="shared" si="41"/>
        <v>-16093.875</v>
      </c>
      <c r="Q103" s="39">
        <f t="shared" si="41"/>
        <v>-17738.625</v>
      </c>
      <c r="R103" s="39">
        <f t="shared" si="41"/>
        <v>-19383.375</v>
      </c>
      <c r="S103" s="39">
        <f t="shared" si="41"/>
        <v>-21028.125</v>
      </c>
      <c r="T103" s="39">
        <f t="shared" si="41"/>
        <v>-22672.875</v>
      </c>
      <c r="U103" s="39">
        <f t="shared" si="41"/>
        <v>-24317.625</v>
      </c>
      <c r="V103" s="39">
        <f t="shared" si="41"/>
        <v>-25962.375</v>
      </c>
    </row>
    <row r="104" spans="1:22" x14ac:dyDescent="0.2">
      <c r="A104" s="40" t="s">
        <v>1499</v>
      </c>
      <c r="B104" s="41">
        <f t="shared" ref="B104:V104" si="42">+B103+B102</f>
        <v>0</v>
      </c>
      <c r="C104" s="42">
        <f t="shared" si="42"/>
        <v>0</v>
      </c>
      <c r="D104" s="42">
        <f t="shared" si="42"/>
        <v>0</v>
      </c>
      <c r="E104" s="42">
        <f t="shared" si="42"/>
        <v>0</v>
      </c>
      <c r="F104" s="42">
        <f t="shared" si="42"/>
        <v>0</v>
      </c>
      <c r="G104" s="42">
        <f t="shared" si="42"/>
        <v>0</v>
      </c>
      <c r="H104" s="42">
        <f t="shared" si="42"/>
        <v>0</v>
      </c>
      <c r="I104" s="42">
        <f t="shared" si="42"/>
        <v>0</v>
      </c>
      <c r="J104" s="42">
        <f t="shared" si="42"/>
        <v>0</v>
      </c>
      <c r="K104" s="42">
        <f t="shared" si="42"/>
        <v>0</v>
      </c>
      <c r="L104" s="42">
        <f t="shared" si="42"/>
        <v>0</v>
      </c>
      <c r="M104" s="42">
        <f t="shared" si="42"/>
        <v>0</v>
      </c>
      <c r="N104" s="42">
        <f t="shared" si="42"/>
        <v>0</v>
      </c>
      <c r="O104" s="42">
        <f t="shared" si="42"/>
        <v>0</v>
      </c>
      <c r="P104" s="42">
        <f t="shared" si="42"/>
        <v>0</v>
      </c>
      <c r="Q104" s="42">
        <f t="shared" si="42"/>
        <v>0</v>
      </c>
      <c r="R104" s="42">
        <f t="shared" si="42"/>
        <v>0</v>
      </c>
      <c r="S104" s="42">
        <f t="shared" si="42"/>
        <v>0</v>
      </c>
      <c r="T104" s="42">
        <f t="shared" si="42"/>
        <v>0</v>
      </c>
      <c r="U104" s="42">
        <f t="shared" si="42"/>
        <v>0</v>
      </c>
      <c r="V104" s="42">
        <f t="shared" si="42"/>
        <v>0</v>
      </c>
    </row>
    <row r="110" spans="1:22" x14ac:dyDescent="0.2">
      <c r="A110" s="33" t="s">
        <v>1500</v>
      </c>
      <c r="B110" s="35" t="str">
        <f t="shared" ref="B110:V110" si="43">B79</f>
        <v>N</v>
      </c>
      <c r="C110" s="35" t="str">
        <f t="shared" si="43"/>
        <v>N+1</v>
      </c>
      <c r="D110" s="35" t="str">
        <f t="shared" si="43"/>
        <v>N+2</v>
      </c>
      <c r="E110" s="35" t="str">
        <f t="shared" si="43"/>
        <v>N+3</v>
      </c>
      <c r="F110" s="35" t="str">
        <f t="shared" si="43"/>
        <v>N+4</v>
      </c>
      <c r="G110" s="35" t="str">
        <f t="shared" si="43"/>
        <v>N+5</v>
      </c>
      <c r="H110" s="35" t="str">
        <f t="shared" si="43"/>
        <v>N+6</v>
      </c>
      <c r="I110" s="35" t="str">
        <f t="shared" si="43"/>
        <v>N+7</v>
      </c>
      <c r="J110" s="35" t="str">
        <f t="shared" si="43"/>
        <v>N+8</v>
      </c>
      <c r="K110" s="35" t="str">
        <f t="shared" si="43"/>
        <v>N+9</v>
      </c>
      <c r="L110" s="35" t="str">
        <f t="shared" si="43"/>
        <v>N+10</v>
      </c>
      <c r="M110" s="35" t="str">
        <f t="shared" si="43"/>
        <v>N+11</v>
      </c>
      <c r="N110" s="35" t="str">
        <f t="shared" si="43"/>
        <v>N+12</v>
      </c>
      <c r="O110" s="35" t="str">
        <f t="shared" si="43"/>
        <v>N+13</v>
      </c>
      <c r="P110" s="35" t="str">
        <f t="shared" si="43"/>
        <v>N+14</v>
      </c>
      <c r="Q110" s="35" t="str">
        <f t="shared" si="43"/>
        <v>N+15</v>
      </c>
      <c r="R110" s="35" t="str">
        <f t="shared" si="43"/>
        <v>N+16</v>
      </c>
      <c r="S110" s="35" t="str">
        <f t="shared" si="43"/>
        <v>N+17</v>
      </c>
      <c r="T110" s="35" t="str">
        <f t="shared" si="43"/>
        <v>N+18</v>
      </c>
      <c r="U110" s="35" t="str">
        <f t="shared" si="43"/>
        <v>N+19</v>
      </c>
      <c r="V110" s="35" t="str">
        <f t="shared" si="43"/>
        <v>N+20</v>
      </c>
    </row>
    <row r="112" spans="1:22" x14ac:dyDescent="0.2">
      <c r="A112" s="33" t="s">
        <v>1051</v>
      </c>
      <c r="B112" s="36">
        <v>0</v>
      </c>
      <c r="C112" s="37">
        <f t="shared" ref="C112:V112" si="44">+C91</f>
        <v>-751.5</v>
      </c>
      <c r="D112" s="37">
        <f t="shared" si="44"/>
        <v>511.125</v>
      </c>
      <c r="E112" s="37">
        <f t="shared" si="44"/>
        <v>994.875</v>
      </c>
      <c r="F112" s="37">
        <f t="shared" si="44"/>
        <v>1093.875</v>
      </c>
      <c r="G112" s="37">
        <f t="shared" si="44"/>
        <v>1195.875</v>
      </c>
      <c r="H112" s="37">
        <f t="shared" si="44"/>
        <v>1294.125</v>
      </c>
      <c r="I112" s="37">
        <f t="shared" si="44"/>
        <v>1294.125</v>
      </c>
      <c r="J112" s="37">
        <f t="shared" si="44"/>
        <v>1294.125</v>
      </c>
      <c r="K112" s="37">
        <f t="shared" si="44"/>
        <v>1294.125</v>
      </c>
      <c r="L112" s="37">
        <f t="shared" si="44"/>
        <v>1294.125</v>
      </c>
      <c r="M112" s="37">
        <f t="shared" si="44"/>
        <v>1644.75</v>
      </c>
      <c r="N112" s="37">
        <f t="shared" si="44"/>
        <v>1644.75</v>
      </c>
      <c r="O112" s="37">
        <f t="shared" si="44"/>
        <v>1644.75</v>
      </c>
      <c r="P112" s="37">
        <f t="shared" si="44"/>
        <v>1644.75</v>
      </c>
      <c r="Q112" s="37">
        <f t="shared" si="44"/>
        <v>1644.75</v>
      </c>
      <c r="R112" s="37">
        <f t="shared" si="44"/>
        <v>1644.75</v>
      </c>
      <c r="S112" s="37">
        <f t="shared" si="44"/>
        <v>1644.75</v>
      </c>
      <c r="T112" s="37">
        <f t="shared" si="44"/>
        <v>1644.75</v>
      </c>
      <c r="U112" s="37">
        <f t="shared" si="44"/>
        <v>1644.75</v>
      </c>
      <c r="V112" s="37">
        <f t="shared" si="44"/>
        <v>1644.75</v>
      </c>
    </row>
    <row r="113" spans="1:22" x14ac:dyDescent="0.2">
      <c r="A113" s="33" t="s">
        <v>986</v>
      </c>
      <c r="B113" s="38">
        <v>0</v>
      </c>
      <c r="C113" s="39">
        <f t="shared" ref="C113:V113" si="45">-C87</f>
        <v>0</v>
      </c>
      <c r="D113" s="39">
        <f t="shared" si="45"/>
        <v>0</v>
      </c>
      <c r="E113" s="39">
        <f t="shared" si="45"/>
        <v>0</v>
      </c>
      <c r="F113" s="39">
        <f t="shared" si="45"/>
        <v>0</v>
      </c>
      <c r="G113" s="39">
        <f t="shared" si="45"/>
        <v>0</v>
      </c>
      <c r="H113" s="39">
        <f t="shared" si="45"/>
        <v>0</v>
      </c>
      <c r="I113" s="39">
        <f t="shared" si="45"/>
        <v>0</v>
      </c>
      <c r="J113" s="39">
        <f t="shared" si="45"/>
        <v>0</v>
      </c>
      <c r="K113" s="39">
        <f t="shared" si="45"/>
        <v>0</v>
      </c>
      <c r="L113" s="39">
        <f t="shared" si="45"/>
        <v>0</v>
      </c>
      <c r="M113" s="39">
        <f t="shared" si="45"/>
        <v>0</v>
      </c>
      <c r="N113" s="39">
        <f t="shared" si="45"/>
        <v>0</v>
      </c>
      <c r="O113" s="39">
        <f t="shared" si="45"/>
        <v>0</v>
      </c>
      <c r="P113" s="39">
        <f t="shared" si="45"/>
        <v>0</v>
      </c>
      <c r="Q113" s="39">
        <f t="shared" si="45"/>
        <v>0</v>
      </c>
      <c r="R113" s="39">
        <f t="shared" si="45"/>
        <v>0</v>
      </c>
      <c r="S113" s="39">
        <f t="shared" si="45"/>
        <v>0</v>
      </c>
      <c r="T113" s="39">
        <f t="shared" si="45"/>
        <v>0</v>
      </c>
      <c r="U113" s="39">
        <f t="shared" si="45"/>
        <v>0</v>
      </c>
      <c r="V113" s="39">
        <f t="shared" si="45"/>
        <v>0</v>
      </c>
    </row>
    <row r="114" spans="1:22" x14ac:dyDescent="0.2">
      <c r="A114" s="40" t="s">
        <v>1168</v>
      </c>
      <c r="B114" s="41">
        <v>0</v>
      </c>
      <c r="C114" s="42">
        <f t="shared" ref="C114:V114" si="46">+C113+C112</f>
        <v>-751.5</v>
      </c>
      <c r="D114" s="42">
        <f t="shared" si="46"/>
        <v>511.125</v>
      </c>
      <c r="E114" s="42">
        <f t="shared" si="46"/>
        <v>994.875</v>
      </c>
      <c r="F114" s="42">
        <f t="shared" si="46"/>
        <v>1093.875</v>
      </c>
      <c r="G114" s="42">
        <f t="shared" si="46"/>
        <v>1195.875</v>
      </c>
      <c r="H114" s="42">
        <f t="shared" si="46"/>
        <v>1294.125</v>
      </c>
      <c r="I114" s="42">
        <f t="shared" si="46"/>
        <v>1294.125</v>
      </c>
      <c r="J114" s="42">
        <f t="shared" si="46"/>
        <v>1294.125</v>
      </c>
      <c r="K114" s="42">
        <f t="shared" si="46"/>
        <v>1294.125</v>
      </c>
      <c r="L114" s="42">
        <f t="shared" si="46"/>
        <v>1294.125</v>
      </c>
      <c r="M114" s="42">
        <f t="shared" si="46"/>
        <v>1644.75</v>
      </c>
      <c r="N114" s="42">
        <f t="shared" si="46"/>
        <v>1644.75</v>
      </c>
      <c r="O114" s="42">
        <f t="shared" si="46"/>
        <v>1644.75</v>
      </c>
      <c r="P114" s="42">
        <f t="shared" si="46"/>
        <v>1644.75</v>
      </c>
      <c r="Q114" s="42">
        <f t="shared" si="46"/>
        <v>1644.75</v>
      </c>
      <c r="R114" s="42">
        <f t="shared" si="46"/>
        <v>1644.75</v>
      </c>
      <c r="S114" s="42">
        <f t="shared" si="46"/>
        <v>1644.75</v>
      </c>
      <c r="T114" s="42">
        <f t="shared" si="46"/>
        <v>1644.75</v>
      </c>
      <c r="U114" s="42">
        <f t="shared" si="46"/>
        <v>1644.75</v>
      </c>
      <c r="V114" s="42">
        <f t="shared" si="46"/>
        <v>1644.75</v>
      </c>
    </row>
    <row r="115" spans="1:22" x14ac:dyDescent="0.2">
      <c r="A115" s="33" t="s">
        <v>1501</v>
      </c>
      <c r="B115" s="38">
        <v>0</v>
      </c>
      <c r="C115" s="39">
        <f t="shared" ref="C115:V115" si="47">+B100-C100</f>
        <v>0</v>
      </c>
      <c r="D115" s="39">
        <f t="shared" si="47"/>
        <v>0</v>
      </c>
      <c r="E115" s="39">
        <f t="shared" si="47"/>
        <v>0</v>
      </c>
      <c r="F115" s="39">
        <f t="shared" si="47"/>
        <v>0</v>
      </c>
      <c r="G115" s="39">
        <f t="shared" si="47"/>
        <v>0</v>
      </c>
      <c r="H115" s="39">
        <f t="shared" si="47"/>
        <v>0</v>
      </c>
      <c r="I115" s="39">
        <f t="shared" si="47"/>
        <v>0</v>
      </c>
      <c r="J115" s="39">
        <f t="shared" si="47"/>
        <v>0</v>
      </c>
      <c r="K115" s="39">
        <f t="shared" si="47"/>
        <v>0</v>
      </c>
      <c r="L115" s="39">
        <f t="shared" si="47"/>
        <v>0</v>
      </c>
      <c r="M115" s="39">
        <f t="shared" si="47"/>
        <v>0</v>
      </c>
      <c r="N115" s="39">
        <f t="shared" si="47"/>
        <v>0</v>
      </c>
      <c r="O115" s="39">
        <f t="shared" si="47"/>
        <v>0</v>
      </c>
      <c r="P115" s="39">
        <f t="shared" si="47"/>
        <v>0</v>
      </c>
      <c r="Q115" s="39">
        <f t="shared" si="47"/>
        <v>0</v>
      </c>
      <c r="R115" s="39">
        <f t="shared" si="47"/>
        <v>0</v>
      </c>
      <c r="S115" s="39">
        <f t="shared" si="47"/>
        <v>0</v>
      </c>
      <c r="T115" s="39">
        <f t="shared" si="47"/>
        <v>0</v>
      </c>
      <c r="U115" s="39">
        <f t="shared" si="47"/>
        <v>0</v>
      </c>
      <c r="V115" s="39">
        <f t="shared" si="47"/>
        <v>0</v>
      </c>
    </row>
    <row r="116" spans="1:22" x14ac:dyDescent="0.2">
      <c r="A116" s="40" t="s">
        <v>1502</v>
      </c>
      <c r="B116" s="41">
        <v>0</v>
      </c>
      <c r="C116" s="42">
        <f t="shared" ref="C116:V116" si="48">+SUM(C114:C115)</f>
        <v>-751.5</v>
      </c>
      <c r="D116" s="42">
        <f t="shared" si="48"/>
        <v>511.125</v>
      </c>
      <c r="E116" s="42">
        <f t="shared" si="48"/>
        <v>994.875</v>
      </c>
      <c r="F116" s="42">
        <f t="shared" si="48"/>
        <v>1093.875</v>
      </c>
      <c r="G116" s="42">
        <f t="shared" si="48"/>
        <v>1195.875</v>
      </c>
      <c r="H116" s="42">
        <f t="shared" si="48"/>
        <v>1294.125</v>
      </c>
      <c r="I116" s="42">
        <f t="shared" si="48"/>
        <v>1294.125</v>
      </c>
      <c r="J116" s="42">
        <f t="shared" si="48"/>
        <v>1294.125</v>
      </c>
      <c r="K116" s="42">
        <f t="shared" si="48"/>
        <v>1294.125</v>
      </c>
      <c r="L116" s="42">
        <f t="shared" si="48"/>
        <v>1294.125</v>
      </c>
      <c r="M116" s="42">
        <f t="shared" si="48"/>
        <v>1644.75</v>
      </c>
      <c r="N116" s="42">
        <f t="shared" si="48"/>
        <v>1644.75</v>
      </c>
      <c r="O116" s="42">
        <f t="shared" si="48"/>
        <v>1644.75</v>
      </c>
      <c r="P116" s="42">
        <f t="shared" si="48"/>
        <v>1644.75</v>
      </c>
      <c r="Q116" s="42">
        <f t="shared" si="48"/>
        <v>1644.75</v>
      </c>
      <c r="R116" s="42">
        <f t="shared" si="48"/>
        <v>1644.75</v>
      </c>
      <c r="S116" s="42">
        <f t="shared" si="48"/>
        <v>1644.75</v>
      </c>
      <c r="T116" s="42">
        <f t="shared" si="48"/>
        <v>1644.75</v>
      </c>
      <c r="U116" s="42">
        <f t="shared" si="48"/>
        <v>1644.75</v>
      </c>
      <c r="V116" s="42">
        <f t="shared" si="48"/>
        <v>1644.75</v>
      </c>
    </row>
    <row r="117" spans="1:22" x14ac:dyDescent="0.2">
      <c r="A117" s="33" t="s">
        <v>1503</v>
      </c>
      <c r="B117" s="38">
        <f>-B99</f>
        <v>0</v>
      </c>
      <c r="C117" s="39">
        <v>0</v>
      </c>
      <c r="D117" s="39">
        <v>0</v>
      </c>
      <c r="E117" s="39">
        <v>0</v>
      </c>
      <c r="F117" s="39">
        <v>0</v>
      </c>
      <c r="G117" s="39">
        <v>0</v>
      </c>
      <c r="H117" s="39">
        <v>0</v>
      </c>
      <c r="I117" s="39">
        <v>0</v>
      </c>
      <c r="J117" s="39">
        <v>0</v>
      </c>
      <c r="K117" s="39">
        <v>0</v>
      </c>
      <c r="L117" s="39">
        <v>0</v>
      </c>
      <c r="M117" s="39">
        <v>0</v>
      </c>
      <c r="N117" s="39">
        <v>0</v>
      </c>
      <c r="O117" s="39">
        <v>0</v>
      </c>
      <c r="P117" s="39">
        <v>0</v>
      </c>
      <c r="Q117" s="39">
        <v>0</v>
      </c>
      <c r="R117" s="39">
        <v>0</v>
      </c>
      <c r="S117" s="39">
        <v>0</v>
      </c>
      <c r="T117" s="39">
        <v>0</v>
      </c>
      <c r="U117" s="39">
        <v>0</v>
      </c>
      <c r="V117" s="39">
        <v>0</v>
      </c>
    </row>
    <row r="118" spans="1:22" x14ac:dyDescent="0.2">
      <c r="A118" s="40" t="s">
        <v>204</v>
      </c>
      <c r="B118" s="41">
        <f t="shared" ref="B118:V118" si="49">+B116+B117</f>
        <v>0</v>
      </c>
      <c r="C118" s="42">
        <f t="shared" si="49"/>
        <v>-751.5</v>
      </c>
      <c r="D118" s="42">
        <f t="shared" si="49"/>
        <v>511.125</v>
      </c>
      <c r="E118" s="42">
        <f t="shared" si="49"/>
        <v>994.875</v>
      </c>
      <c r="F118" s="42">
        <f t="shared" si="49"/>
        <v>1093.875</v>
      </c>
      <c r="G118" s="42">
        <f t="shared" si="49"/>
        <v>1195.875</v>
      </c>
      <c r="H118" s="42">
        <f t="shared" si="49"/>
        <v>1294.125</v>
      </c>
      <c r="I118" s="42">
        <f t="shared" si="49"/>
        <v>1294.125</v>
      </c>
      <c r="J118" s="42">
        <f t="shared" si="49"/>
        <v>1294.125</v>
      </c>
      <c r="K118" s="42">
        <f t="shared" si="49"/>
        <v>1294.125</v>
      </c>
      <c r="L118" s="42">
        <f t="shared" si="49"/>
        <v>1294.125</v>
      </c>
      <c r="M118" s="42">
        <f t="shared" si="49"/>
        <v>1644.75</v>
      </c>
      <c r="N118" s="42">
        <f t="shared" si="49"/>
        <v>1644.75</v>
      </c>
      <c r="O118" s="42">
        <f t="shared" si="49"/>
        <v>1644.75</v>
      </c>
      <c r="P118" s="42">
        <f t="shared" si="49"/>
        <v>1644.75</v>
      </c>
      <c r="Q118" s="42">
        <f t="shared" si="49"/>
        <v>1644.75</v>
      </c>
      <c r="R118" s="42">
        <f t="shared" si="49"/>
        <v>1644.75</v>
      </c>
      <c r="S118" s="42">
        <f t="shared" si="49"/>
        <v>1644.75</v>
      </c>
      <c r="T118" s="42">
        <f t="shared" si="49"/>
        <v>1644.75</v>
      </c>
      <c r="U118" s="42">
        <f t="shared" si="49"/>
        <v>1644.75</v>
      </c>
      <c r="V118" s="42">
        <f t="shared" si="49"/>
        <v>1644.75</v>
      </c>
    </row>
    <row r="119" spans="1:22" ht="15" x14ac:dyDescent="0.2">
      <c r="A119" s="44" t="s">
        <v>1504</v>
      </c>
      <c r="B119" s="41">
        <f t="shared" ref="B119:V119" si="50">-B118</f>
        <v>0</v>
      </c>
      <c r="C119" s="42">
        <f t="shared" si="50"/>
        <v>751.5</v>
      </c>
      <c r="D119" s="42">
        <f t="shared" si="50"/>
        <v>-511.125</v>
      </c>
      <c r="E119" s="42">
        <f t="shared" si="50"/>
        <v>-994.875</v>
      </c>
      <c r="F119" s="42">
        <f t="shared" si="50"/>
        <v>-1093.875</v>
      </c>
      <c r="G119" s="42">
        <f t="shared" si="50"/>
        <v>-1195.875</v>
      </c>
      <c r="H119" s="42">
        <f t="shared" si="50"/>
        <v>-1294.125</v>
      </c>
      <c r="I119" s="42">
        <f t="shared" si="50"/>
        <v>-1294.125</v>
      </c>
      <c r="J119" s="42">
        <f t="shared" si="50"/>
        <v>-1294.125</v>
      </c>
      <c r="K119" s="42">
        <f t="shared" si="50"/>
        <v>-1294.125</v>
      </c>
      <c r="L119" s="42">
        <f t="shared" si="50"/>
        <v>-1294.125</v>
      </c>
      <c r="M119" s="42">
        <f t="shared" si="50"/>
        <v>-1644.75</v>
      </c>
      <c r="N119" s="42">
        <f t="shared" si="50"/>
        <v>-1644.75</v>
      </c>
      <c r="O119" s="42">
        <f t="shared" si="50"/>
        <v>-1644.75</v>
      </c>
      <c r="P119" s="42">
        <f t="shared" si="50"/>
        <v>-1644.75</v>
      </c>
      <c r="Q119" s="42">
        <f t="shared" si="50"/>
        <v>-1644.75</v>
      </c>
      <c r="R119" s="42">
        <f t="shared" si="50"/>
        <v>-1644.75</v>
      </c>
      <c r="S119" s="42">
        <f t="shared" si="50"/>
        <v>-1644.75</v>
      </c>
      <c r="T119" s="42">
        <f t="shared" si="50"/>
        <v>-1644.75</v>
      </c>
      <c r="U119" s="42">
        <f t="shared" si="50"/>
        <v>-1644.75</v>
      </c>
      <c r="V119" s="42">
        <f t="shared" si="50"/>
        <v>-1644.75</v>
      </c>
    </row>
    <row r="121" spans="1:22" x14ac:dyDescent="0.2">
      <c r="D121" s="45"/>
    </row>
    <row r="123" spans="1:22" x14ac:dyDescent="0.2">
      <c r="A123" s="33" t="s">
        <v>1505</v>
      </c>
      <c r="D123" s="45"/>
    </row>
    <row r="124" spans="1:22" x14ac:dyDescent="0.2">
      <c r="A124" s="33" t="s">
        <v>1506</v>
      </c>
      <c r="B124" s="46">
        <v>2.5000000000000001E-2</v>
      </c>
    </row>
    <row r="125" spans="1:22" x14ac:dyDescent="0.2">
      <c r="D125" s="45"/>
    </row>
    <row r="127" spans="1:22" x14ac:dyDescent="0.2">
      <c r="A127" s="33" t="s">
        <v>1507</v>
      </c>
      <c r="D127" s="45"/>
    </row>
    <row r="130" spans="1:22" x14ac:dyDescent="0.2">
      <c r="A130" s="33" t="s">
        <v>204</v>
      </c>
      <c r="B130" s="47">
        <f t="shared" ref="B130:V130" si="51">B88*(1-$B$20)+B117+B113+B115</f>
        <v>0</v>
      </c>
      <c r="C130" s="47">
        <f t="shared" si="51"/>
        <v>-213</v>
      </c>
      <c r="D130" s="47">
        <f t="shared" si="51"/>
        <v>861.75</v>
      </c>
      <c r="E130" s="47">
        <f t="shared" si="51"/>
        <v>1345.5</v>
      </c>
      <c r="F130" s="47">
        <f t="shared" si="51"/>
        <v>1444.5</v>
      </c>
      <c r="G130" s="47">
        <f t="shared" si="51"/>
        <v>1546.5</v>
      </c>
      <c r="H130" s="47">
        <f t="shared" si="51"/>
        <v>1644.75</v>
      </c>
      <c r="I130" s="47">
        <f t="shared" si="51"/>
        <v>1644.75</v>
      </c>
      <c r="J130" s="47">
        <f t="shared" si="51"/>
        <v>1644.75</v>
      </c>
      <c r="K130" s="47">
        <f t="shared" si="51"/>
        <v>1644.75</v>
      </c>
      <c r="L130" s="47">
        <f t="shared" si="51"/>
        <v>1644.75</v>
      </c>
      <c r="M130" s="47">
        <f t="shared" si="51"/>
        <v>1644.75</v>
      </c>
      <c r="N130" s="47">
        <f t="shared" si="51"/>
        <v>1644.75</v>
      </c>
      <c r="O130" s="47">
        <f t="shared" si="51"/>
        <v>1644.75</v>
      </c>
      <c r="P130" s="47">
        <f t="shared" si="51"/>
        <v>1644.75</v>
      </c>
      <c r="Q130" s="47">
        <f t="shared" si="51"/>
        <v>1644.75</v>
      </c>
      <c r="R130" s="47">
        <f t="shared" si="51"/>
        <v>1644.75</v>
      </c>
      <c r="S130" s="47">
        <f t="shared" si="51"/>
        <v>1644.75</v>
      </c>
      <c r="T130" s="47">
        <f t="shared" si="51"/>
        <v>1644.75</v>
      </c>
      <c r="U130" s="47">
        <f t="shared" si="51"/>
        <v>1644.75</v>
      </c>
      <c r="V130" s="47">
        <f t="shared" si="51"/>
        <v>1644.75</v>
      </c>
    </row>
    <row r="131" spans="1:22" x14ac:dyDescent="0.2">
      <c r="A131" s="33" t="s">
        <v>601</v>
      </c>
      <c r="B131" s="48">
        <v>7.0000000000000007E-2</v>
      </c>
      <c r="D131" s="45"/>
    </row>
    <row r="132" spans="1:22" x14ac:dyDescent="0.2">
      <c r="A132" s="33" t="s">
        <v>399</v>
      </c>
      <c r="B132" s="47">
        <f>NPV(B131,B130:V130)</f>
        <v>13586.252013829318</v>
      </c>
    </row>
  </sheetData>
  <mergeCells count="3">
    <mergeCell ref="A1:H1"/>
    <mergeCell ref="A75:H75"/>
    <mergeCell ref="A73:H73"/>
  </mergeCells>
  <pageMargins left="0.7" right="0.7" top="0.75" bottom="0.75" header="0.3" footer="0.3"/>
  <pageSetup paperSize="9" orientation="portrait" r:id="rId1"/>
  <headerFooter>
    <oddFooter>&amp;L&amp;1#&amp;"Calibri"&amp;1&amp;KFFFFFFC1 - Public Natixis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pageSetUpPr fitToPage="1"/>
  </sheetPr>
  <dimension ref="A1:I66"/>
  <sheetViews>
    <sheetView showGridLines="0" workbookViewId="0">
      <selection sqref="A1:XFD1048576"/>
    </sheetView>
  </sheetViews>
  <sheetFormatPr baseColWidth="10" defaultColWidth="11" defaultRowHeight="14" x14ac:dyDescent="0.15"/>
  <cols>
    <col min="1" max="1" width="27.83203125" style="3" customWidth="1"/>
    <col min="2" max="4" width="5.83203125" style="3" customWidth="1"/>
    <col min="5" max="5" width="1.1640625" style="3" customWidth="1"/>
    <col min="6" max="6" width="24.83203125" style="3" customWidth="1"/>
    <col min="7" max="9" width="5.83203125" style="3" customWidth="1"/>
    <col min="10" max="16384" width="11" style="3"/>
  </cols>
  <sheetData>
    <row r="1" spans="1:8" ht="15" x14ac:dyDescent="0.15">
      <c r="A1" s="1" t="s">
        <v>1235</v>
      </c>
    </row>
    <row r="2" spans="1:8" x14ac:dyDescent="0.15">
      <c r="A2" s="334" t="s">
        <v>1210</v>
      </c>
      <c r="B2" s="360" t="s">
        <v>1216</v>
      </c>
      <c r="C2" s="360" t="s">
        <v>1451</v>
      </c>
      <c r="D2" s="5"/>
      <c r="E2" s="5"/>
      <c r="F2" s="334" t="s">
        <v>1217</v>
      </c>
      <c r="G2" s="360" t="s">
        <v>1216</v>
      </c>
      <c r="H2" s="360" t="s">
        <v>1451</v>
      </c>
    </row>
    <row r="3" spans="1:8" ht="30" x14ac:dyDescent="0.15">
      <c r="A3" s="6" t="s">
        <v>1211</v>
      </c>
      <c r="B3" s="3">
        <v>100</v>
      </c>
      <c r="C3" s="3">
        <v>30</v>
      </c>
      <c r="F3" s="3" t="s">
        <v>1218</v>
      </c>
      <c r="G3" s="3">
        <v>40</v>
      </c>
      <c r="H3" s="3">
        <v>10</v>
      </c>
    </row>
    <row r="4" spans="1:8" ht="15" x14ac:dyDescent="0.15">
      <c r="A4" s="6" t="s">
        <v>1212</v>
      </c>
      <c r="F4" s="3" t="s">
        <v>1219</v>
      </c>
      <c r="G4" s="3">
        <v>80</v>
      </c>
      <c r="H4" s="3">
        <v>10</v>
      </c>
    </row>
    <row r="5" spans="1:8" x14ac:dyDescent="0.15">
      <c r="A5" s="17" t="s">
        <v>1213</v>
      </c>
      <c r="B5" s="3">
        <v>16</v>
      </c>
      <c r="F5" s="3" t="s">
        <v>1051</v>
      </c>
      <c r="G5" s="3">
        <v>10</v>
      </c>
      <c r="H5" s="3">
        <v>5</v>
      </c>
    </row>
    <row r="6" spans="1:8" x14ac:dyDescent="0.15">
      <c r="A6" s="17" t="s">
        <v>1214</v>
      </c>
      <c r="B6" s="3">
        <v>5</v>
      </c>
      <c r="F6" s="3" t="s">
        <v>1220</v>
      </c>
      <c r="G6" s="3">
        <v>191</v>
      </c>
      <c r="H6" s="3">
        <v>75</v>
      </c>
    </row>
    <row r="7" spans="1:8" ht="15" x14ac:dyDescent="0.15">
      <c r="A7" s="6" t="s">
        <v>1215</v>
      </c>
      <c r="B7" s="3">
        <v>200</v>
      </c>
      <c r="C7" s="3">
        <v>70</v>
      </c>
    </row>
    <row r="8" spans="1:8" x14ac:dyDescent="0.15">
      <c r="A8" s="278" t="s">
        <v>938</v>
      </c>
      <c r="B8" s="278">
        <f>SUM(B3:B7)</f>
        <v>321</v>
      </c>
      <c r="C8" s="278">
        <f>SUM(C3:C7)</f>
        <v>100</v>
      </c>
      <c r="D8" s="7"/>
      <c r="E8" s="7"/>
      <c r="F8" s="278" t="s">
        <v>938</v>
      </c>
      <c r="G8" s="278">
        <f>SUM(G3:G7)</f>
        <v>321</v>
      </c>
      <c r="H8" s="278">
        <f>SUM(H3:H7)</f>
        <v>100</v>
      </c>
    </row>
    <row r="10" spans="1:8" x14ac:dyDescent="0.15">
      <c r="A10" s="334" t="s">
        <v>1221</v>
      </c>
      <c r="B10" s="360" t="s">
        <v>1216</v>
      </c>
      <c r="C10" s="360" t="s">
        <v>1451</v>
      </c>
      <c r="D10" s="5"/>
      <c r="E10" s="5"/>
    </row>
    <row r="11" spans="1:8" x14ac:dyDescent="0.15">
      <c r="A11" s="86" t="s">
        <v>1222</v>
      </c>
      <c r="B11" s="3">
        <v>200</v>
      </c>
      <c r="C11" s="3">
        <v>90</v>
      </c>
    </row>
    <row r="12" spans="1:8" x14ac:dyDescent="0.15">
      <c r="A12" s="86" t="s">
        <v>1232</v>
      </c>
      <c r="B12" s="3">
        <v>100</v>
      </c>
      <c r="C12" s="3">
        <v>50</v>
      </c>
    </row>
    <row r="13" spans="1:8" x14ac:dyDescent="0.15">
      <c r="A13" s="86" t="s">
        <v>1231</v>
      </c>
      <c r="C13" s="3">
        <v>2</v>
      </c>
    </row>
    <row r="14" spans="1:8" x14ac:dyDescent="0.15">
      <c r="A14" s="86" t="s">
        <v>1230</v>
      </c>
      <c r="B14" s="3">
        <v>25</v>
      </c>
      <c r="C14" s="3">
        <v>20</v>
      </c>
    </row>
    <row r="15" spans="1:8" x14ac:dyDescent="0.15">
      <c r="A15" s="86" t="s">
        <v>1229</v>
      </c>
      <c r="B15" s="3">
        <v>40</v>
      </c>
      <c r="C15" s="3">
        <v>8</v>
      </c>
    </row>
    <row r="16" spans="1:8" x14ac:dyDescent="0.15">
      <c r="A16" s="86" t="s">
        <v>1228</v>
      </c>
      <c r="B16" s="3">
        <v>10</v>
      </c>
      <c r="C16" s="3">
        <v>1</v>
      </c>
    </row>
    <row r="17" spans="1:9" x14ac:dyDescent="0.15">
      <c r="A17" s="86" t="s">
        <v>1223</v>
      </c>
      <c r="B17" s="3">
        <v>3</v>
      </c>
    </row>
    <row r="18" spans="1:9" x14ac:dyDescent="0.15">
      <c r="A18" s="86" t="s">
        <v>1227</v>
      </c>
      <c r="B18" s="3">
        <v>9</v>
      </c>
    </row>
    <row r="19" spans="1:9" x14ac:dyDescent="0.15">
      <c r="A19" s="86" t="s">
        <v>1224</v>
      </c>
      <c r="B19" s="3">
        <v>2</v>
      </c>
    </row>
    <row r="20" spans="1:9" x14ac:dyDescent="0.15">
      <c r="A20" s="86" t="s">
        <v>1226</v>
      </c>
      <c r="B20" s="3">
        <v>11</v>
      </c>
      <c r="C20" s="3">
        <v>4</v>
      </c>
    </row>
    <row r="21" spans="1:9" x14ac:dyDescent="0.15">
      <c r="A21" s="308" t="s">
        <v>1225</v>
      </c>
      <c r="B21" s="278">
        <f>B11-B12-B13-B14-B15-B16+B17-B18+B19-B20</f>
        <v>10</v>
      </c>
      <c r="C21" s="278">
        <f>C11-C12-C13-C14-C15-C16+C17-C18+C19-C20</f>
        <v>5</v>
      </c>
      <c r="D21" s="7"/>
      <c r="E21" s="7"/>
    </row>
    <row r="24" spans="1:9" x14ac:dyDescent="0.15">
      <c r="A24" s="5" t="s">
        <v>1452</v>
      </c>
    </row>
    <row r="25" spans="1:9" x14ac:dyDescent="0.15">
      <c r="A25" s="334" t="s">
        <v>1210</v>
      </c>
      <c r="B25" s="361">
        <v>0.8</v>
      </c>
      <c r="C25" s="361">
        <v>0.5</v>
      </c>
      <c r="D25" s="361">
        <v>0.2</v>
      </c>
      <c r="E25" s="490"/>
      <c r="F25" s="334" t="s">
        <v>1217</v>
      </c>
      <c r="G25" s="361">
        <v>0.8</v>
      </c>
      <c r="H25" s="361">
        <v>0.5</v>
      </c>
      <c r="I25" s="361">
        <v>0.2</v>
      </c>
    </row>
    <row r="26" spans="1:9" ht="30" x14ac:dyDescent="0.15">
      <c r="A26" s="6" t="s">
        <v>1211</v>
      </c>
      <c r="B26" s="3">
        <f>B3+C3</f>
        <v>130</v>
      </c>
      <c r="C26" s="3">
        <f>B3+$C$25*C3</f>
        <v>115</v>
      </c>
      <c r="D26" s="3">
        <f>B3</f>
        <v>100</v>
      </c>
      <c r="F26" s="3" t="s">
        <v>1218</v>
      </c>
      <c r="G26" s="3">
        <f>G3</f>
        <v>40</v>
      </c>
      <c r="H26" s="3">
        <f>G3</f>
        <v>40</v>
      </c>
      <c r="I26" s="3">
        <f>G3</f>
        <v>40</v>
      </c>
    </row>
    <row r="27" spans="1:9" ht="15" x14ac:dyDescent="0.15">
      <c r="A27" s="6" t="s">
        <v>1212</v>
      </c>
      <c r="B27" s="3">
        <f>B28+B29</f>
        <v>5</v>
      </c>
      <c r="C27" s="3">
        <f>C28+C29</f>
        <v>5</v>
      </c>
      <c r="D27" s="3">
        <f>D28+D29</f>
        <v>10</v>
      </c>
      <c r="F27" s="3" t="s">
        <v>1219</v>
      </c>
    </row>
    <row r="28" spans="1:9" x14ac:dyDescent="0.15">
      <c r="A28" s="17" t="s">
        <v>325</v>
      </c>
      <c r="B28" s="22"/>
      <c r="C28" s="22"/>
      <c r="D28" s="22">
        <f>SUM(H3:H5)*D25</f>
        <v>5</v>
      </c>
      <c r="E28" s="22"/>
      <c r="F28" s="17" t="s">
        <v>1233</v>
      </c>
      <c r="G28" s="3">
        <f>G4+H4+H3-B5-G29</f>
        <v>80</v>
      </c>
      <c r="H28" s="3">
        <f>G4+H4*C25+H3*C25-B5</f>
        <v>74</v>
      </c>
      <c r="I28" s="3">
        <f>G4+D25*SUM(H3:H4)-B5</f>
        <v>68</v>
      </c>
    </row>
    <row r="29" spans="1:9" x14ac:dyDescent="0.15">
      <c r="A29" s="17" t="s">
        <v>1214</v>
      </c>
      <c r="B29" s="22">
        <f>B6</f>
        <v>5</v>
      </c>
      <c r="C29" s="22">
        <f>B6+$C$25*C6</f>
        <v>5</v>
      </c>
      <c r="D29" s="22">
        <f>B6</f>
        <v>5</v>
      </c>
      <c r="E29" s="22"/>
      <c r="F29" s="17" t="s">
        <v>1234</v>
      </c>
      <c r="G29" s="3">
        <f>(H4+H3)*(1-B25)</f>
        <v>3.9999999999999991</v>
      </c>
    </row>
    <row r="30" spans="1:9" ht="15" x14ac:dyDescent="0.15">
      <c r="A30" s="6" t="s">
        <v>1215</v>
      </c>
      <c r="B30" s="3">
        <f>B7+C7</f>
        <v>270</v>
      </c>
      <c r="C30" s="3">
        <f>B7+$C$25*C7</f>
        <v>235</v>
      </c>
      <c r="D30" s="3">
        <f>B7</f>
        <v>200</v>
      </c>
      <c r="F30" s="3" t="s">
        <v>1051</v>
      </c>
    </row>
    <row r="31" spans="1:9" x14ac:dyDescent="0.15">
      <c r="A31" s="6"/>
      <c r="F31" s="17" t="s">
        <v>1233</v>
      </c>
      <c r="G31" s="3">
        <f>G5+H5*B25</f>
        <v>14</v>
      </c>
      <c r="H31" s="3">
        <f>G5+H5*C25</f>
        <v>12.5</v>
      </c>
      <c r="I31" s="3">
        <f>G5+H5*D25</f>
        <v>11</v>
      </c>
    </row>
    <row r="32" spans="1:9" x14ac:dyDescent="0.15">
      <c r="E32" s="7"/>
      <c r="F32" s="17" t="s">
        <v>1234</v>
      </c>
      <c r="G32" s="3">
        <f>H5*(1-B25)</f>
        <v>0.99999999999999978</v>
      </c>
    </row>
    <row r="33" spans="1:9" x14ac:dyDescent="0.15">
      <c r="F33" s="3" t="s">
        <v>1220</v>
      </c>
      <c r="G33" s="3">
        <f>G6+H6</f>
        <v>266</v>
      </c>
      <c r="H33" s="3">
        <f>G6+H6*$C$25</f>
        <v>228.5</v>
      </c>
      <c r="I33" s="3">
        <f>G6</f>
        <v>191</v>
      </c>
    </row>
    <row r="34" spans="1:9" x14ac:dyDescent="0.15">
      <c r="A34" s="278" t="s">
        <v>938</v>
      </c>
      <c r="B34" s="278">
        <f>B26+B27+B30</f>
        <v>405</v>
      </c>
      <c r="C34" s="278">
        <f>C26+C27+C30</f>
        <v>355</v>
      </c>
      <c r="D34" s="278">
        <f>D26+D27+D30</f>
        <v>310</v>
      </c>
      <c r="F34" s="278" t="s">
        <v>938</v>
      </c>
      <c r="G34" s="278">
        <f>SUM(G26:G33)</f>
        <v>405</v>
      </c>
      <c r="H34" s="278">
        <f>SUM(H26:H33)</f>
        <v>355</v>
      </c>
      <c r="I34" s="278">
        <f>SUM(I26:I33)</f>
        <v>310</v>
      </c>
    </row>
    <row r="35" spans="1:9" x14ac:dyDescent="0.15">
      <c r="F35" s="7"/>
      <c r="G35" s="7"/>
      <c r="H35" s="7"/>
      <c r="I35" s="7"/>
    </row>
    <row r="36" spans="1:9" x14ac:dyDescent="0.15">
      <c r="F36" s="7"/>
      <c r="G36" s="7"/>
      <c r="H36" s="7"/>
      <c r="I36" s="7"/>
    </row>
    <row r="37" spans="1:9" x14ac:dyDescent="0.15">
      <c r="A37" s="334" t="s">
        <v>1221</v>
      </c>
      <c r="B37" s="361">
        <v>0.8</v>
      </c>
      <c r="C37" s="361">
        <v>0.5</v>
      </c>
      <c r="D37" s="361">
        <v>0.2</v>
      </c>
      <c r="E37" s="80"/>
    </row>
    <row r="38" spans="1:9" x14ac:dyDescent="0.15">
      <c r="A38" s="86" t="s">
        <v>1222</v>
      </c>
      <c r="B38" s="3">
        <f>B11+C11</f>
        <v>290</v>
      </c>
      <c r="C38" s="3">
        <f>B11+C11*$C$25</f>
        <v>245</v>
      </c>
      <c r="D38" s="3">
        <f t="shared" ref="D38:D44" si="0">B11</f>
        <v>200</v>
      </c>
    </row>
    <row r="39" spans="1:9" x14ac:dyDescent="0.15">
      <c r="A39" s="86" t="s">
        <v>1232</v>
      </c>
      <c r="B39" s="3">
        <f t="shared" ref="B39:B44" si="1">B12+C12</f>
        <v>150</v>
      </c>
      <c r="C39" s="3">
        <f t="shared" ref="C39:C44" si="2">B12+C12*$C$25</f>
        <v>125</v>
      </c>
      <c r="D39" s="3">
        <f t="shared" si="0"/>
        <v>100</v>
      </c>
    </row>
    <row r="40" spans="1:9" x14ac:dyDescent="0.15">
      <c r="A40" s="86" t="s">
        <v>1231</v>
      </c>
      <c r="B40" s="3">
        <f t="shared" si="1"/>
        <v>2</v>
      </c>
      <c r="C40" s="3">
        <f t="shared" si="2"/>
        <v>1</v>
      </c>
      <c r="D40" s="3">
        <f t="shared" si="0"/>
        <v>0</v>
      </c>
    </row>
    <row r="41" spans="1:9" x14ac:dyDescent="0.15">
      <c r="A41" s="86" t="s">
        <v>1230</v>
      </c>
      <c r="B41" s="3">
        <f t="shared" si="1"/>
        <v>45</v>
      </c>
      <c r="C41" s="3">
        <f t="shared" si="2"/>
        <v>35</v>
      </c>
      <c r="D41" s="3">
        <f t="shared" si="0"/>
        <v>25</v>
      </c>
    </row>
    <row r="42" spans="1:9" x14ac:dyDescent="0.15">
      <c r="A42" s="86" t="s">
        <v>1229</v>
      </c>
      <c r="B42" s="3">
        <f t="shared" si="1"/>
        <v>48</v>
      </c>
      <c r="C42" s="3">
        <f t="shared" si="2"/>
        <v>44</v>
      </c>
      <c r="D42" s="3">
        <f t="shared" si="0"/>
        <v>40</v>
      </c>
    </row>
    <row r="43" spans="1:9" x14ac:dyDescent="0.15">
      <c r="A43" s="86" t="s">
        <v>1228</v>
      </c>
      <c r="B43" s="3">
        <f t="shared" si="1"/>
        <v>11</v>
      </c>
      <c r="C43" s="3">
        <f t="shared" si="2"/>
        <v>10.5</v>
      </c>
      <c r="D43" s="3">
        <f t="shared" si="0"/>
        <v>10</v>
      </c>
    </row>
    <row r="44" spans="1:9" x14ac:dyDescent="0.15">
      <c r="A44" s="86" t="s">
        <v>1223</v>
      </c>
      <c r="B44" s="3">
        <f t="shared" si="1"/>
        <v>3</v>
      </c>
      <c r="C44" s="3">
        <f t="shared" si="2"/>
        <v>3</v>
      </c>
      <c r="D44" s="3">
        <f t="shared" si="0"/>
        <v>3</v>
      </c>
    </row>
    <row r="45" spans="1:9" ht="30" x14ac:dyDescent="0.15">
      <c r="A45" s="182" t="s">
        <v>326</v>
      </c>
      <c r="D45" s="3">
        <f>C21*D25</f>
        <v>1</v>
      </c>
    </row>
    <row r="46" spans="1:9" x14ac:dyDescent="0.15">
      <c r="A46" s="86" t="s">
        <v>1227</v>
      </c>
      <c r="B46" s="3">
        <f>B18+C18</f>
        <v>9</v>
      </c>
      <c r="C46" s="3">
        <f>B18+C18*$C$25</f>
        <v>9</v>
      </c>
      <c r="D46" s="3">
        <f>B18</f>
        <v>9</v>
      </c>
    </row>
    <row r="47" spans="1:9" x14ac:dyDescent="0.15">
      <c r="A47" s="86" t="s">
        <v>1224</v>
      </c>
      <c r="B47" s="3">
        <f>B19+C19</f>
        <v>2</v>
      </c>
      <c r="C47" s="3">
        <f>B19+C19*$C$25</f>
        <v>2</v>
      </c>
      <c r="D47" s="3">
        <f>B19</f>
        <v>2</v>
      </c>
    </row>
    <row r="48" spans="1:9" x14ac:dyDescent="0.15">
      <c r="A48" s="86" t="s">
        <v>1226</v>
      </c>
      <c r="B48" s="3">
        <f>B20+C20</f>
        <v>15</v>
      </c>
      <c r="C48" s="3">
        <f>B20+C20*$C$25</f>
        <v>13</v>
      </c>
      <c r="D48" s="3">
        <f>B20</f>
        <v>11</v>
      </c>
    </row>
    <row r="49" spans="1:6" x14ac:dyDescent="0.15">
      <c r="A49" s="309" t="s">
        <v>1225</v>
      </c>
      <c r="B49" s="7">
        <f>B38-B39-B40-B41-B42-B43+B44-B46+B47-B48</f>
        <v>15</v>
      </c>
      <c r="C49" s="7">
        <f>C38-C39-C40-C41-C42-C43+C44-C46+C47-C48</f>
        <v>12.5</v>
      </c>
      <c r="D49" s="7">
        <f>D38-D39-D40-D41-D42-D43+D44+D45-D46+D47-D48</f>
        <v>11</v>
      </c>
      <c r="E49" s="7"/>
    </row>
    <row r="50" spans="1:6" x14ac:dyDescent="0.15">
      <c r="A50" s="86" t="s">
        <v>352</v>
      </c>
      <c r="B50" s="3">
        <f>(1-B25)*C21</f>
        <v>0.99999999999999978</v>
      </c>
    </row>
    <row r="51" spans="1:6" x14ac:dyDescent="0.15">
      <c r="A51" s="308" t="s">
        <v>327</v>
      </c>
      <c r="B51" s="278">
        <f>B49-B50</f>
        <v>14</v>
      </c>
      <c r="C51" s="278"/>
      <c r="D51" s="278"/>
      <c r="E51" s="7"/>
    </row>
    <row r="52" spans="1:6" x14ac:dyDescent="0.15">
      <c r="A52" s="17"/>
    </row>
    <row r="54" spans="1:6" ht="15" x14ac:dyDescent="0.15">
      <c r="A54" s="8" t="s">
        <v>1237</v>
      </c>
    </row>
    <row r="56" spans="1:6" x14ac:dyDescent="0.15">
      <c r="A56" s="516" t="s">
        <v>1672</v>
      </c>
      <c r="B56" s="517"/>
      <c r="C56" s="517"/>
      <c r="D56" s="517"/>
      <c r="E56" s="517"/>
      <c r="F56" s="517"/>
    </row>
    <row r="57" spans="1:6" x14ac:dyDescent="0.15">
      <c r="A57" s="517"/>
      <c r="B57" s="517"/>
      <c r="C57" s="517"/>
      <c r="D57" s="517"/>
      <c r="E57" s="517"/>
      <c r="F57" s="517"/>
    </row>
    <row r="58" spans="1:6" x14ac:dyDescent="0.15">
      <c r="A58" s="517"/>
      <c r="B58" s="517"/>
      <c r="C58" s="517"/>
      <c r="D58" s="517"/>
      <c r="E58" s="517"/>
      <c r="F58" s="517"/>
    </row>
    <row r="59" spans="1:6" x14ac:dyDescent="0.15">
      <c r="A59" s="517"/>
      <c r="B59" s="517"/>
      <c r="C59" s="517"/>
      <c r="D59" s="517"/>
      <c r="E59" s="517"/>
      <c r="F59" s="517"/>
    </row>
    <row r="60" spans="1:6" x14ac:dyDescent="0.15">
      <c r="A60" s="517"/>
      <c r="B60" s="517"/>
      <c r="C60" s="517"/>
      <c r="D60" s="517"/>
      <c r="E60" s="517"/>
      <c r="F60" s="517"/>
    </row>
    <row r="61" spans="1:6" x14ac:dyDescent="0.15">
      <c r="A61" s="517"/>
      <c r="B61" s="517"/>
      <c r="C61" s="517"/>
      <c r="D61" s="517"/>
      <c r="E61" s="517"/>
      <c r="F61" s="517"/>
    </row>
    <row r="62" spans="1:6" x14ac:dyDescent="0.15">
      <c r="A62" s="517"/>
      <c r="B62" s="517"/>
      <c r="C62" s="517"/>
      <c r="D62" s="517"/>
      <c r="E62" s="517"/>
      <c r="F62" s="517"/>
    </row>
    <row r="63" spans="1:6" x14ac:dyDescent="0.15">
      <c r="A63" s="517"/>
      <c r="B63" s="517"/>
      <c r="C63" s="517"/>
      <c r="D63" s="517"/>
      <c r="E63" s="517"/>
      <c r="F63" s="517"/>
    </row>
    <row r="64" spans="1:6" x14ac:dyDescent="0.15">
      <c r="A64" s="517"/>
      <c r="B64" s="517"/>
      <c r="C64" s="517"/>
      <c r="D64" s="517"/>
      <c r="E64" s="517"/>
      <c r="F64" s="517"/>
    </row>
    <row r="65" spans="1:6" x14ac:dyDescent="0.15">
      <c r="A65" s="517"/>
      <c r="B65" s="517"/>
      <c r="C65" s="517"/>
      <c r="D65" s="517"/>
      <c r="E65" s="517"/>
      <c r="F65" s="517"/>
    </row>
    <row r="66" spans="1:6" x14ac:dyDescent="0.15">
      <c r="A66" s="517"/>
      <c r="B66" s="517"/>
      <c r="C66" s="517"/>
      <c r="D66" s="517"/>
      <c r="E66" s="517"/>
      <c r="F66" s="517"/>
    </row>
  </sheetData>
  <mergeCells count="1">
    <mergeCell ref="A56:F66"/>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pageSetUpPr fitToPage="1"/>
  </sheetPr>
  <dimension ref="A1:H137"/>
  <sheetViews>
    <sheetView showGridLines="0" topLeftCell="A46" workbookViewId="0">
      <selection activeCell="A46" sqref="A1:XFD1048576"/>
    </sheetView>
  </sheetViews>
  <sheetFormatPr baseColWidth="10" defaultColWidth="11" defaultRowHeight="14" x14ac:dyDescent="0.15"/>
  <cols>
    <col min="1" max="1" width="37.1640625" style="3" bestFit="1" customWidth="1"/>
    <col min="2" max="5" width="12.1640625" style="3" bestFit="1" customWidth="1"/>
    <col min="6" max="6" width="13.1640625" style="3" bestFit="1" customWidth="1"/>
    <col min="7" max="16384" width="11" style="3"/>
  </cols>
  <sheetData>
    <row r="1" spans="1:7" ht="15" x14ac:dyDescent="0.15">
      <c r="A1" s="1" t="s">
        <v>542</v>
      </c>
      <c r="F1" s="83"/>
      <c r="G1" s="83"/>
    </row>
    <row r="2" spans="1:7" x14ac:dyDescent="0.15">
      <c r="A2" s="359"/>
      <c r="B2" s="360">
        <v>2006</v>
      </c>
      <c r="C2" s="360">
        <v>2007</v>
      </c>
      <c r="D2" s="360">
        <v>2008</v>
      </c>
      <c r="F2" s="5"/>
      <c r="G2" s="5"/>
    </row>
    <row r="3" spans="1:7" x14ac:dyDescent="0.15">
      <c r="A3" s="3" t="s">
        <v>1181</v>
      </c>
      <c r="B3" s="166">
        <v>256</v>
      </c>
      <c r="C3" s="166">
        <v>326</v>
      </c>
      <c r="D3" s="166">
        <v>422</v>
      </c>
      <c r="E3" s="166"/>
      <c r="F3" s="166"/>
    </row>
    <row r="4" spans="1:7" x14ac:dyDescent="0.15">
      <c r="A4" s="3" t="s">
        <v>62</v>
      </c>
      <c r="B4" s="166">
        <v>78</v>
      </c>
      <c r="C4" s="166">
        <v>104</v>
      </c>
      <c r="D4" s="166">
        <v>143</v>
      </c>
      <c r="E4" s="80"/>
      <c r="F4" s="166"/>
      <c r="G4" s="166"/>
    </row>
    <row r="5" spans="1:7" x14ac:dyDescent="0.15">
      <c r="A5" s="3" t="s">
        <v>936</v>
      </c>
      <c r="B5" s="166">
        <v>102</v>
      </c>
      <c r="C5" s="166">
        <v>139</v>
      </c>
      <c r="D5" s="166">
        <v>190</v>
      </c>
      <c r="E5" s="166"/>
      <c r="F5" s="166"/>
      <c r="G5" s="166"/>
    </row>
    <row r="6" spans="1:7" x14ac:dyDescent="0.15">
      <c r="A6" s="3" t="s">
        <v>1014</v>
      </c>
      <c r="B6" s="166">
        <v>41</v>
      </c>
      <c r="C6" s="166">
        <v>52</v>
      </c>
      <c r="D6" s="166">
        <v>59</v>
      </c>
      <c r="E6" s="166"/>
      <c r="F6" s="166"/>
    </row>
    <row r="7" spans="1:7" x14ac:dyDescent="0.15">
      <c r="A7" s="3" t="s">
        <v>1051</v>
      </c>
      <c r="B7" s="166">
        <v>23</v>
      </c>
      <c r="C7" s="166">
        <v>27</v>
      </c>
      <c r="D7" s="166">
        <v>30</v>
      </c>
      <c r="E7" s="166"/>
      <c r="F7" s="166"/>
    </row>
    <row r="8" spans="1:7" x14ac:dyDescent="0.15">
      <c r="A8" s="3" t="s">
        <v>1199</v>
      </c>
      <c r="B8" s="166">
        <v>119</v>
      </c>
      <c r="C8" s="166">
        <v>129</v>
      </c>
      <c r="D8" s="166">
        <v>152</v>
      </c>
      <c r="E8" s="166"/>
      <c r="F8" s="166"/>
    </row>
    <row r="9" spans="1:7" x14ac:dyDescent="0.15">
      <c r="A9" s="3" t="s">
        <v>63</v>
      </c>
      <c r="B9" s="166">
        <v>42</v>
      </c>
      <c r="C9" s="166">
        <v>125</v>
      </c>
      <c r="D9" s="166">
        <v>150</v>
      </c>
      <c r="E9" s="166"/>
      <c r="F9" s="166"/>
    </row>
    <row r="11" spans="1:7" x14ac:dyDescent="0.15">
      <c r="A11" s="172" t="s">
        <v>64</v>
      </c>
    </row>
    <row r="12" spans="1:7" x14ac:dyDescent="0.15">
      <c r="A12" s="172"/>
    </row>
    <row r="13" spans="1:7" x14ac:dyDescent="0.15">
      <c r="A13" s="3" t="s">
        <v>330</v>
      </c>
      <c r="C13" s="80">
        <f>C3/B3-1</f>
        <v>0.2734375</v>
      </c>
      <c r="D13" s="80">
        <f>D3/C3-1</f>
        <v>0.29447852760736204</v>
      </c>
    </row>
    <row r="14" spans="1:7" x14ac:dyDescent="0.15">
      <c r="A14" s="3" t="s">
        <v>331</v>
      </c>
      <c r="B14" s="80">
        <f>B6/B3</f>
        <v>0.16015625</v>
      </c>
      <c r="C14" s="80">
        <f>C6/C3</f>
        <v>0.15950920245398773</v>
      </c>
      <c r="D14" s="80">
        <f>D6/D3</f>
        <v>0.13981042654028436</v>
      </c>
    </row>
    <row r="15" spans="1:7" x14ac:dyDescent="0.15">
      <c r="A15" s="3" t="s">
        <v>332</v>
      </c>
      <c r="B15" s="80">
        <f>B7/B3</f>
        <v>8.984375E-2</v>
      </c>
      <c r="C15" s="80">
        <f>C7/C3</f>
        <v>8.2822085889570546E-2</v>
      </c>
      <c r="D15" s="80">
        <f>D7/D3</f>
        <v>7.1090047393364927E-2</v>
      </c>
    </row>
    <row r="16" spans="1:7" x14ac:dyDescent="0.15">
      <c r="A16" s="3" t="s">
        <v>334</v>
      </c>
      <c r="B16" s="80">
        <f>B6*0.6/(B8+B9)</f>
        <v>0.15279503105590062</v>
      </c>
      <c r="C16" s="80">
        <f>C6*0.6/(C8+C9)</f>
        <v>0.12283464566929134</v>
      </c>
      <c r="D16" s="80">
        <f>D6*0.6/(D8+D9)</f>
        <v>0.11721854304635761</v>
      </c>
    </row>
    <row r="17" spans="1:8" x14ac:dyDescent="0.15">
      <c r="A17" s="3" t="s">
        <v>65</v>
      </c>
      <c r="B17" s="81">
        <f>B8/B9</f>
        <v>2.8333333333333335</v>
      </c>
      <c r="C17" s="81">
        <f>C8/C9</f>
        <v>1.032</v>
      </c>
      <c r="D17" s="81">
        <f>D8/D9</f>
        <v>1.0133333333333334</v>
      </c>
    </row>
    <row r="18" spans="1:8" x14ac:dyDescent="0.15">
      <c r="A18" s="3" t="s">
        <v>202</v>
      </c>
      <c r="B18" s="81">
        <f>B7/B8</f>
        <v>0.19327731092436976</v>
      </c>
      <c r="C18" s="81">
        <f>C7/C8</f>
        <v>0.20930232558139536</v>
      </c>
      <c r="D18" s="81">
        <f>D7/D8</f>
        <v>0.19736842105263158</v>
      </c>
    </row>
    <row r="19" spans="1:8" x14ac:dyDescent="0.15">
      <c r="B19" s="80"/>
      <c r="C19" s="80"/>
      <c r="D19" s="80"/>
    </row>
    <row r="20" spans="1:8" x14ac:dyDescent="0.15">
      <c r="B20" s="80"/>
      <c r="C20" s="80"/>
      <c r="D20" s="80"/>
    </row>
    <row r="21" spans="1:8" x14ac:dyDescent="0.15">
      <c r="A21" s="172" t="s">
        <v>338</v>
      </c>
      <c r="B21" s="80"/>
      <c r="C21" s="80"/>
      <c r="D21" s="80"/>
    </row>
    <row r="22" spans="1:8" x14ac:dyDescent="0.15">
      <c r="A22" s="7"/>
      <c r="B22" s="80"/>
      <c r="C22" s="80"/>
      <c r="D22" s="80"/>
    </row>
    <row r="23" spans="1:8" x14ac:dyDescent="0.15">
      <c r="A23" s="3" t="s">
        <v>335</v>
      </c>
      <c r="B23" s="166">
        <f>B4+B5</f>
        <v>180</v>
      </c>
      <c r="C23" s="166">
        <f>C4+C5</f>
        <v>243</v>
      </c>
      <c r="D23" s="166">
        <f>D4+D5</f>
        <v>333</v>
      </c>
    </row>
    <row r="24" spans="1:8" x14ac:dyDescent="0.15">
      <c r="A24" s="3" t="s">
        <v>336</v>
      </c>
      <c r="B24" s="80">
        <f>B23/(B3-B6)</f>
        <v>0.83720930232558144</v>
      </c>
      <c r="C24" s="80">
        <f>C23/(C3-C6)</f>
        <v>0.88686131386861311</v>
      </c>
      <c r="D24" s="80">
        <f>D23/(D3-D6)</f>
        <v>0.9173553719008265</v>
      </c>
    </row>
    <row r="25" spans="1:8" x14ac:dyDescent="0.15">
      <c r="A25" s="3" t="s">
        <v>337</v>
      </c>
      <c r="B25" s="80">
        <f>B23/B3</f>
        <v>0.703125</v>
      </c>
      <c r="C25" s="80">
        <f>C23/C3</f>
        <v>0.745398773006135</v>
      </c>
      <c r="D25" s="80">
        <f>D23/D3</f>
        <v>0.7890995260663507</v>
      </c>
    </row>
    <row r="26" spans="1:8" x14ac:dyDescent="0.15">
      <c r="B26" s="80"/>
      <c r="C26" s="80"/>
      <c r="D26" s="80"/>
    </row>
    <row r="27" spans="1:8" x14ac:dyDescent="0.15">
      <c r="B27" s="80"/>
      <c r="C27" s="80"/>
      <c r="D27" s="80"/>
    </row>
    <row r="28" spans="1:8" x14ac:dyDescent="0.15">
      <c r="A28" s="172" t="s">
        <v>1466</v>
      </c>
      <c r="F28" s="83"/>
      <c r="G28" s="83"/>
      <c r="H28" s="83"/>
    </row>
    <row r="29" spans="1:8" x14ac:dyDescent="0.15">
      <c r="A29" s="172"/>
      <c r="F29" s="83"/>
      <c r="G29" s="83"/>
      <c r="H29" s="83"/>
    </row>
    <row r="30" spans="1:8" x14ac:dyDescent="0.15">
      <c r="A30" s="3" t="s">
        <v>1467</v>
      </c>
      <c r="F30" s="83"/>
      <c r="G30" s="83"/>
      <c r="H30" s="83"/>
    </row>
    <row r="31" spans="1:8" x14ac:dyDescent="0.15">
      <c r="F31" s="83"/>
      <c r="G31" s="83"/>
      <c r="H31" s="83"/>
    </row>
    <row r="32" spans="1:8" x14ac:dyDescent="0.15">
      <c r="A32" s="3" t="s">
        <v>339</v>
      </c>
      <c r="B32" s="80">
        <v>0.4</v>
      </c>
      <c r="F32" s="83"/>
      <c r="G32" s="83"/>
      <c r="H32" s="83"/>
    </row>
    <row r="33" spans="1:8" x14ac:dyDescent="0.15">
      <c r="A33" s="3" t="s">
        <v>340</v>
      </c>
      <c r="B33" s="80">
        <v>0.11</v>
      </c>
      <c r="F33" s="83"/>
      <c r="G33" s="83"/>
      <c r="H33" s="83"/>
    </row>
    <row r="34" spans="1:8" x14ac:dyDescent="0.15">
      <c r="A34" s="7"/>
      <c r="F34" s="83"/>
      <c r="G34" s="83"/>
      <c r="H34" s="83"/>
    </row>
    <row r="35" spans="1:8" x14ac:dyDescent="0.15">
      <c r="A35" s="359"/>
      <c r="B35" s="360">
        <v>2008</v>
      </c>
      <c r="C35" s="360">
        <v>2009</v>
      </c>
      <c r="D35" s="360" t="s">
        <v>341</v>
      </c>
    </row>
    <row r="36" spans="1:8" x14ac:dyDescent="0.15">
      <c r="A36" s="3" t="s">
        <v>1181</v>
      </c>
      <c r="B36" s="166">
        <f>D3</f>
        <v>422</v>
      </c>
      <c r="C36" s="166">
        <f>B36</f>
        <v>422</v>
      </c>
      <c r="D36" s="80"/>
      <c r="E36" s="166"/>
    </row>
    <row r="37" spans="1:8" x14ac:dyDescent="0.15">
      <c r="A37" s="3" t="s">
        <v>62</v>
      </c>
      <c r="B37" s="166">
        <f>+D4</f>
        <v>143</v>
      </c>
      <c r="C37" s="166">
        <f>B37*(1+B32)</f>
        <v>200.2</v>
      </c>
      <c r="D37" s="80">
        <f>C37/B37-1</f>
        <v>0.39999999999999991</v>
      </c>
      <c r="E37" s="166"/>
    </row>
    <row r="38" spans="1:8" x14ac:dyDescent="0.15">
      <c r="A38" s="3" t="s">
        <v>936</v>
      </c>
      <c r="B38" s="166">
        <f>D5</f>
        <v>190</v>
      </c>
      <c r="C38" s="166">
        <f>B38*(1+B33)</f>
        <v>210.9</v>
      </c>
      <c r="D38" s="80">
        <f>C38/B38-1</f>
        <v>0.1100000000000001</v>
      </c>
      <c r="E38" s="166"/>
    </row>
    <row r="39" spans="1:8" x14ac:dyDescent="0.15">
      <c r="A39" s="3" t="s">
        <v>1014</v>
      </c>
      <c r="B39" s="166">
        <f>D6</f>
        <v>59</v>
      </c>
      <c r="C39" s="166">
        <f>C36-C37-C38-(B36-SUM(B37:B39))</f>
        <v>-19.099999999999994</v>
      </c>
      <c r="D39" s="80">
        <f>C39/B39-1</f>
        <v>-1.3237288135593219</v>
      </c>
      <c r="E39" s="166"/>
    </row>
    <row r="40" spans="1:8" x14ac:dyDescent="0.15">
      <c r="A40" s="3" t="s">
        <v>1051</v>
      </c>
      <c r="B40" s="166">
        <f>B39-(D6-D7)</f>
        <v>30</v>
      </c>
      <c r="C40" s="166">
        <f>C39-(B39-B40)</f>
        <v>-48.099999999999994</v>
      </c>
      <c r="D40" s="80">
        <f>C40/B40-1</f>
        <v>-2.6033333333333331</v>
      </c>
      <c r="E40" s="166"/>
    </row>
    <row r="43" spans="1:8" x14ac:dyDescent="0.15">
      <c r="A43" s="3" t="s">
        <v>331</v>
      </c>
      <c r="B43" s="80">
        <f>+B39/B36</f>
        <v>0.13981042654028436</v>
      </c>
      <c r="C43" s="80">
        <f>+C39/C36</f>
        <v>-4.5260663507108993E-2</v>
      </c>
    </row>
    <row r="44" spans="1:8" x14ac:dyDescent="0.15">
      <c r="A44" s="3" t="s">
        <v>332</v>
      </c>
      <c r="B44" s="80">
        <f>+B40/B36</f>
        <v>7.1090047393364927E-2</v>
      </c>
      <c r="C44" s="80">
        <f>+C40/C36</f>
        <v>-0.11398104265402842</v>
      </c>
    </row>
    <row r="45" spans="1:8" x14ac:dyDescent="0.15">
      <c r="A45" s="3" t="s">
        <v>333</v>
      </c>
      <c r="B45" s="80">
        <f>+B39*0.6/(B8+B9)</f>
        <v>0.21987577639751552</v>
      </c>
      <c r="C45" s="80">
        <f>+C39*0.6/(C8+C9)</f>
        <v>-4.5118110236220456E-2</v>
      </c>
    </row>
    <row r="46" spans="1:8" x14ac:dyDescent="0.15">
      <c r="A46" s="3" t="s">
        <v>342</v>
      </c>
      <c r="B46" s="80">
        <f>B40/B8</f>
        <v>0.25210084033613445</v>
      </c>
      <c r="C46" s="80">
        <f>C40/C8</f>
        <v>-0.37286821705426354</v>
      </c>
    </row>
    <row r="49" spans="1:6" ht="15" x14ac:dyDescent="0.15">
      <c r="A49" s="8" t="s">
        <v>543</v>
      </c>
    </row>
    <row r="50" spans="1:6" x14ac:dyDescent="0.15">
      <c r="A50" s="3" t="s">
        <v>1099</v>
      </c>
    </row>
    <row r="51" spans="1:6" s="7" customFormat="1" x14ac:dyDescent="0.15">
      <c r="A51" s="334"/>
      <c r="B51" s="334">
        <v>1996</v>
      </c>
      <c r="C51" s="334">
        <f>B51+1</f>
        <v>1997</v>
      </c>
      <c r="D51" s="334">
        <f>C51+1</f>
        <v>1998</v>
      </c>
      <c r="E51" s="334">
        <f>D51+1</f>
        <v>1999</v>
      </c>
      <c r="F51" s="334">
        <f>E51+1</f>
        <v>2000</v>
      </c>
    </row>
    <row r="52" spans="1:6" x14ac:dyDescent="0.15">
      <c r="A52" s="3" t="s">
        <v>1181</v>
      </c>
      <c r="B52" s="87">
        <v>13289</v>
      </c>
      <c r="C52" s="87">
        <v>20273</v>
      </c>
      <c r="D52" s="87">
        <v>31260</v>
      </c>
      <c r="E52" s="87">
        <v>40112</v>
      </c>
      <c r="F52" s="87">
        <v>100789</v>
      </c>
    </row>
    <row r="53" spans="1:6" x14ac:dyDescent="0.15">
      <c r="A53" s="3" t="s">
        <v>1051</v>
      </c>
    </row>
    <row r="54" spans="1:6" x14ac:dyDescent="0.15">
      <c r="A54" s="255" t="s">
        <v>58</v>
      </c>
      <c r="B54" s="145">
        <v>493</v>
      </c>
      <c r="C54" s="145">
        <v>515</v>
      </c>
      <c r="D54" s="145">
        <v>698</v>
      </c>
      <c r="E54" s="145">
        <v>957</v>
      </c>
      <c r="F54" s="145">
        <v>1266</v>
      </c>
    </row>
    <row r="55" spans="1:6" x14ac:dyDescent="0.15">
      <c r="A55" s="255" t="s">
        <v>1056</v>
      </c>
      <c r="B55" s="145">
        <v>91</v>
      </c>
      <c r="C55" s="145">
        <v>-410</v>
      </c>
      <c r="D55" s="145">
        <v>5</v>
      </c>
      <c r="E55" s="145">
        <v>-64</v>
      </c>
      <c r="F55" s="145">
        <v>-287</v>
      </c>
    </row>
    <row r="56" spans="1:6" x14ac:dyDescent="0.15">
      <c r="A56" s="306" t="s">
        <v>938</v>
      </c>
      <c r="B56" s="307">
        <f>B54+B55</f>
        <v>584</v>
      </c>
      <c r="C56" s="307">
        <f>C54+C55</f>
        <v>105</v>
      </c>
      <c r="D56" s="307">
        <f>D54+D55</f>
        <v>703</v>
      </c>
      <c r="E56" s="307">
        <f>E54+E55</f>
        <v>893</v>
      </c>
      <c r="F56" s="307">
        <f>F54+F55</f>
        <v>979</v>
      </c>
    </row>
    <row r="57" spans="1:6" x14ac:dyDescent="0.15">
      <c r="A57" s="3" t="s">
        <v>1057</v>
      </c>
    </row>
    <row r="58" spans="1:6" x14ac:dyDescent="0.15">
      <c r="A58" s="255" t="s">
        <v>1094</v>
      </c>
      <c r="B58" s="3">
        <v>0.91</v>
      </c>
      <c r="C58" s="3">
        <v>0.87</v>
      </c>
      <c r="D58" s="3">
        <v>0.48</v>
      </c>
      <c r="E58" s="3">
        <v>0.5</v>
      </c>
      <c r="F58" s="68">
        <v>0.5</v>
      </c>
    </row>
    <row r="59" spans="1:6" x14ac:dyDescent="0.15">
      <c r="A59" s="255" t="s">
        <v>1056</v>
      </c>
      <c r="B59" s="3">
        <v>0.17</v>
      </c>
      <c r="C59" s="3">
        <v>-0.71</v>
      </c>
      <c r="D59" s="3">
        <v>0.01</v>
      </c>
      <c r="E59" s="3">
        <v>-0.08</v>
      </c>
      <c r="F59" s="3">
        <v>0.35</v>
      </c>
    </row>
    <row r="60" spans="1:6" x14ac:dyDescent="0.15">
      <c r="A60" s="306" t="s">
        <v>938</v>
      </c>
      <c r="B60" s="306">
        <f>B58+B59</f>
        <v>1.08</v>
      </c>
      <c r="C60" s="306">
        <f>C58+C59</f>
        <v>0.16000000000000003</v>
      </c>
      <c r="D60" s="306">
        <f>D58+D59</f>
        <v>0.49</v>
      </c>
      <c r="E60" s="306">
        <f>E58+E59</f>
        <v>0.42</v>
      </c>
      <c r="F60" s="306">
        <f>F58+F59</f>
        <v>0.85</v>
      </c>
    </row>
    <row r="61" spans="1:6" x14ac:dyDescent="0.15">
      <c r="A61" s="3" t="s">
        <v>1095</v>
      </c>
      <c r="B61" s="3">
        <v>0.43</v>
      </c>
      <c r="C61" s="3">
        <v>0.46</v>
      </c>
      <c r="D61" s="3">
        <v>0.48</v>
      </c>
      <c r="E61" s="68">
        <v>0.5</v>
      </c>
      <c r="F61" s="68">
        <v>0.5</v>
      </c>
    </row>
    <row r="62" spans="1:6" x14ac:dyDescent="0.15">
      <c r="A62" s="3" t="s">
        <v>1096</v>
      </c>
      <c r="B62" s="105">
        <v>16137</v>
      </c>
      <c r="C62" s="105">
        <v>22552</v>
      </c>
      <c r="D62" s="105">
        <v>29350</v>
      </c>
      <c r="E62" s="105">
        <v>33381</v>
      </c>
      <c r="F62" s="105">
        <v>65503</v>
      </c>
    </row>
    <row r="63" spans="1:6" ht="30" x14ac:dyDescent="0.15">
      <c r="A63" s="6" t="s">
        <v>1097</v>
      </c>
      <c r="B63" s="105">
        <v>742</v>
      </c>
      <c r="C63" s="105">
        <v>276</v>
      </c>
      <c r="D63" s="105">
        <v>1873</v>
      </c>
      <c r="E63" s="105">
        <v>2228</v>
      </c>
      <c r="F63" s="105">
        <v>3010</v>
      </c>
    </row>
    <row r="64" spans="1:6" x14ac:dyDescent="0.15">
      <c r="A64" s="3" t="s">
        <v>931</v>
      </c>
      <c r="B64" s="105">
        <v>1483</v>
      </c>
      <c r="C64" s="105">
        <v>2092</v>
      </c>
      <c r="D64" s="105">
        <v>3564</v>
      </c>
      <c r="E64" s="105">
        <v>3085</v>
      </c>
      <c r="F64" s="105">
        <v>3314</v>
      </c>
    </row>
    <row r="65" spans="1:6" x14ac:dyDescent="0.15">
      <c r="A65" s="3" t="s">
        <v>1098</v>
      </c>
      <c r="B65" s="3">
        <v>22</v>
      </c>
      <c r="C65" s="3">
        <v>21</v>
      </c>
      <c r="D65" s="3">
        <v>29</v>
      </c>
      <c r="E65" s="3">
        <v>44</v>
      </c>
      <c r="F65" s="3">
        <v>83</v>
      </c>
    </row>
    <row r="69" spans="1:6" x14ac:dyDescent="0.15">
      <c r="A69" s="172" t="s">
        <v>1104</v>
      </c>
    </row>
    <row r="70" spans="1:6" x14ac:dyDescent="0.15">
      <c r="A70" s="172"/>
    </row>
    <row r="71" spans="1:6" x14ac:dyDescent="0.15">
      <c r="A71" s="3" t="s">
        <v>1100</v>
      </c>
    </row>
    <row r="72" spans="1:6" x14ac:dyDescent="0.15">
      <c r="A72" s="3" t="s">
        <v>1101</v>
      </c>
    </row>
    <row r="73" spans="1:6" x14ac:dyDescent="0.15">
      <c r="A73" s="3" t="s">
        <v>1102</v>
      </c>
    </row>
    <row r="74" spans="1:6" x14ac:dyDescent="0.15">
      <c r="A74" s="3" t="s">
        <v>1103</v>
      </c>
    </row>
    <row r="76" spans="1:6" x14ac:dyDescent="0.15">
      <c r="A76" s="3" t="s">
        <v>900</v>
      </c>
    </row>
    <row r="137" spans="1:1" x14ac:dyDescent="0.15">
      <c r="A137" s="3" t="s">
        <v>1105</v>
      </c>
    </row>
  </sheetData>
  <phoneticPr fontId="4" type="noConversion"/>
  <pageMargins left="0.78740157480314965" right="0.78740157480314965" top="0.98425196850393704" bottom="0.98425196850393704" header="0.51181102362204722" footer="0.51181102362204722"/>
  <pageSetup paperSize="9" scale="50"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pageSetUpPr fitToPage="1"/>
  </sheetPr>
  <dimension ref="A1:F58"/>
  <sheetViews>
    <sheetView showGridLines="0" topLeftCell="A33" workbookViewId="0">
      <selection activeCell="A33" sqref="A1:XFD1048576"/>
    </sheetView>
  </sheetViews>
  <sheetFormatPr baseColWidth="10" defaultColWidth="11" defaultRowHeight="14" x14ac:dyDescent="0.15"/>
  <cols>
    <col min="1" max="1" width="55.83203125" style="3" customWidth="1"/>
    <col min="2" max="2" width="18.1640625" style="3" customWidth="1"/>
    <col min="3" max="3" width="19.83203125" style="3" bestFit="1" customWidth="1"/>
    <col min="4" max="4" width="20" style="3" bestFit="1" customWidth="1"/>
    <col min="5" max="5" width="20.1640625" style="3" bestFit="1" customWidth="1"/>
    <col min="6" max="6" width="18.1640625" style="3" customWidth="1"/>
    <col min="7" max="7" width="19.83203125" style="3" customWidth="1"/>
    <col min="8" max="16384" width="11" style="3"/>
  </cols>
  <sheetData>
    <row r="1" spans="1:6" ht="15" x14ac:dyDescent="0.15">
      <c r="A1" s="1" t="s">
        <v>1237</v>
      </c>
    </row>
    <row r="2" spans="1:6" ht="15" x14ac:dyDescent="0.15">
      <c r="A2" s="8"/>
    </row>
    <row r="3" spans="1:6" x14ac:dyDescent="0.15">
      <c r="A3" s="360" t="s">
        <v>602</v>
      </c>
      <c r="B3" s="360">
        <v>1</v>
      </c>
      <c r="C3" s="360">
        <f>B3+1</f>
        <v>2</v>
      </c>
      <c r="D3" s="360">
        <f>C3+1</f>
        <v>3</v>
      </c>
      <c r="E3" s="360">
        <f>D3+1</f>
        <v>4</v>
      </c>
      <c r="F3" s="360">
        <f>E3+1</f>
        <v>5</v>
      </c>
    </row>
    <row r="4" spans="1:6" x14ac:dyDescent="0.15">
      <c r="A4" s="3" t="s">
        <v>1181</v>
      </c>
      <c r="B4" s="92">
        <v>100</v>
      </c>
      <c r="C4" s="92">
        <v>100</v>
      </c>
      <c r="D4" s="92">
        <v>100</v>
      </c>
      <c r="E4" s="92">
        <v>100</v>
      </c>
      <c r="F4" s="92">
        <v>100</v>
      </c>
    </row>
    <row r="5" spans="1:6" x14ac:dyDescent="0.15">
      <c r="A5" s="3" t="s">
        <v>947</v>
      </c>
      <c r="B5" s="92">
        <v>100</v>
      </c>
      <c r="C5" s="92">
        <v>100</v>
      </c>
      <c r="D5" s="92">
        <v>104</v>
      </c>
      <c r="E5" s="92">
        <v>99</v>
      </c>
      <c r="F5" s="92">
        <v>0</v>
      </c>
    </row>
    <row r="6" spans="1:6" x14ac:dyDescent="0.15">
      <c r="A6" s="3" t="s">
        <v>1111</v>
      </c>
      <c r="B6" s="92">
        <v>23</v>
      </c>
      <c r="C6" s="92">
        <v>24.8</v>
      </c>
      <c r="D6" s="92">
        <v>0</v>
      </c>
      <c r="E6" s="92">
        <v>0</v>
      </c>
      <c r="F6" s="92">
        <v>0</v>
      </c>
    </row>
    <row r="7" spans="1:6" x14ac:dyDescent="0.15">
      <c r="A7" s="3" t="s">
        <v>1112</v>
      </c>
      <c r="B7" s="491">
        <v>0</v>
      </c>
      <c r="C7" s="491">
        <v>0</v>
      </c>
      <c r="D7" s="518">
        <v>46.6</v>
      </c>
      <c r="E7" s="92">
        <v>23.6</v>
      </c>
      <c r="F7" s="491">
        <v>0</v>
      </c>
    </row>
    <row r="8" spans="1:6" x14ac:dyDescent="0.15">
      <c r="A8" s="3" t="s">
        <v>1113</v>
      </c>
      <c r="B8" s="491">
        <v>7.8</v>
      </c>
      <c r="C8" s="491">
        <v>7</v>
      </c>
      <c r="D8" s="518"/>
      <c r="E8" s="92">
        <v>46.9</v>
      </c>
      <c r="F8" s="491">
        <v>14.1</v>
      </c>
    </row>
    <row r="9" spans="1:6" x14ac:dyDescent="0.15">
      <c r="A9" s="3" t="s">
        <v>936</v>
      </c>
      <c r="B9" s="491">
        <v>9.3000000000000007</v>
      </c>
      <c r="C9" s="491">
        <v>11.7</v>
      </c>
      <c r="D9" s="491">
        <v>21.5</v>
      </c>
      <c r="E9" s="92">
        <v>24.1</v>
      </c>
      <c r="F9" s="491">
        <v>88.2</v>
      </c>
    </row>
    <row r="10" spans="1:6" x14ac:dyDescent="0.15">
      <c r="A10" s="3" t="s">
        <v>1114</v>
      </c>
      <c r="B10" s="491">
        <v>6.8</v>
      </c>
      <c r="C10" s="491">
        <v>6.7</v>
      </c>
      <c r="D10" s="491">
        <v>28.1</v>
      </c>
      <c r="E10" s="92">
        <v>3.7</v>
      </c>
      <c r="F10" s="491">
        <v>4.5999999999999996</v>
      </c>
    </row>
    <row r="11" spans="1:6" x14ac:dyDescent="0.15">
      <c r="A11" s="3" t="s">
        <v>1048</v>
      </c>
      <c r="B11" s="491">
        <v>2.6</v>
      </c>
      <c r="C11" s="491">
        <v>0.9</v>
      </c>
      <c r="D11" s="491">
        <v>14.4</v>
      </c>
      <c r="E11" s="92">
        <v>1.2</v>
      </c>
      <c r="F11" s="491">
        <v>0.7</v>
      </c>
    </row>
    <row r="12" spans="1:6" x14ac:dyDescent="0.15">
      <c r="A12" s="3" t="s">
        <v>1014</v>
      </c>
      <c r="B12" s="491">
        <f>B10-B11</f>
        <v>4.1999999999999993</v>
      </c>
      <c r="C12" s="491">
        <v>5.8</v>
      </c>
      <c r="D12" s="491">
        <v>7.1</v>
      </c>
      <c r="E12" s="491">
        <v>2.9</v>
      </c>
      <c r="F12" s="491">
        <v>3.1</v>
      </c>
    </row>
    <row r="13" spans="1:6" x14ac:dyDescent="0.15">
      <c r="A13" s="7"/>
      <c r="B13" s="301"/>
      <c r="C13" s="301"/>
      <c r="D13" s="301"/>
      <c r="E13" s="301"/>
      <c r="F13" s="301"/>
    </row>
    <row r="14" spans="1:6" ht="15" x14ac:dyDescent="0.15">
      <c r="A14" s="8"/>
    </row>
    <row r="15" spans="1:6" ht="15" x14ac:dyDescent="0.15">
      <c r="A15" s="117" t="s">
        <v>1123</v>
      </c>
      <c r="B15" s="302" t="s">
        <v>1117</v>
      </c>
      <c r="C15" s="302" t="s">
        <v>1120</v>
      </c>
      <c r="D15" s="302" t="s">
        <v>1115</v>
      </c>
      <c r="E15" s="302" t="s">
        <v>1122</v>
      </c>
      <c r="F15" s="302" t="s">
        <v>1119</v>
      </c>
    </row>
    <row r="16" spans="1:6" ht="15" x14ac:dyDescent="0.15">
      <c r="A16" s="117" t="s">
        <v>1124</v>
      </c>
      <c r="B16" s="82" t="s">
        <v>1118</v>
      </c>
      <c r="C16" s="82" t="s">
        <v>1121</v>
      </c>
      <c r="D16" s="82" t="s">
        <v>1116</v>
      </c>
      <c r="E16" s="82" t="s">
        <v>123</v>
      </c>
      <c r="F16" s="82" t="s">
        <v>936</v>
      </c>
    </row>
    <row r="17" spans="1:6" ht="15" x14ac:dyDescent="0.15">
      <c r="A17" s="8"/>
    </row>
    <row r="18" spans="1:6" ht="15" x14ac:dyDescent="0.15">
      <c r="A18" s="8"/>
    </row>
    <row r="19" spans="1:6" ht="15" x14ac:dyDescent="0.15">
      <c r="A19" s="8" t="s">
        <v>196</v>
      </c>
    </row>
    <row r="20" spans="1:6" ht="15" x14ac:dyDescent="0.15">
      <c r="A20" s="8"/>
    </row>
    <row r="21" spans="1:6" x14ac:dyDescent="0.15">
      <c r="A21" s="360" t="s">
        <v>602</v>
      </c>
      <c r="B21" s="360">
        <v>1</v>
      </c>
      <c r="C21" s="360">
        <f>B21+1</f>
        <v>2</v>
      </c>
      <c r="D21" s="360">
        <f>C21+1</f>
        <v>3</v>
      </c>
      <c r="E21" s="360">
        <f>D21+1</f>
        <v>4</v>
      </c>
      <c r="F21" s="360">
        <f>E21+1</f>
        <v>5</v>
      </c>
    </row>
    <row r="22" spans="1:6" x14ac:dyDescent="0.15">
      <c r="A22" s="3" t="s">
        <v>1181</v>
      </c>
      <c r="B22" s="92">
        <v>100</v>
      </c>
      <c r="C22" s="92">
        <v>100</v>
      </c>
      <c r="D22" s="92">
        <v>100</v>
      </c>
      <c r="E22" s="92">
        <v>100</v>
      </c>
      <c r="F22" s="92">
        <v>100</v>
      </c>
    </row>
    <row r="23" spans="1:6" x14ac:dyDescent="0.15">
      <c r="A23" s="3" t="s">
        <v>1108</v>
      </c>
      <c r="B23" s="82">
        <v>35.9</v>
      </c>
      <c r="C23" s="82">
        <v>84</v>
      </c>
      <c r="D23" s="82">
        <v>67.7</v>
      </c>
      <c r="E23" s="92">
        <v>44.3</v>
      </c>
      <c r="F23" s="82">
        <v>52.2</v>
      </c>
    </row>
    <row r="24" spans="1:6" x14ac:dyDescent="0.15">
      <c r="A24" s="3" t="s">
        <v>1109</v>
      </c>
      <c r="B24" s="492">
        <v>37</v>
      </c>
      <c r="C24" s="492">
        <v>4.4000000000000004</v>
      </c>
      <c r="D24" s="491">
        <v>14</v>
      </c>
      <c r="E24" s="92">
        <v>23.1</v>
      </c>
      <c r="F24" s="492">
        <v>21.8</v>
      </c>
    </row>
    <row r="25" spans="1:6" x14ac:dyDescent="0.15">
      <c r="A25" s="3" t="s">
        <v>1110</v>
      </c>
      <c r="B25" s="492">
        <v>11</v>
      </c>
      <c r="C25" s="492">
        <v>10</v>
      </c>
      <c r="D25" s="491">
        <v>6.6</v>
      </c>
      <c r="E25" s="92">
        <v>10.7</v>
      </c>
      <c r="F25" s="492">
        <v>9.3000000000000007</v>
      </c>
    </row>
    <row r="26" spans="1:6" x14ac:dyDescent="0.15">
      <c r="A26" s="88" t="s">
        <v>1314</v>
      </c>
      <c r="B26" s="303">
        <v>0</v>
      </c>
      <c r="C26" s="303">
        <v>0</v>
      </c>
      <c r="D26" s="304">
        <v>20.100000000000001</v>
      </c>
      <c r="E26" s="305">
        <v>6.6</v>
      </c>
      <c r="F26" s="303">
        <v>2.1</v>
      </c>
    </row>
    <row r="27" spans="1:6" x14ac:dyDescent="0.15">
      <c r="A27" s="7" t="s">
        <v>72</v>
      </c>
      <c r="B27" s="301">
        <f>B22-B23-B24-B25-B26</f>
        <v>16.099999999999994</v>
      </c>
      <c r="C27" s="301">
        <f>C22-C23-C24-C25-C26</f>
        <v>1.5999999999999996</v>
      </c>
      <c r="D27" s="301">
        <f>D22-D23-D24-D25-D26</f>
        <v>-8.4000000000000039</v>
      </c>
      <c r="E27" s="301">
        <f>E22-E23-E24-E25-E26</f>
        <v>15.300000000000002</v>
      </c>
      <c r="F27" s="301">
        <f>F22-F23-F24-F25-F26</f>
        <v>14.599999999999996</v>
      </c>
    </row>
    <row r="29" spans="1:6" ht="15" x14ac:dyDescent="0.15">
      <c r="A29" s="117" t="s">
        <v>1123</v>
      </c>
      <c r="B29" s="302" t="s">
        <v>1317</v>
      </c>
      <c r="C29" s="302" t="s">
        <v>1315</v>
      </c>
      <c r="D29" s="302" t="s">
        <v>1318</v>
      </c>
      <c r="E29" s="302" t="s">
        <v>1319</v>
      </c>
      <c r="F29" s="302" t="s">
        <v>1321</v>
      </c>
    </row>
    <row r="30" spans="1:6" ht="30" x14ac:dyDescent="0.15">
      <c r="A30" s="117" t="s">
        <v>1124</v>
      </c>
      <c r="B30" s="6" t="s">
        <v>1324</v>
      </c>
      <c r="C30" s="132" t="s">
        <v>1316</v>
      </c>
      <c r="D30" s="82" t="s">
        <v>1323</v>
      </c>
      <c r="E30" s="132" t="s">
        <v>1320</v>
      </c>
      <c r="F30" s="82" t="s">
        <v>1322</v>
      </c>
    </row>
    <row r="31" spans="1:6" x14ac:dyDescent="0.15">
      <c r="B31" s="67"/>
      <c r="C31" s="67"/>
      <c r="D31" s="67"/>
      <c r="E31" s="67"/>
    </row>
    <row r="32" spans="1:6" x14ac:dyDescent="0.15">
      <c r="B32" s="67"/>
      <c r="C32" s="67"/>
      <c r="D32" s="67"/>
      <c r="E32" s="67"/>
    </row>
    <row r="33" spans="1:3" ht="15" x14ac:dyDescent="0.15">
      <c r="A33" s="8" t="s">
        <v>160</v>
      </c>
    </row>
    <row r="34" spans="1:3" x14ac:dyDescent="0.15">
      <c r="A34" s="7" t="s">
        <v>1359</v>
      </c>
    </row>
    <row r="36" spans="1:3" s="5" customFormat="1" x14ac:dyDescent="0.15">
      <c r="A36" s="360" t="s">
        <v>1221</v>
      </c>
      <c r="B36" s="360">
        <v>2021</v>
      </c>
    </row>
    <row r="37" spans="1:3" x14ac:dyDescent="0.15">
      <c r="A37" s="3" t="s">
        <v>1360</v>
      </c>
      <c r="B37" s="280">
        <f>1917.9-150</f>
        <v>1767.9</v>
      </c>
    </row>
    <row r="38" spans="1:3" x14ac:dyDescent="0.15">
      <c r="A38" s="3" t="s">
        <v>946</v>
      </c>
      <c r="B38" s="280">
        <v>-2</v>
      </c>
    </row>
    <row r="39" spans="1:3" x14ac:dyDescent="0.15">
      <c r="A39" s="3" t="s">
        <v>1361</v>
      </c>
      <c r="B39" s="280">
        <f>SUM(B37:B38)</f>
        <v>1765.9</v>
      </c>
    </row>
    <row r="40" spans="1:3" x14ac:dyDescent="0.15">
      <c r="A40" s="3" t="s">
        <v>1362</v>
      </c>
      <c r="B40" s="280">
        <v>1511.5</v>
      </c>
    </row>
    <row r="41" spans="1:3" x14ac:dyDescent="0.15">
      <c r="A41" s="3" t="s">
        <v>1275</v>
      </c>
      <c r="B41" s="280">
        <f>B39-B40</f>
        <v>254.40000000000009</v>
      </c>
    </row>
    <row r="42" spans="1:3" x14ac:dyDescent="0.15">
      <c r="A42" s="3" t="s">
        <v>1363</v>
      </c>
      <c r="B42" s="280">
        <f>97.2-10-12.3</f>
        <v>74.900000000000006</v>
      </c>
    </row>
    <row r="43" spans="1:3" x14ac:dyDescent="0.15">
      <c r="A43" s="3" t="s">
        <v>1276</v>
      </c>
      <c r="B43" s="280">
        <f>B41-B42</f>
        <v>179.50000000000009</v>
      </c>
      <c r="C43" s="29"/>
    </row>
    <row r="44" spans="1:3" x14ac:dyDescent="0.15">
      <c r="A44" s="3" t="s">
        <v>1364</v>
      </c>
      <c r="B44" s="280">
        <f>105.5+12.3+3.4</f>
        <v>121.2</v>
      </c>
      <c r="C44" s="29"/>
    </row>
    <row r="45" spans="1:3" x14ac:dyDescent="0.15">
      <c r="A45" s="3" t="s">
        <v>1365</v>
      </c>
      <c r="B45" s="280">
        <v>9.8000000000000007</v>
      </c>
      <c r="C45" s="29"/>
    </row>
    <row r="46" spans="1:3" x14ac:dyDescent="0.15">
      <c r="A46" s="3" t="s">
        <v>16</v>
      </c>
      <c r="B46" s="280">
        <v>0.4</v>
      </c>
    </row>
    <row r="47" spans="1:3" x14ac:dyDescent="0.15">
      <c r="A47" s="3" t="s">
        <v>17</v>
      </c>
      <c r="B47" s="280">
        <f>22+35.6</f>
        <v>57.6</v>
      </c>
      <c r="C47" s="29"/>
    </row>
    <row r="48" spans="1:3" x14ac:dyDescent="0.15">
      <c r="A48" s="3" t="s">
        <v>1278</v>
      </c>
      <c r="B48" s="280">
        <f>B43-B44-B45+B46+B47</f>
        <v>106.50000000000009</v>
      </c>
    </row>
    <row r="49" spans="1:2" x14ac:dyDescent="0.15">
      <c r="A49" s="3" t="s">
        <v>22</v>
      </c>
      <c r="B49" s="280">
        <f>26.8+4</f>
        <v>30.8</v>
      </c>
    </row>
    <row r="50" spans="1:2" x14ac:dyDescent="0.15">
      <c r="A50" s="3" t="s">
        <v>1279</v>
      </c>
      <c r="B50" s="280">
        <f>B48-B49</f>
        <v>75.700000000000088</v>
      </c>
    </row>
    <row r="51" spans="1:2" x14ac:dyDescent="0.15">
      <c r="A51" s="3" t="s">
        <v>18</v>
      </c>
      <c r="B51" s="280">
        <f>178.3+6-150</f>
        <v>34.300000000000011</v>
      </c>
    </row>
    <row r="52" spans="1:2" x14ac:dyDescent="0.15">
      <c r="A52" s="3" t="s">
        <v>19</v>
      </c>
      <c r="B52" s="280">
        <v>17.100000000000001</v>
      </c>
    </row>
    <row r="53" spans="1:2" x14ac:dyDescent="0.15">
      <c r="A53" s="3" t="s">
        <v>1280</v>
      </c>
      <c r="B53" s="280">
        <f>B52-B51</f>
        <v>-17.20000000000001</v>
      </c>
    </row>
    <row r="54" spans="1:2" x14ac:dyDescent="0.15">
      <c r="A54" s="3" t="s">
        <v>1281</v>
      </c>
      <c r="B54" s="280">
        <f>B50+B53</f>
        <v>58.500000000000078</v>
      </c>
    </row>
    <row r="55" spans="1:2" x14ac:dyDescent="0.15">
      <c r="A55" s="3" t="s">
        <v>20</v>
      </c>
      <c r="B55" s="280">
        <v>50.8</v>
      </c>
    </row>
    <row r="56" spans="1:2" x14ac:dyDescent="0.15">
      <c r="A56" s="3" t="s">
        <v>1282</v>
      </c>
      <c r="B56" s="280">
        <f>-15.2-35.6</f>
        <v>-50.8</v>
      </c>
    </row>
    <row r="57" spans="1:2" x14ac:dyDescent="0.15">
      <c r="A57" s="3" t="s">
        <v>21</v>
      </c>
      <c r="B57" s="280">
        <v>3</v>
      </c>
    </row>
    <row r="58" spans="1:2" x14ac:dyDescent="0.15">
      <c r="A58" s="88" t="s">
        <v>1284</v>
      </c>
      <c r="B58" s="281">
        <f>B54+B56-B57</f>
        <v>4.700000000000081</v>
      </c>
    </row>
  </sheetData>
  <mergeCells count="1">
    <mergeCell ref="D7:D8"/>
  </mergeCells>
  <phoneticPr fontId="4" type="noConversion"/>
  <pageMargins left="0.78740157480314965" right="0.78740157480314965" top="0.98425196850393704" bottom="0.98425196850393704" header="0.51181102362204722" footer="0.51181102362204722"/>
  <pageSetup paperSize="9" scale="75"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pageSetUpPr fitToPage="1"/>
  </sheetPr>
  <dimension ref="A1:H116"/>
  <sheetViews>
    <sheetView showGridLines="0" workbookViewId="0">
      <selection sqref="A1:XFD1048576"/>
    </sheetView>
  </sheetViews>
  <sheetFormatPr baseColWidth="10" defaultColWidth="11" defaultRowHeight="14" x14ac:dyDescent="0.15"/>
  <cols>
    <col min="1" max="1" width="28" style="3" bestFit="1" customWidth="1"/>
    <col min="2" max="4" width="11" style="3"/>
    <col min="5" max="5" width="12.83203125" style="3" customWidth="1"/>
    <col min="6" max="7" width="7.1640625" style="3" customWidth="1"/>
    <col min="8" max="16384" width="11" style="3"/>
  </cols>
  <sheetData>
    <row r="1" spans="1:6" ht="15" x14ac:dyDescent="0.15">
      <c r="A1" s="1" t="s">
        <v>1235</v>
      </c>
    </row>
    <row r="2" spans="1:6" ht="15" x14ac:dyDescent="0.15">
      <c r="A2" s="8"/>
    </row>
    <row r="3" spans="1:6" x14ac:dyDescent="0.15">
      <c r="A3" s="360" t="s">
        <v>66</v>
      </c>
      <c r="B3" s="360" t="s">
        <v>74</v>
      </c>
      <c r="C3" s="360" t="s">
        <v>75</v>
      </c>
      <c r="D3" s="360" t="s">
        <v>76</v>
      </c>
      <c r="E3" s="360" t="s">
        <v>77</v>
      </c>
      <c r="F3" s="5"/>
    </row>
    <row r="4" spans="1:6" x14ac:dyDescent="0.15">
      <c r="A4" s="3" t="s">
        <v>1181</v>
      </c>
      <c r="B4" s="3">
        <v>100</v>
      </c>
      <c r="C4" s="3">
        <v>100</v>
      </c>
      <c r="D4" s="3">
        <v>100</v>
      </c>
      <c r="E4" s="3">
        <v>100</v>
      </c>
    </row>
    <row r="5" spans="1:6" x14ac:dyDescent="0.15">
      <c r="A5" s="3" t="s">
        <v>69</v>
      </c>
      <c r="B5" s="3">
        <v>65</v>
      </c>
      <c r="C5" s="3">
        <v>55</v>
      </c>
      <c r="D5" s="3">
        <v>36</v>
      </c>
      <c r="E5" s="3">
        <v>30</v>
      </c>
    </row>
    <row r="6" spans="1:6" x14ac:dyDescent="0.15">
      <c r="A6" s="88" t="s">
        <v>70</v>
      </c>
      <c r="B6" s="88">
        <v>25</v>
      </c>
      <c r="C6" s="88">
        <v>29</v>
      </c>
      <c r="D6" s="88">
        <v>50</v>
      </c>
      <c r="E6" s="88">
        <v>55</v>
      </c>
    </row>
    <row r="7" spans="1:6" x14ac:dyDescent="0.15">
      <c r="A7" s="7" t="s">
        <v>71</v>
      </c>
      <c r="B7" s="7">
        <f>B4-B5-B6</f>
        <v>10</v>
      </c>
      <c r="C7" s="7">
        <f>C4-C5-C6</f>
        <v>16</v>
      </c>
      <c r="D7" s="7">
        <f>D4-D5-D6</f>
        <v>14</v>
      </c>
      <c r="E7" s="7">
        <f>E4-E5-E6</f>
        <v>15</v>
      </c>
      <c r="F7" s="7"/>
    </row>
    <row r="8" spans="1:6" x14ac:dyDescent="0.15">
      <c r="A8" s="88" t="s">
        <v>986</v>
      </c>
      <c r="B8" s="88">
        <v>2</v>
      </c>
      <c r="C8" s="88">
        <v>8</v>
      </c>
      <c r="D8" s="88">
        <v>4</v>
      </c>
      <c r="E8" s="88">
        <v>6</v>
      </c>
    </row>
    <row r="9" spans="1:6" x14ac:dyDescent="0.15">
      <c r="A9" s="7" t="s">
        <v>72</v>
      </c>
      <c r="B9" s="7">
        <f>B7-B8</f>
        <v>8</v>
      </c>
      <c r="C9" s="7">
        <f>C7-C8</f>
        <v>8</v>
      </c>
      <c r="D9" s="7">
        <f>D7-D8</f>
        <v>10</v>
      </c>
      <c r="E9" s="7">
        <f>E7-E8</f>
        <v>9</v>
      </c>
      <c r="F9" s="7"/>
    </row>
    <row r="10" spans="1:6" x14ac:dyDescent="0.15">
      <c r="A10" s="88" t="s">
        <v>1185</v>
      </c>
      <c r="B10" s="88">
        <v>2</v>
      </c>
      <c r="C10" s="88">
        <v>6</v>
      </c>
      <c r="D10" s="88">
        <v>1.5</v>
      </c>
      <c r="E10" s="88">
        <v>6</v>
      </c>
    </row>
    <row r="11" spans="1:6" x14ac:dyDescent="0.15">
      <c r="A11" s="7" t="s">
        <v>73</v>
      </c>
      <c r="B11" s="7">
        <f>B9-B10</f>
        <v>6</v>
      </c>
      <c r="C11" s="7">
        <f>C9-C10</f>
        <v>2</v>
      </c>
      <c r="D11" s="7">
        <f>D9-D10</f>
        <v>8.5</v>
      </c>
      <c r="E11" s="7">
        <f>E9-E10</f>
        <v>3</v>
      </c>
      <c r="F11" s="7"/>
    </row>
    <row r="13" spans="1:6" x14ac:dyDescent="0.15">
      <c r="A13" s="3" t="s">
        <v>79</v>
      </c>
      <c r="B13" s="166">
        <f>(B6+B8)/(1-B5/B4)</f>
        <v>77.142857142857153</v>
      </c>
      <c r="C13" s="166">
        <f>(C6+C8)/(1-C5/C4)</f>
        <v>82.222222222222229</v>
      </c>
      <c r="D13" s="166">
        <f>(D6+D8)/(1-D5/D4)</f>
        <v>84.375</v>
      </c>
      <c r="E13" s="166">
        <f>(E6+E8)/(1-E5/E4)</f>
        <v>87.142857142857153</v>
      </c>
      <c r="F13" s="166"/>
    </row>
    <row r="14" spans="1:6" x14ac:dyDescent="0.15">
      <c r="A14" s="3" t="s">
        <v>80</v>
      </c>
      <c r="B14" s="81">
        <f>B$4/B13</f>
        <v>1.2962962962962961</v>
      </c>
      <c r="C14" s="81">
        <f>C$4/C13</f>
        <v>1.2162162162162162</v>
      </c>
      <c r="D14" s="81">
        <f>D$4/D13</f>
        <v>1.1851851851851851</v>
      </c>
      <c r="E14" s="81">
        <f>E$4/E13</f>
        <v>1.1475409836065573</v>
      </c>
      <c r="F14" s="67"/>
    </row>
    <row r="16" spans="1:6" x14ac:dyDescent="0.15">
      <c r="A16" s="3" t="s">
        <v>78</v>
      </c>
      <c r="B16" s="166">
        <f>(B6+B8+B10)/(1-B5/B4)</f>
        <v>82.857142857142861</v>
      </c>
      <c r="C16" s="166">
        <f>(C6+C8+C10)/(1-C5/C4)</f>
        <v>95.555555555555571</v>
      </c>
      <c r="D16" s="166">
        <f>(D6+D8+D10)/(1-D5/D4)</f>
        <v>86.71875</v>
      </c>
      <c r="E16" s="166">
        <f>(E6+E8+E10)/(1-E5/E4)</f>
        <v>95.714285714285722</v>
      </c>
      <c r="F16" s="166"/>
    </row>
    <row r="17" spans="1:8" x14ac:dyDescent="0.15">
      <c r="A17" s="3" t="s">
        <v>80</v>
      </c>
      <c r="B17" s="81">
        <f>B$4/B16</f>
        <v>1.2068965517241379</v>
      </c>
      <c r="C17" s="81">
        <f>C$4/C16</f>
        <v>1.0465116279069766</v>
      </c>
      <c r="D17" s="81">
        <f>D$4/D16</f>
        <v>1.1531531531531531</v>
      </c>
      <c r="E17" s="81">
        <f>E$4/E16</f>
        <v>1.044776119402985</v>
      </c>
      <c r="F17" s="67"/>
    </row>
    <row r="19" spans="1:8" ht="15" x14ac:dyDescent="0.15">
      <c r="A19" s="8" t="s">
        <v>1106</v>
      </c>
    </row>
    <row r="20" spans="1:8" ht="15" x14ac:dyDescent="0.15">
      <c r="A20" s="8"/>
    </row>
    <row r="21" spans="1:8" x14ac:dyDescent="0.15">
      <c r="A21" s="360" t="s">
        <v>941</v>
      </c>
      <c r="B21" s="360">
        <v>1</v>
      </c>
      <c r="C21" s="360">
        <v>2</v>
      </c>
      <c r="D21" s="360">
        <v>3</v>
      </c>
      <c r="E21" s="293"/>
    </row>
    <row r="22" spans="1:8" x14ac:dyDescent="0.15">
      <c r="A22" s="3" t="s">
        <v>1181</v>
      </c>
      <c r="B22" s="166">
        <v>82000</v>
      </c>
      <c r="C22" s="166">
        <v>92000</v>
      </c>
      <c r="D22" s="166">
        <v>97000</v>
      </c>
      <c r="E22" s="81"/>
      <c r="F22" s="81"/>
      <c r="H22" s="166"/>
    </row>
    <row r="23" spans="1:8" x14ac:dyDescent="0.15">
      <c r="A23" s="3" t="s">
        <v>946</v>
      </c>
      <c r="B23" s="166">
        <v>500</v>
      </c>
      <c r="C23" s="166">
        <v>1400</v>
      </c>
      <c r="D23" s="166">
        <v>2800</v>
      </c>
      <c r="E23" s="81"/>
      <c r="F23" s="81"/>
      <c r="H23" s="166"/>
    </row>
    <row r="24" spans="1:8" x14ac:dyDescent="0.15">
      <c r="A24" s="7" t="s">
        <v>51</v>
      </c>
      <c r="B24" s="166">
        <f>SUM(B22:B23)</f>
        <v>82500</v>
      </c>
      <c r="C24" s="166">
        <f>SUM(C22:C23)</f>
        <v>93400</v>
      </c>
      <c r="D24" s="166">
        <f>SUM(D22:D23)</f>
        <v>99800</v>
      </c>
      <c r="H24" s="166"/>
    </row>
    <row r="25" spans="1:8" x14ac:dyDescent="0.15">
      <c r="A25" s="3" t="s">
        <v>52</v>
      </c>
      <c r="B25" s="166">
        <v>24800</v>
      </c>
      <c r="C25" s="166">
        <v>27400</v>
      </c>
      <c r="D25" s="166">
        <v>29900</v>
      </c>
      <c r="E25" s="81"/>
      <c r="F25" s="81"/>
      <c r="H25" s="166"/>
    </row>
    <row r="26" spans="1:8" x14ac:dyDescent="0.15">
      <c r="A26" s="3" t="s">
        <v>53</v>
      </c>
      <c r="B26" s="166">
        <v>-1700</v>
      </c>
      <c r="C26" s="166">
        <v>-500</v>
      </c>
      <c r="D26" s="166">
        <v>-1600</v>
      </c>
      <c r="E26" s="81"/>
      <c r="F26" s="81"/>
      <c r="H26" s="166"/>
    </row>
    <row r="27" spans="1:8" x14ac:dyDescent="0.15">
      <c r="A27" s="3" t="s">
        <v>54</v>
      </c>
      <c r="B27" s="166">
        <v>20200</v>
      </c>
      <c r="C27" s="166">
        <v>23000</v>
      </c>
      <c r="D27" s="166">
        <v>23500</v>
      </c>
      <c r="E27" s="81"/>
      <c r="F27" s="81"/>
      <c r="H27" s="166"/>
    </row>
    <row r="28" spans="1:8" x14ac:dyDescent="0.15">
      <c r="A28" s="3" t="s">
        <v>1277</v>
      </c>
      <c r="B28" s="166">
        <v>1200</v>
      </c>
      <c r="C28" s="166">
        <v>1400</v>
      </c>
      <c r="D28" s="166">
        <v>1500</v>
      </c>
      <c r="E28" s="81"/>
      <c r="F28" s="81"/>
      <c r="H28" s="166"/>
    </row>
    <row r="29" spans="1:8" x14ac:dyDescent="0.15">
      <c r="A29" s="3" t="s">
        <v>55</v>
      </c>
      <c r="B29" s="166">
        <v>29000</v>
      </c>
      <c r="C29" s="166">
        <v>33000</v>
      </c>
      <c r="D29" s="166">
        <v>37000</v>
      </c>
      <c r="E29" s="81"/>
      <c r="F29" s="81"/>
      <c r="H29" s="166"/>
    </row>
    <row r="30" spans="1:8" x14ac:dyDescent="0.15">
      <c r="A30" s="3" t="s">
        <v>986</v>
      </c>
      <c r="B30" s="166">
        <v>5200</v>
      </c>
      <c r="C30" s="166">
        <v>4900</v>
      </c>
      <c r="D30" s="166">
        <v>4800</v>
      </c>
      <c r="E30" s="81"/>
      <c r="F30" s="81"/>
      <c r="H30" s="166"/>
    </row>
    <row r="31" spans="1:8" x14ac:dyDescent="0.15">
      <c r="A31" s="3" t="s">
        <v>81</v>
      </c>
      <c r="B31" s="166">
        <v>100</v>
      </c>
      <c r="C31" s="166">
        <v>200</v>
      </c>
      <c r="D31" s="166">
        <v>0</v>
      </c>
      <c r="E31" s="81"/>
      <c r="F31" s="81"/>
      <c r="H31" s="166"/>
    </row>
    <row r="32" spans="1:8" x14ac:dyDescent="0.15">
      <c r="A32" s="7" t="s">
        <v>56</v>
      </c>
      <c r="B32" s="166">
        <f>SUM(B25:B31)</f>
        <v>78800</v>
      </c>
      <c r="C32" s="166">
        <f>SUM(C25:C31)</f>
        <v>89400</v>
      </c>
      <c r="D32" s="166">
        <f>SUM(D25:D31)</f>
        <v>95100</v>
      </c>
    </row>
    <row r="33" spans="1:7" x14ac:dyDescent="0.15">
      <c r="A33" s="278" t="s">
        <v>1014</v>
      </c>
      <c r="B33" s="294">
        <f>B24-B32</f>
        <v>3700</v>
      </c>
      <c r="C33" s="294">
        <f>C24-C32</f>
        <v>4000</v>
      </c>
      <c r="D33" s="294">
        <f>D24-D32</f>
        <v>4700</v>
      </c>
    </row>
    <row r="34" spans="1:7" x14ac:dyDescent="0.15">
      <c r="A34" s="3" t="s">
        <v>1205</v>
      </c>
      <c r="B34" s="166">
        <v>300</v>
      </c>
      <c r="C34" s="166">
        <v>400</v>
      </c>
      <c r="D34" s="166">
        <v>300</v>
      </c>
      <c r="F34" s="81"/>
    </row>
    <row r="35" spans="1:7" x14ac:dyDescent="0.15">
      <c r="A35" s="3" t="s">
        <v>1049</v>
      </c>
      <c r="B35" s="166">
        <v>2300</v>
      </c>
      <c r="C35" s="166">
        <v>2900</v>
      </c>
      <c r="D35" s="166">
        <v>3900</v>
      </c>
      <c r="E35" s="81"/>
      <c r="F35" s="81"/>
    </row>
    <row r="36" spans="1:7" x14ac:dyDescent="0.15">
      <c r="A36" s="278" t="s">
        <v>57</v>
      </c>
      <c r="B36" s="294">
        <f>B34-B35</f>
        <v>-2000</v>
      </c>
      <c r="C36" s="294">
        <f>C34-C35</f>
        <v>-2500</v>
      </c>
      <c r="D36" s="294">
        <f>D34-D35</f>
        <v>-3600</v>
      </c>
      <c r="E36" s="81"/>
      <c r="F36" s="81"/>
    </row>
    <row r="37" spans="1:7" x14ac:dyDescent="0.15">
      <c r="A37" s="3" t="s">
        <v>58</v>
      </c>
      <c r="B37" s="166">
        <v>-100</v>
      </c>
      <c r="C37" s="166">
        <v>-100</v>
      </c>
      <c r="D37" s="166">
        <v>100</v>
      </c>
    </row>
    <row r="38" spans="1:7" x14ac:dyDescent="0.15">
      <c r="A38" s="3" t="s">
        <v>82</v>
      </c>
      <c r="B38" s="166">
        <v>800</v>
      </c>
      <c r="C38" s="166">
        <v>700</v>
      </c>
      <c r="D38" s="166">
        <v>600</v>
      </c>
    </row>
    <row r="39" spans="1:7" x14ac:dyDescent="0.15">
      <c r="A39" s="278" t="s">
        <v>1051</v>
      </c>
      <c r="B39" s="294">
        <f>B33+B36+B37-B38</f>
        <v>800</v>
      </c>
      <c r="C39" s="294">
        <f>C33+C36+C37-C38</f>
        <v>700</v>
      </c>
      <c r="D39" s="294">
        <f>D33+D36+D37-D38</f>
        <v>600</v>
      </c>
      <c r="E39" s="81"/>
    </row>
    <row r="40" spans="1:7" x14ac:dyDescent="0.15">
      <c r="A40" s="7"/>
      <c r="B40" s="147"/>
      <c r="C40" s="147"/>
      <c r="D40" s="147"/>
      <c r="E40" s="81"/>
      <c r="G40" s="480"/>
    </row>
    <row r="41" spans="1:7" x14ac:dyDescent="0.15">
      <c r="A41" s="7" t="s">
        <v>347</v>
      </c>
      <c r="B41" s="147"/>
      <c r="C41" s="147"/>
      <c r="D41" s="147"/>
      <c r="E41" s="81"/>
      <c r="F41" s="519" t="s">
        <v>414</v>
      </c>
      <c r="G41" s="519"/>
    </row>
    <row r="42" spans="1:7" x14ac:dyDescent="0.15">
      <c r="A42" s="334"/>
      <c r="B42" s="493">
        <v>1</v>
      </c>
      <c r="C42" s="493">
        <v>2</v>
      </c>
      <c r="D42" s="493">
        <v>3</v>
      </c>
      <c r="E42" s="363"/>
      <c r="F42" s="360">
        <v>2</v>
      </c>
      <c r="G42" s="360">
        <v>3</v>
      </c>
    </row>
    <row r="43" spans="1:7" s="7" customFormat="1" x14ac:dyDescent="0.15">
      <c r="A43" s="278" t="s">
        <v>1181</v>
      </c>
      <c r="B43" s="294">
        <f>B22</f>
        <v>82000</v>
      </c>
      <c r="C43" s="294">
        <f>C22</f>
        <v>92000</v>
      </c>
      <c r="D43" s="294">
        <f>D22</f>
        <v>97000</v>
      </c>
      <c r="E43" s="295"/>
      <c r="F43" s="295">
        <f t="shared" ref="F43:G56" si="0">C43/B43-1</f>
        <v>0.12195121951219523</v>
      </c>
      <c r="G43" s="295">
        <f t="shared" si="0"/>
        <v>5.4347826086956541E-2</v>
      </c>
    </row>
    <row r="44" spans="1:7" x14ac:dyDescent="0.15">
      <c r="A44" s="3" t="s">
        <v>924</v>
      </c>
      <c r="B44" s="166">
        <f>B25+B26-B23</f>
        <v>22600</v>
      </c>
      <c r="C44" s="166">
        <f>C25+C26-C23</f>
        <v>25500</v>
      </c>
      <c r="D44" s="166">
        <f>D25+D26-D23</f>
        <v>25500</v>
      </c>
      <c r="E44" s="81"/>
      <c r="F44" s="81">
        <f t="shared" si="0"/>
        <v>0.12831858407079655</v>
      </c>
      <c r="G44" s="81">
        <f t="shared" si="0"/>
        <v>0</v>
      </c>
    </row>
    <row r="45" spans="1:7" x14ac:dyDescent="0.15">
      <c r="A45" s="278" t="s">
        <v>343</v>
      </c>
      <c r="B45" s="294">
        <f>B43-B44</f>
        <v>59400</v>
      </c>
      <c r="C45" s="294">
        <f>C43-C44</f>
        <v>66500</v>
      </c>
      <c r="D45" s="294">
        <f>D43-D44</f>
        <v>71500</v>
      </c>
      <c r="E45" s="295"/>
      <c r="F45" s="295">
        <f t="shared" si="0"/>
        <v>0.1195286195286196</v>
      </c>
      <c r="G45" s="295">
        <f t="shared" si="0"/>
        <v>7.5187969924812137E-2</v>
      </c>
    </row>
    <row r="46" spans="1:7" x14ac:dyDescent="0.15">
      <c r="A46" s="3" t="s">
        <v>54</v>
      </c>
      <c r="B46" s="166">
        <f t="shared" ref="B46:D48" si="1">B27</f>
        <v>20200</v>
      </c>
      <c r="C46" s="166">
        <f t="shared" si="1"/>
        <v>23000</v>
      </c>
      <c r="D46" s="166">
        <f t="shared" si="1"/>
        <v>23500</v>
      </c>
      <c r="E46" s="81"/>
      <c r="F46" s="81">
        <f t="shared" si="0"/>
        <v>0.13861386138613851</v>
      </c>
      <c r="G46" s="81">
        <f t="shared" si="0"/>
        <v>2.1739130434782705E-2</v>
      </c>
    </row>
    <row r="47" spans="1:7" x14ac:dyDescent="0.15">
      <c r="A47" s="3" t="s">
        <v>1277</v>
      </c>
      <c r="B47" s="166">
        <f t="shared" si="1"/>
        <v>1200</v>
      </c>
      <c r="C47" s="166">
        <f t="shared" si="1"/>
        <v>1400</v>
      </c>
      <c r="D47" s="166">
        <f t="shared" si="1"/>
        <v>1500</v>
      </c>
      <c r="E47" s="81"/>
      <c r="F47" s="81">
        <f t="shared" si="0"/>
        <v>0.16666666666666674</v>
      </c>
      <c r="G47" s="81">
        <f t="shared" si="0"/>
        <v>7.1428571428571397E-2</v>
      </c>
    </row>
    <row r="48" spans="1:7" x14ac:dyDescent="0.15">
      <c r="A48" s="3" t="s">
        <v>55</v>
      </c>
      <c r="B48" s="166">
        <f t="shared" si="1"/>
        <v>29000</v>
      </c>
      <c r="C48" s="166">
        <f t="shared" si="1"/>
        <v>33000</v>
      </c>
      <c r="D48" s="166">
        <f t="shared" si="1"/>
        <v>37000</v>
      </c>
      <c r="E48" s="81"/>
      <c r="F48" s="81">
        <f t="shared" si="0"/>
        <v>0.13793103448275867</v>
      </c>
      <c r="G48" s="81">
        <f t="shared" si="0"/>
        <v>0.1212121212121211</v>
      </c>
    </row>
    <row r="49" spans="1:7" x14ac:dyDescent="0.15">
      <c r="A49" s="3" t="s">
        <v>81</v>
      </c>
      <c r="B49" s="166">
        <f>B31</f>
        <v>100</v>
      </c>
      <c r="C49" s="166">
        <f>C31</f>
        <v>200</v>
      </c>
      <c r="D49" s="166">
        <f>D31</f>
        <v>0</v>
      </c>
      <c r="E49" s="81"/>
      <c r="F49" s="81">
        <f t="shared" si="0"/>
        <v>1</v>
      </c>
      <c r="G49" s="81">
        <f t="shared" si="0"/>
        <v>-1</v>
      </c>
    </row>
    <row r="50" spans="1:7" x14ac:dyDescent="0.15">
      <c r="A50" s="278" t="s">
        <v>71</v>
      </c>
      <c r="B50" s="294">
        <f>B45-B46-B47-B48-B49</f>
        <v>8900</v>
      </c>
      <c r="C50" s="294">
        <f>C45-C46-C47-C48-C49</f>
        <v>8900</v>
      </c>
      <c r="D50" s="294">
        <f>D45-D46-D47-D48-D49</f>
        <v>9500</v>
      </c>
      <c r="E50" s="295"/>
      <c r="F50" s="295">
        <f t="shared" si="0"/>
        <v>0</v>
      </c>
      <c r="G50" s="295">
        <f t="shared" si="0"/>
        <v>6.7415730337078594E-2</v>
      </c>
    </row>
    <row r="51" spans="1:7" x14ac:dyDescent="0.15">
      <c r="A51" s="3" t="s">
        <v>986</v>
      </c>
      <c r="B51" s="166">
        <f>B30</f>
        <v>5200</v>
      </c>
      <c r="C51" s="166">
        <f>C30</f>
        <v>4900</v>
      </c>
      <c r="D51" s="166">
        <f>D30</f>
        <v>4800</v>
      </c>
      <c r="E51" s="81"/>
      <c r="F51" s="81">
        <f t="shared" si="0"/>
        <v>-5.7692307692307709E-2</v>
      </c>
      <c r="G51" s="81">
        <f t="shared" si="0"/>
        <v>-2.0408163265306145E-2</v>
      </c>
    </row>
    <row r="52" spans="1:7" x14ac:dyDescent="0.15">
      <c r="A52" s="278" t="s">
        <v>1014</v>
      </c>
      <c r="B52" s="294">
        <f>B50-B51</f>
        <v>3700</v>
      </c>
      <c r="C52" s="294">
        <f>C50-C51</f>
        <v>4000</v>
      </c>
      <c r="D52" s="294">
        <f>D50-D51</f>
        <v>4700</v>
      </c>
      <c r="E52" s="295"/>
      <c r="F52" s="295">
        <f t="shared" si="0"/>
        <v>8.1081081081081141E-2</v>
      </c>
      <c r="G52" s="295">
        <f t="shared" si="0"/>
        <v>0.17500000000000004</v>
      </c>
    </row>
    <row r="53" spans="1:7" s="7" customFormat="1" x14ac:dyDescent="0.15">
      <c r="A53" s="259" t="s">
        <v>345</v>
      </c>
      <c r="B53" s="296">
        <f>B35-B34</f>
        <v>2000</v>
      </c>
      <c r="C53" s="296">
        <f>C35-C34</f>
        <v>2500</v>
      </c>
      <c r="D53" s="296">
        <f>D35-D34</f>
        <v>3600</v>
      </c>
      <c r="E53" s="297"/>
      <c r="F53" s="297">
        <f t="shared" si="0"/>
        <v>0.25</v>
      </c>
      <c r="G53" s="297">
        <f t="shared" si="0"/>
        <v>0.43999999999999995</v>
      </c>
    </row>
    <row r="54" spans="1:7" x14ac:dyDescent="0.15">
      <c r="A54" s="3" t="s">
        <v>58</v>
      </c>
      <c r="B54" s="166">
        <f t="shared" ref="B54:D55" si="2">B37</f>
        <v>-100</v>
      </c>
      <c r="C54" s="166">
        <f t="shared" si="2"/>
        <v>-100</v>
      </c>
      <c r="D54" s="166">
        <f t="shared" si="2"/>
        <v>100</v>
      </c>
      <c r="E54" s="81"/>
      <c r="F54" s="81">
        <f t="shared" si="0"/>
        <v>0</v>
      </c>
      <c r="G54" s="81">
        <f t="shared" si="0"/>
        <v>-2</v>
      </c>
    </row>
    <row r="55" spans="1:7" x14ac:dyDescent="0.15">
      <c r="A55" s="3" t="s">
        <v>82</v>
      </c>
      <c r="B55" s="166">
        <f t="shared" si="2"/>
        <v>800</v>
      </c>
      <c r="C55" s="166">
        <f t="shared" si="2"/>
        <v>700</v>
      </c>
      <c r="D55" s="166">
        <f t="shared" si="2"/>
        <v>600</v>
      </c>
      <c r="E55" s="81"/>
      <c r="F55" s="81">
        <f t="shared" si="0"/>
        <v>-0.125</v>
      </c>
      <c r="G55" s="81">
        <f t="shared" si="0"/>
        <v>-0.1428571428571429</v>
      </c>
    </row>
    <row r="56" spans="1:7" x14ac:dyDescent="0.15">
      <c r="A56" s="278" t="s">
        <v>1051</v>
      </c>
      <c r="B56" s="294">
        <f>B52-B53+B54-B55</f>
        <v>800</v>
      </c>
      <c r="C56" s="294">
        <f>C52-C53+C54-C55</f>
        <v>700</v>
      </c>
      <c r="D56" s="294">
        <f>D52-D53+D54-D55</f>
        <v>600</v>
      </c>
      <c r="E56" s="295"/>
      <c r="F56" s="295">
        <f t="shared" si="0"/>
        <v>-0.125</v>
      </c>
      <c r="G56" s="295">
        <f t="shared" si="0"/>
        <v>-0.1428571428571429</v>
      </c>
    </row>
    <row r="57" spans="1:7" x14ac:dyDescent="0.15">
      <c r="A57" s="7"/>
      <c r="B57" s="147"/>
      <c r="C57" s="147"/>
      <c r="D57" s="147"/>
      <c r="E57" s="81"/>
    </row>
    <row r="58" spans="1:7" x14ac:dyDescent="0.15">
      <c r="A58" s="172" t="s">
        <v>346</v>
      </c>
      <c r="B58" s="147"/>
      <c r="C58" s="147"/>
      <c r="D58" s="147"/>
      <c r="E58" s="81"/>
    </row>
    <row r="59" spans="1:7" x14ac:dyDescent="0.15">
      <c r="A59" s="7"/>
      <c r="B59" s="147"/>
      <c r="C59" s="147"/>
      <c r="D59" s="147"/>
      <c r="E59" s="81"/>
    </row>
    <row r="60" spans="1:7" x14ac:dyDescent="0.15">
      <c r="A60" s="278" t="s">
        <v>1181</v>
      </c>
      <c r="B60" s="298">
        <f t="shared" ref="B60:D73" si="3">B43/B$43</f>
        <v>1</v>
      </c>
      <c r="C60" s="298">
        <f t="shared" si="3"/>
        <v>1</v>
      </c>
      <c r="D60" s="298">
        <f t="shared" si="3"/>
        <v>1</v>
      </c>
      <c r="E60" s="81"/>
    </row>
    <row r="61" spans="1:7" x14ac:dyDescent="0.15">
      <c r="A61" s="3" t="s">
        <v>924</v>
      </c>
      <c r="B61" s="104">
        <f t="shared" si="3"/>
        <v>0.275609756097561</v>
      </c>
      <c r="C61" s="104">
        <f t="shared" si="3"/>
        <v>0.27717391304347827</v>
      </c>
      <c r="D61" s="104">
        <f t="shared" si="3"/>
        <v>0.26288659793814434</v>
      </c>
      <c r="E61" s="81"/>
    </row>
    <row r="62" spans="1:7" x14ac:dyDescent="0.15">
      <c r="A62" s="278" t="s">
        <v>213</v>
      </c>
      <c r="B62" s="298">
        <f t="shared" si="3"/>
        <v>0.724390243902439</v>
      </c>
      <c r="C62" s="298">
        <f t="shared" si="3"/>
        <v>0.72282608695652173</v>
      </c>
      <c r="D62" s="298">
        <f t="shared" si="3"/>
        <v>0.73711340206185572</v>
      </c>
      <c r="E62" s="81"/>
    </row>
    <row r="63" spans="1:7" x14ac:dyDescent="0.15">
      <c r="A63" s="3" t="s">
        <v>54</v>
      </c>
      <c r="B63" s="104">
        <f t="shared" si="3"/>
        <v>0.24634146341463414</v>
      </c>
      <c r="C63" s="104">
        <f t="shared" si="3"/>
        <v>0.25</v>
      </c>
      <c r="D63" s="104">
        <f t="shared" si="3"/>
        <v>0.2422680412371134</v>
      </c>
      <c r="E63" s="81"/>
    </row>
    <row r="64" spans="1:7" x14ac:dyDescent="0.15">
      <c r="A64" s="3" t="s">
        <v>1277</v>
      </c>
      <c r="B64" s="104">
        <f t="shared" si="3"/>
        <v>1.4634146341463415E-2</v>
      </c>
      <c r="C64" s="104">
        <f t="shared" si="3"/>
        <v>1.5217391304347827E-2</v>
      </c>
      <c r="D64" s="104">
        <f t="shared" si="3"/>
        <v>1.5463917525773196E-2</v>
      </c>
      <c r="E64" s="81"/>
    </row>
    <row r="65" spans="1:6" x14ac:dyDescent="0.15">
      <c r="A65" s="3" t="s">
        <v>55</v>
      </c>
      <c r="B65" s="104">
        <f t="shared" si="3"/>
        <v>0.35365853658536583</v>
      </c>
      <c r="C65" s="104">
        <f t="shared" si="3"/>
        <v>0.35869565217391303</v>
      </c>
      <c r="D65" s="104">
        <f t="shared" si="3"/>
        <v>0.38144329896907214</v>
      </c>
      <c r="E65" s="81"/>
    </row>
    <row r="66" spans="1:6" x14ac:dyDescent="0.15">
      <c r="A66" s="3" t="s">
        <v>81</v>
      </c>
      <c r="B66" s="104">
        <f t="shared" si="3"/>
        <v>1.2195121951219512E-3</v>
      </c>
      <c r="C66" s="104">
        <f t="shared" si="3"/>
        <v>2.1739130434782609E-3</v>
      </c>
      <c r="D66" s="104">
        <f t="shared" si="3"/>
        <v>0</v>
      </c>
      <c r="E66" s="81"/>
    </row>
    <row r="67" spans="1:6" x14ac:dyDescent="0.15">
      <c r="A67" s="278" t="s">
        <v>71</v>
      </c>
      <c r="B67" s="298">
        <f t="shared" si="3"/>
        <v>0.10853658536585366</v>
      </c>
      <c r="C67" s="298">
        <f t="shared" si="3"/>
        <v>9.6739130434782605E-2</v>
      </c>
      <c r="D67" s="298">
        <f t="shared" si="3"/>
        <v>9.7938144329896906E-2</v>
      </c>
      <c r="E67" s="81"/>
    </row>
    <row r="68" spans="1:6" x14ac:dyDescent="0.15">
      <c r="A68" s="3" t="s">
        <v>986</v>
      </c>
      <c r="B68" s="104">
        <f t="shared" si="3"/>
        <v>6.3414634146341464E-2</v>
      </c>
      <c r="C68" s="104">
        <f t="shared" si="3"/>
        <v>5.3260869565217389E-2</v>
      </c>
      <c r="D68" s="104">
        <f t="shared" si="3"/>
        <v>4.9484536082474224E-2</v>
      </c>
      <c r="E68" s="81"/>
    </row>
    <row r="69" spans="1:6" x14ac:dyDescent="0.15">
      <c r="A69" s="278" t="s">
        <v>1014</v>
      </c>
      <c r="B69" s="298">
        <f t="shared" si="3"/>
        <v>4.5121951219512194E-2</v>
      </c>
      <c r="C69" s="298">
        <f t="shared" si="3"/>
        <v>4.3478260869565216E-2</v>
      </c>
      <c r="D69" s="298">
        <f t="shared" si="3"/>
        <v>4.8453608247422682E-2</v>
      </c>
      <c r="E69" s="81"/>
    </row>
    <row r="70" spans="1:6" x14ac:dyDescent="0.15">
      <c r="A70" s="278" t="s">
        <v>345</v>
      </c>
      <c r="B70" s="298">
        <f t="shared" si="3"/>
        <v>2.4390243902439025E-2</v>
      </c>
      <c r="C70" s="298">
        <f t="shared" si="3"/>
        <v>2.717391304347826E-2</v>
      </c>
      <c r="D70" s="298">
        <f t="shared" si="3"/>
        <v>3.711340206185567E-2</v>
      </c>
      <c r="E70" s="81"/>
    </row>
    <row r="71" spans="1:6" x14ac:dyDescent="0.15">
      <c r="A71" s="3" t="s">
        <v>58</v>
      </c>
      <c r="B71" s="104">
        <f t="shared" si="3"/>
        <v>-1.2195121951219512E-3</v>
      </c>
      <c r="C71" s="104">
        <f t="shared" si="3"/>
        <v>-1.0869565217391304E-3</v>
      </c>
      <c r="D71" s="104">
        <f t="shared" si="3"/>
        <v>1.0309278350515464E-3</v>
      </c>
      <c r="E71" s="81"/>
    </row>
    <row r="72" spans="1:6" x14ac:dyDescent="0.15">
      <c r="A72" s="3" t="s">
        <v>82</v>
      </c>
      <c r="B72" s="104">
        <f t="shared" si="3"/>
        <v>9.7560975609756097E-3</v>
      </c>
      <c r="C72" s="104">
        <f t="shared" si="3"/>
        <v>7.6086956521739134E-3</v>
      </c>
      <c r="D72" s="104">
        <f t="shared" si="3"/>
        <v>6.1855670103092781E-3</v>
      </c>
      <c r="E72" s="81"/>
    </row>
    <row r="73" spans="1:6" x14ac:dyDescent="0.15">
      <c r="A73" s="278" t="s">
        <v>1051</v>
      </c>
      <c r="B73" s="298">
        <f t="shared" si="3"/>
        <v>9.7560975609756097E-3</v>
      </c>
      <c r="C73" s="298">
        <f t="shared" si="3"/>
        <v>7.6086956521739134E-3</v>
      </c>
      <c r="D73" s="298">
        <f t="shared" si="3"/>
        <v>6.1855670103092781E-3</v>
      </c>
      <c r="E73" s="81"/>
    </row>
    <row r="74" spans="1:6" x14ac:dyDescent="0.15">
      <c r="A74" s="7"/>
      <c r="B74" s="147"/>
      <c r="C74" s="147"/>
      <c r="D74" s="147"/>
      <c r="E74" s="81"/>
    </row>
    <row r="75" spans="1:6" x14ac:dyDescent="0.15">
      <c r="B75" s="147"/>
      <c r="C75" s="147"/>
      <c r="D75" s="147"/>
      <c r="E75" s="81"/>
    </row>
    <row r="76" spans="1:6" ht="15" x14ac:dyDescent="0.15">
      <c r="A76" s="8" t="s">
        <v>1107</v>
      </c>
      <c r="B76" s="147"/>
      <c r="C76" s="147"/>
      <c r="D76" s="147"/>
      <c r="E76" s="81"/>
      <c r="F76" s="81"/>
    </row>
    <row r="77" spans="1:6" ht="15" x14ac:dyDescent="0.15">
      <c r="A77" s="8"/>
      <c r="F77" s="81"/>
    </row>
    <row r="78" spans="1:6" x14ac:dyDescent="0.15">
      <c r="A78" s="360" t="s">
        <v>120</v>
      </c>
      <c r="B78" s="360">
        <v>0</v>
      </c>
      <c r="C78" s="360">
        <v>1</v>
      </c>
      <c r="D78" s="360">
        <v>2</v>
      </c>
      <c r="E78" s="360">
        <v>3</v>
      </c>
      <c r="F78" s="81"/>
    </row>
    <row r="79" spans="1:6" x14ac:dyDescent="0.15">
      <c r="A79" s="3" t="s">
        <v>947</v>
      </c>
      <c r="B79" s="264">
        <v>70.2</v>
      </c>
      <c r="C79" s="264">
        <v>106</v>
      </c>
      <c r="D79" s="264">
        <v>132</v>
      </c>
      <c r="E79" s="264">
        <v>161</v>
      </c>
    </row>
    <row r="80" spans="1:6" x14ac:dyDescent="0.15">
      <c r="A80" s="3" t="s">
        <v>121</v>
      </c>
      <c r="B80" s="264">
        <v>29.4</v>
      </c>
      <c r="C80" s="264">
        <v>35.4</v>
      </c>
      <c r="D80" s="264">
        <v>44.3</v>
      </c>
      <c r="E80" s="264">
        <v>53.8</v>
      </c>
    </row>
    <row r="81" spans="1:5" x14ac:dyDescent="0.15">
      <c r="A81" s="3" t="s">
        <v>55</v>
      </c>
      <c r="B81" s="264">
        <v>22.2</v>
      </c>
      <c r="C81" s="264">
        <v>29.4</v>
      </c>
      <c r="D81" s="264">
        <v>36.700000000000003</v>
      </c>
      <c r="E81" s="264">
        <v>41.1</v>
      </c>
    </row>
    <row r="82" spans="1:5" x14ac:dyDescent="0.15">
      <c r="A82" s="3" t="s">
        <v>1277</v>
      </c>
      <c r="B82" s="264">
        <v>0.5</v>
      </c>
      <c r="C82" s="264">
        <v>0.7</v>
      </c>
      <c r="D82" s="264">
        <v>0.7</v>
      </c>
      <c r="E82" s="264">
        <v>0.8</v>
      </c>
    </row>
    <row r="83" spans="1:5" x14ac:dyDescent="0.15">
      <c r="A83" s="3" t="s">
        <v>122</v>
      </c>
      <c r="B83" s="264">
        <v>13.7</v>
      </c>
      <c r="C83" s="264">
        <v>19.8</v>
      </c>
      <c r="D83" s="264">
        <v>24.6</v>
      </c>
      <c r="E83" s="264">
        <v>30.5</v>
      </c>
    </row>
    <row r="84" spans="1:5" x14ac:dyDescent="0.15">
      <c r="A84" s="88" t="s">
        <v>123</v>
      </c>
      <c r="B84" s="299">
        <v>2.5</v>
      </c>
      <c r="C84" s="299">
        <v>8.9</v>
      </c>
      <c r="D84" s="299">
        <v>11.2</v>
      </c>
      <c r="E84" s="299">
        <v>11.3</v>
      </c>
    </row>
    <row r="85" spans="1:5" x14ac:dyDescent="0.15">
      <c r="A85" s="3" t="s">
        <v>1048</v>
      </c>
      <c r="B85" s="264">
        <v>1.4</v>
      </c>
      <c r="C85" s="264">
        <v>2.7</v>
      </c>
      <c r="D85" s="264">
        <v>3.6</v>
      </c>
      <c r="E85" s="264">
        <v>5</v>
      </c>
    </row>
    <row r="87" spans="1:5" x14ac:dyDescent="0.15">
      <c r="A87" s="3" t="s">
        <v>69</v>
      </c>
      <c r="B87" s="264">
        <f>SUM(B88:B90)</f>
        <v>38.75</v>
      </c>
      <c r="C87" s="264">
        <f>SUM(C88:C90)</f>
        <v>54.199999999999996</v>
      </c>
      <c r="D87" s="264">
        <f>SUM(D88:D90)</f>
        <v>67.8</v>
      </c>
      <c r="E87" s="264">
        <f>SUM(E88:E90)</f>
        <v>80.349999999999994</v>
      </c>
    </row>
    <row r="88" spans="1:5" x14ac:dyDescent="0.15">
      <c r="A88" s="100" t="s">
        <v>121</v>
      </c>
      <c r="B88" s="300">
        <f>B80</f>
        <v>29.4</v>
      </c>
      <c r="C88" s="300">
        <f>C80</f>
        <v>35.4</v>
      </c>
      <c r="D88" s="300">
        <f>D80</f>
        <v>44.3</v>
      </c>
      <c r="E88" s="300">
        <f>E80</f>
        <v>53.8</v>
      </c>
    </row>
    <row r="89" spans="1:5" x14ac:dyDescent="0.15">
      <c r="A89" s="100" t="s">
        <v>123</v>
      </c>
      <c r="B89" s="300">
        <f>B84</f>
        <v>2.5</v>
      </c>
      <c r="C89" s="300">
        <f>C84</f>
        <v>8.9</v>
      </c>
      <c r="D89" s="300">
        <f>D84</f>
        <v>11.2</v>
      </c>
      <c r="E89" s="300">
        <f>E84</f>
        <v>11.3</v>
      </c>
    </row>
    <row r="90" spans="1:5" x14ac:dyDescent="0.15">
      <c r="A90" s="100" t="s">
        <v>124</v>
      </c>
      <c r="B90" s="300">
        <f>B83/2</f>
        <v>6.85</v>
      </c>
      <c r="C90" s="300">
        <f>C83/2</f>
        <v>9.9</v>
      </c>
      <c r="D90" s="300">
        <f>D83/2</f>
        <v>12.3</v>
      </c>
      <c r="E90" s="300">
        <f>E83/2</f>
        <v>15.25</v>
      </c>
    </row>
    <row r="91" spans="1:5" x14ac:dyDescent="0.15">
      <c r="A91" s="3" t="s">
        <v>70</v>
      </c>
      <c r="B91" s="264">
        <f>SUM(B92:B95)</f>
        <v>30.949999999999996</v>
      </c>
      <c r="C91" s="264">
        <f>SUM(C92:C95)</f>
        <v>42.7</v>
      </c>
      <c r="D91" s="264">
        <f>SUM(D92:D95)</f>
        <v>53.300000000000004</v>
      </c>
      <c r="E91" s="264">
        <f>SUM(E92:E95)</f>
        <v>62.15</v>
      </c>
    </row>
    <row r="92" spans="1:5" x14ac:dyDescent="0.15">
      <c r="A92" s="100" t="s">
        <v>55</v>
      </c>
      <c r="B92" s="300">
        <f t="shared" ref="B92:E93" si="4">B81</f>
        <v>22.2</v>
      </c>
      <c r="C92" s="300">
        <f t="shared" si="4"/>
        <v>29.4</v>
      </c>
      <c r="D92" s="300">
        <f t="shared" si="4"/>
        <v>36.700000000000003</v>
      </c>
      <c r="E92" s="300">
        <f t="shared" si="4"/>
        <v>41.1</v>
      </c>
    </row>
    <row r="93" spans="1:5" x14ac:dyDescent="0.15">
      <c r="A93" s="100" t="s">
        <v>1277</v>
      </c>
      <c r="B93" s="300">
        <f t="shared" si="4"/>
        <v>0.5</v>
      </c>
      <c r="C93" s="300">
        <f t="shared" si="4"/>
        <v>0.7</v>
      </c>
      <c r="D93" s="300">
        <f t="shared" si="4"/>
        <v>0.7</v>
      </c>
      <c r="E93" s="300">
        <f t="shared" si="4"/>
        <v>0.8</v>
      </c>
    </row>
    <row r="94" spans="1:5" x14ac:dyDescent="0.15">
      <c r="A94" s="100" t="s">
        <v>124</v>
      </c>
      <c r="B94" s="300">
        <f>B83/2</f>
        <v>6.85</v>
      </c>
      <c r="C94" s="300">
        <f>C83/2</f>
        <v>9.9</v>
      </c>
      <c r="D94" s="300">
        <f>D83/2</f>
        <v>12.3</v>
      </c>
      <c r="E94" s="300">
        <f>E83/2</f>
        <v>15.25</v>
      </c>
    </row>
    <row r="95" spans="1:5" x14ac:dyDescent="0.15">
      <c r="A95" s="100" t="s">
        <v>1048</v>
      </c>
      <c r="B95" s="300">
        <f>B85</f>
        <v>1.4</v>
      </c>
      <c r="C95" s="300">
        <f>C85</f>
        <v>2.7</v>
      </c>
      <c r="D95" s="300">
        <f>D85</f>
        <v>3.6</v>
      </c>
      <c r="E95" s="300">
        <f>E85</f>
        <v>5</v>
      </c>
    </row>
    <row r="97" spans="1:5" s="7" customFormat="1" x14ac:dyDescent="0.15">
      <c r="A97" s="7" t="s">
        <v>125</v>
      </c>
      <c r="B97" s="184">
        <f>B91/(1-B87/B79)</f>
        <v>69.083942766295692</v>
      </c>
      <c r="C97" s="184">
        <f>C91/(1-C87/C79)</f>
        <v>87.378378378378386</v>
      </c>
      <c r="D97" s="184">
        <f>D91/(1-D87/D79)</f>
        <v>109.58878504672899</v>
      </c>
      <c r="E97" s="184">
        <f>E91/(1-E87/E79)</f>
        <v>124.06881587104772</v>
      </c>
    </row>
    <row r="98" spans="1:5" x14ac:dyDescent="0.15">
      <c r="A98" s="3" t="s">
        <v>80</v>
      </c>
      <c r="B98" s="81">
        <f>B79/B97</f>
        <v>1.0161550888529889</v>
      </c>
      <c r="C98" s="81">
        <f>C79/C97</f>
        <v>1.2131147540983604</v>
      </c>
      <c r="D98" s="81">
        <f>D79/D97</f>
        <v>1.2045028142589116</v>
      </c>
      <c r="E98" s="81">
        <f>E79/E97</f>
        <v>1.2976669348350767</v>
      </c>
    </row>
    <row r="100" spans="1:5" x14ac:dyDescent="0.15">
      <c r="A100" s="3" t="s">
        <v>1185</v>
      </c>
      <c r="B100" s="264">
        <v>1.6</v>
      </c>
      <c r="C100" s="264">
        <f>1.6+3</f>
        <v>4.5999999999999996</v>
      </c>
      <c r="D100" s="264">
        <f>1.6+3</f>
        <v>4.5999999999999996</v>
      </c>
      <c r="E100" s="264">
        <f>1.6+3</f>
        <v>4.5999999999999996</v>
      </c>
    </row>
    <row r="102" spans="1:5" s="7" customFormat="1" x14ac:dyDescent="0.15">
      <c r="A102" s="7" t="s">
        <v>126</v>
      </c>
      <c r="B102" s="184">
        <f>(B91+B100)/(1-B87/B79)</f>
        <v>72.655325914149444</v>
      </c>
      <c r="C102" s="184">
        <f>(C91+C100)/(1-C87/C79)</f>
        <v>96.791505791505799</v>
      </c>
      <c r="D102" s="184">
        <f>(D91+D100)/(1-D87/D79)</f>
        <v>119.04672897196264</v>
      </c>
      <c r="E102" s="184">
        <f>(E91+E100)/(1-E87/E79)</f>
        <v>133.25170489770611</v>
      </c>
    </row>
    <row r="103" spans="1:5" x14ac:dyDescent="0.15">
      <c r="A103" s="3" t="s">
        <v>80</v>
      </c>
      <c r="B103" s="81">
        <f>B79/B102</f>
        <v>0.96620583717357911</v>
      </c>
      <c r="C103" s="81">
        <f>C79/C102</f>
        <v>1.095137420718816</v>
      </c>
      <c r="D103" s="81">
        <f>D79/D102</f>
        <v>1.1088082901554401</v>
      </c>
      <c r="E103" s="81">
        <f>E79/E102</f>
        <v>1.2082397003745322</v>
      </c>
    </row>
    <row r="106" spans="1:5" ht="15" x14ac:dyDescent="0.15">
      <c r="A106" s="8" t="s">
        <v>1724</v>
      </c>
    </row>
    <row r="107" spans="1:5" x14ac:dyDescent="0.15">
      <c r="B107" s="108" t="s">
        <v>1727</v>
      </c>
      <c r="C107" s="108" t="s">
        <v>1356</v>
      </c>
    </row>
    <row r="108" spans="1:5" x14ac:dyDescent="0.15">
      <c r="A108" s="3" t="s">
        <v>1181</v>
      </c>
      <c r="C108" s="3">
        <v>100</v>
      </c>
    </row>
    <row r="109" spans="1:5" x14ac:dyDescent="0.15">
      <c r="A109" s="3" t="s">
        <v>947</v>
      </c>
      <c r="C109" s="3">
        <f>C108+C113-B113</f>
        <v>120</v>
      </c>
    </row>
    <row r="110" spans="1:5" x14ac:dyDescent="0.15">
      <c r="A110" s="3" t="s">
        <v>1725</v>
      </c>
      <c r="C110" s="3">
        <v>40</v>
      </c>
    </row>
    <row r="111" spans="1:5" x14ac:dyDescent="0.15">
      <c r="A111" s="3" t="s">
        <v>1726</v>
      </c>
      <c r="C111" s="3">
        <v>50</v>
      </c>
    </row>
    <row r="113" spans="1:3" x14ac:dyDescent="0.15">
      <c r="A113" s="3" t="s">
        <v>1728</v>
      </c>
      <c r="B113" s="3">
        <v>20</v>
      </c>
      <c r="C113" s="3">
        <v>40</v>
      </c>
    </row>
    <row r="115" spans="1:3" x14ac:dyDescent="0.15">
      <c r="A115" s="3" t="s">
        <v>1729</v>
      </c>
      <c r="C115" s="3">
        <f>C110/((C108-C111)/C108)</f>
        <v>80</v>
      </c>
    </row>
    <row r="116" spans="1:3" x14ac:dyDescent="0.15">
      <c r="A116" s="3" t="s">
        <v>1730</v>
      </c>
      <c r="C116" s="13">
        <f>C110/((C109-C111)/C109)</f>
        <v>68.571428571428569</v>
      </c>
    </row>
  </sheetData>
  <mergeCells count="1">
    <mergeCell ref="F41:G41"/>
  </mergeCells>
  <phoneticPr fontId="4" type="noConversion"/>
  <pageMargins left="0.78740157480314965" right="0.78740157480314965" top="0.98425196850393704" bottom="0.98425196850393704" header="0.51181102362204722" footer="0.51181102362204722"/>
  <pageSetup paperSize="9" scale="99"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0">
    <pageSetUpPr fitToPage="1"/>
  </sheetPr>
  <dimension ref="A1:F103"/>
  <sheetViews>
    <sheetView showGridLines="0" workbookViewId="0">
      <selection activeCell="F20" sqref="F20"/>
    </sheetView>
  </sheetViews>
  <sheetFormatPr baseColWidth="10" defaultColWidth="11" defaultRowHeight="14" x14ac:dyDescent="0.15"/>
  <cols>
    <col min="1" max="1" width="38.83203125" style="3" customWidth="1"/>
    <col min="2" max="16384" width="11" style="3"/>
  </cols>
  <sheetData>
    <row r="1" spans="1:4" ht="15" x14ac:dyDescent="0.15">
      <c r="A1" s="1" t="s">
        <v>1325</v>
      </c>
    </row>
    <row r="2" spans="1:4" ht="15" x14ac:dyDescent="0.15">
      <c r="A2" s="8"/>
    </row>
    <row r="3" spans="1:4" x14ac:dyDescent="0.15">
      <c r="A3" s="291" t="s">
        <v>139</v>
      </c>
    </row>
    <row r="4" spans="1:4" x14ac:dyDescent="0.15">
      <c r="A4" s="3" t="s">
        <v>1181</v>
      </c>
      <c r="B4" s="3">
        <v>100</v>
      </c>
    </row>
    <row r="5" spans="1:4" x14ac:dyDescent="0.15">
      <c r="A5" s="3" t="s">
        <v>62</v>
      </c>
      <c r="B5" s="3">
        <v>30</v>
      </c>
    </row>
    <row r="6" spans="1:4" x14ac:dyDescent="0.15">
      <c r="A6" s="3" t="s">
        <v>127</v>
      </c>
      <c r="B6" s="3">
        <v>40</v>
      </c>
    </row>
    <row r="7" spans="1:4" x14ac:dyDescent="0.15">
      <c r="A7" s="3" t="s">
        <v>128</v>
      </c>
      <c r="B7" s="3">
        <v>20</v>
      </c>
    </row>
    <row r="9" spans="1:4" x14ac:dyDescent="0.15">
      <c r="A9" s="7" t="s">
        <v>129</v>
      </c>
    </row>
    <row r="10" spans="1:4" x14ac:dyDescent="0.15">
      <c r="A10" s="3" t="s">
        <v>130</v>
      </c>
      <c r="B10" s="3">
        <v>15</v>
      </c>
      <c r="C10" s="3" t="s">
        <v>131</v>
      </c>
      <c r="D10" s="168" t="s">
        <v>145</v>
      </c>
    </row>
    <row r="11" spans="1:4" x14ac:dyDescent="0.15">
      <c r="A11" s="3" t="s">
        <v>132</v>
      </c>
      <c r="B11" s="3">
        <v>1</v>
      </c>
      <c r="C11" s="3" t="s">
        <v>134</v>
      </c>
      <c r="D11" s="3">
        <v>30</v>
      </c>
    </row>
    <row r="12" spans="1:4" x14ac:dyDescent="0.15">
      <c r="A12" s="100" t="s">
        <v>137</v>
      </c>
      <c r="B12" s="22">
        <v>1</v>
      </c>
      <c r="C12" s="22" t="s">
        <v>134</v>
      </c>
    </row>
    <row r="13" spans="1:4" x14ac:dyDescent="0.15">
      <c r="A13" s="100" t="s">
        <v>141</v>
      </c>
      <c r="B13" s="22">
        <v>15</v>
      </c>
      <c r="C13" s="22" t="s">
        <v>131</v>
      </c>
    </row>
    <row r="14" spans="1:4" x14ac:dyDescent="0.15">
      <c r="A14" s="3" t="s">
        <v>133</v>
      </c>
      <c r="B14" s="3">
        <v>15</v>
      </c>
      <c r="C14" s="3" t="s">
        <v>131</v>
      </c>
    </row>
    <row r="16" spans="1:4" x14ac:dyDescent="0.15">
      <c r="A16" s="7" t="s">
        <v>135</v>
      </c>
    </row>
    <row r="17" spans="1:4" x14ac:dyDescent="0.15">
      <c r="A17" s="3" t="s">
        <v>1201</v>
      </c>
      <c r="B17" s="3">
        <v>2</v>
      </c>
      <c r="C17" s="3" t="s">
        <v>134</v>
      </c>
    </row>
    <row r="18" spans="1:4" x14ac:dyDescent="0.15">
      <c r="A18" s="3" t="s">
        <v>136</v>
      </c>
      <c r="B18" s="3">
        <v>1</v>
      </c>
      <c r="C18" s="3" t="s">
        <v>134</v>
      </c>
    </row>
    <row r="20" spans="1:4" ht="24" x14ac:dyDescent="0.15">
      <c r="A20" s="359"/>
      <c r="B20" s="364" t="s">
        <v>142</v>
      </c>
      <c r="C20" s="365" t="s">
        <v>143</v>
      </c>
      <c r="D20" s="364" t="s">
        <v>579</v>
      </c>
    </row>
    <row r="21" spans="1:4" x14ac:dyDescent="0.15">
      <c r="A21" s="3" t="s">
        <v>144</v>
      </c>
      <c r="B21" s="81">
        <f>B5/B4</f>
        <v>0.3</v>
      </c>
      <c r="C21" s="29">
        <f>B10</f>
        <v>15</v>
      </c>
      <c r="D21" s="29">
        <f>B21*C21</f>
        <v>4.5</v>
      </c>
    </row>
    <row r="22" spans="1:4" x14ac:dyDescent="0.15">
      <c r="A22" s="3" t="s">
        <v>140</v>
      </c>
      <c r="B22" s="81"/>
    </row>
    <row r="23" spans="1:4" x14ac:dyDescent="0.15">
      <c r="A23" s="100" t="s">
        <v>137</v>
      </c>
      <c r="B23" s="292">
        <f>B5/B4</f>
        <v>0.3</v>
      </c>
      <c r="C23" s="22">
        <f>B12*Jours</f>
        <v>30</v>
      </c>
      <c r="D23" s="25">
        <f>B23*C23</f>
        <v>9</v>
      </c>
    </row>
    <row r="24" spans="1:4" x14ac:dyDescent="0.15">
      <c r="A24" s="100" t="s">
        <v>141</v>
      </c>
      <c r="B24" s="292">
        <f>B6/B4</f>
        <v>0.4</v>
      </c>
      <c r="C24" s="22">
        <f>B13</f>
        <v>15</v>
      </c>
      <c r="D24" s="25">
        <f>B24*C24</f>
        <v>6</v>
      </c>
    </row>
    <row r="25" spans="1:4" x14ac:dyDescent="0.15">
      <c r="A25" s="3" t="s">
        <v>1166</v>
      </c>
      <c r="B25" s="81">
        <f>(B5+B6)/B4</f>
        <v>0.7</v>
      </c>
      <c r="C25" s="3">
        <f>B14</f>
        <v>15</v>
      </c>
      <c r="D25" s="3">
        <f>B25*C25</f>
        <v>10.5</v>
      </c>
    </row>
    <row r="26" spans="1:4" x14ac:dyDescent="0.15">
      <c r="A26" s="3" t="s">
        <v>138</v>
      </c>
      <c r="B26" s="107">
        <f>B4/B4</f>
        <v>1</v>
      </c>
      <c r="C26" s="3">
        <f>B18*Jours</f>
        <v>30</v>
      </c>
      <c r="D26" s="29">
        <f>B26*C26</f>
        <v>30</v>
      </c>
    </row>
    <row r="27" spans="1:4" x14ac:dyDescent="0.15">
      <c r="A27" s="88" t="s">
        <v>1287</v>
      </c>
      <c r="B27" s="119">
        <f>-B5/B4</f>
        <v>-0.3</v>
      </c>
      <c r="C27" s="185">
        <f>B17*Jours</f>
        <v>60</v>
      </c>
      <c r="D27" s="185">
        <f>B27*C27</f>
        <v>-18</v>
      </c>
    </row>
    <row r="28" spans="1:4" x14ac:dyDescent="0.15">
      <c r="A28" s="286" t="s">
        <v>938</v>
      </c>
      <c r="D28" s="29">
        <f>SUM(D21:D27)</f>
        <v>42</v>
      </c>
    </row>
    <row r="30" spans="1:4" ht="15" x14ac:dyDescent="0.15">
      <c r="A30" s="8" t="s">
        <v>1326</v>
      </c>
    </row>
    <row r="31" spans="1:4" ht="15" x14ac:dyDescent="0.15">
      <c r="A31" s="8"/>
    </row>
    <row r="32" spans="1:4" x14ac:dyDescent="0.15">
      <c r="A32" s="3" t="s">
        <v>146</v>
      </c>
      <c r="B32" s="81">
        <v>0.25</v>
      </c>
      <c r="C32" s="3" t="s">
        <v>348</v>
      </c>
    </row>
    <row r="33" spans="1:6" x14ac:dyDescent="0.15">
      <c r="A33" s="3" t="s">
        <v>147</v>
      </c>
      <c r="B33" s="3">
        <v>100</v>
      </c>
    </row>
    <row r="34" spans="1:6" x14ac:dyDescent="0.15">
      <c r="A34" s="3" t="s">
        <v>148</v>
      </c>
      <c r="B34" s="3">
        <v>120</v>
      </c>
    </row>
    <row r="35" spans="1:6" x14ac:dyDescent="0.15">
      <c r="A35" s="3" t="s">
        <v>149</v>
      </c>
      <c r="B35" s="80">
        <v>0.15</v>
      </c>
      <c r="C35" s="3" t="s">
        <v>348</v>
      </c>
    </row>
    <row r="37" spans="1:6" ht="15" x14ac:dyDescent="0.15">
      <c r="A37" s="6" t="s">
        <v>150</v>
      </c>
      <c r="B37" s="3">
        <f>B35*B34-B32*(B34-B33)</f>
        <v>13</v>
      </c>
    </row>
    <row r="39" spans="1:6" ht="15" x14ac:dyDescent="0.15">
      <c r="A39" s="8" t="s">
        <v>1527</v>
      </c>
    </row>
    <row r="40" spans="1:6" ht="15" x14ac:dyDescent="0.15">
      <c r="A40" s="366"/>
      <c r="B40" s="360">
        <v>1</v>
      </c>
      <c r="C40" s="360">
        <v>2</v>
      </c>
      <c r="D40" s="360">
        <v>3</v>
      </c>
      <c r="E40" s="360">
        <v>4</v>
      </c>
      <c r="F40" s="360">
        <v>5</v>
      </c>
    </row>
    <row r="41" spans="1:6" x14ac:dyDescent="0.15">
      <c r="A41" s="7" t="s">
        <v>45</v>
      </c>
    </row>
    <row r="42" spans="1:6" x14ac:dyDescent="0.15">
      <c r="A42" s="3" t="s">
        <v>151</v>
      </c>
      <c r="B42" s="29">
        <v>6.1</v>
      </c>
      <c r="C42" s="29">
        <v>7.4</v>
      </c>
      <c r="D42" s="29">
        <v>9.1</v>
      </c>
      <c r="E42" s="29">
        <v>13</v>
      </c>
      <c r="F42" s="29">
        <v>15.4</v>
      </c>
    </row>
    <row r="43" spans="1:6" x14ac:dyDescent="0.15">
      <c r="A43" s="3" t="s">
        <v>152</v>
      </c>
      <c r="B43" s="29">
        <v>6.4</v>
      </c>
      <c r="C43" s="29">
        <v>8.9</v>
      </c>
      <c r="D43" s="29">
        <v>10.5</v>
      </c>
      <c r="E43" s="29">
        <v>11.1</v>
      </c>
      <c r="F43" s="29">
        <v>11.6</v>
      </c>
    </row>
    <row r="44" spans="1:6" x14ac:dyDescent="0.15">
      <c r="A44" s="3" t="s">
        <v>153</v>
      </c>
      <c r="B44" s="29">
        <v>2.1</v>
      </c>
      <c r="C44" s="29">
        <v>3.5</v>
      </c>
      <c r="D44" s="29">
        <v>3.5</v>
      </c>
      <c r="E44" s="29">
        <v>3.8</v>
      </c>
      <c r="F44" s="29">
        <v>3.4</v>
      </c>
    </row>
    <row r="45" spans="1:6" x14ac:dyDescent="0.15">
      <c r="B45" s="29"/>
      <c r="C45" s="29"/>
      <c r="D45" s="29"/>
      <c r="E45" s="29"/>
      <c r="F45" s="29"/>
    </row>
    <row r="46" spans="1:6" x14ac:dyDescent="0.15">
      <c r="A46" s="7" t="s">
        <v>154</v>
      </c>
      <c r="B46" s="29"/>
      <c r="C46" s="29"/>
      <c r="D46" s="29"/>
      <c r="E46" s="29"/>
      <c r="F46" s="29"/>
    </row>
    <row r="47" spans="1:6" x14ac:dyDescent="0.15">
      <c r="A47" s="3" t="s">
        <v>155</v>
      </c>
      <c r="B47" s="29">
        <v>32.799999999999997</v>
      </c>
      <c r="C47" s="29">
        <v>44.7</v>
      </c>
      <c r="D47" s="29">
        <v>49.4</v>
      </c>
      <c r="E47" s="29">
        <v>48.9</v>
      </c>
      <c r="F47" s="29">
        <v>50</v>
      </c>
    </row>
    <row r="48" spans="1:6" x14ac:dyDescent="0.15">
      <c r="A48" s="3" t="s">
        <v>156</v>
      </c>
      <c r="B48" s="29">
        <v>38.9</v>
      </c>
      <c r="C48" s="29">
        <v>52.6</v>
      </c>
      <c r="D48" s="29">
        <v>58.1</v>
      </c>
      <c r="E48" s="29">
        <v>57.4</v>
      </c>
      <c r="F48" s="29">
        <v>57.2</v>
      </c>
    </row>
    <row r="49" spans="1:6" x14ac:dyDescent="0.15">
      <c r="A49" s="3" t="s">
        <v>157</v>
      </c>
      <c r="B49" s="29">
        <v>12.5</v>
      </c>
      <c r="C49" s="29">
        <v>19.2</v>
      </c>
      <c r="D49" s="29">
        <v>19.600000000000001</v>
      </c>
      <c r="E49" s="29">
        <v>20.9</v>
      </c>
      <c r="F49" s="29">
        <v>20.399999999999999</v>
      </c>
    </row>
    <row r="51" spans="1:6" x14ac:dyDescent="0.15">
      <c r="A51" s="7" t="s">
        <v>64</v>
      </c>
    </row>
    <row r="52" spans="1:6" x14ac:dyDescent="0.15">
      <c r="A52" s="3" t="s">
        <v>1236</v>
      </c>
      <c r="B52" s="29">
        <f>B42+B43-B44</f>
        <v>10.4</v>
      </c>
      <c r="C52" s="29">
        <f>C42+C43-C44</f>
        <v>12.8</v>
      </c>
      <c r="D52" s="29">
        <f>D42+D43-D44</f>
        <v>16.100000000000001</v>
      </c>
      <c r="E52" s="29">
        <f>E42+E43-E44</f>
        <v>20.3</v>
      </c>
      <c r="F52" s="29">
        <f>F42+F43-F44</f>
        <v>23.6</v>
      </c>
    </row>
    <row r="53" spans="1:6" x14ac:dyDescent="0.15">
      <c r="A53" s="3" t="s">
        <v>159</v>
      </c>
      <c r="B53" s="13">
        <f>B52/B47*365</f>
        <v>115.73170731707319</v>
      </c>
      <c r="C53" s="13">
        <f>C52/C47*365</f>
        <v>104.51901565995526</v>
      </c>
      <c r="D53" s="13">
        <f>D52/D47*365</f>
        <v>118.95748987854252</v>
      </c>
      <c r="E53" s="13">
        <f>E52/E47*365</f>
        <v>151.5235173824131</v>
      </c>
      <c r="F53" s="13">
        <f>F52/F47*365</f>
        <v>172.28</v>
      </c>
    </row>
    <row r="54" spans="1:6" x14ac:dyDescent="0.15">
      <c r="A54" s="3" t="s">
        <v>46</v>
      </c>
      <c r="B54" s="13">
        <f>B43/B48*365</f>
        <v>60.051413881748076</v>
      </c>
      <c r="C54" s="13">
        <f>C43/C48*365</f>
        <v>61.758555133079852</v>
      </c>
      <c r="D54" s="13">
        <f>D43/D48*365</f>
        <v>65.963855421686745</v>
      </c>
      <c r="E54" s="13">
        <f>E43/E48*365</f>
        <v>70.583623693379792</v>
      </c>
      <c r="F54" s="13">
        <f>F43/F48*365</f>
        <v>74.020979020979013</v>
      </c>
    </row>
    <row r="55" spans="1:6" x14ac:dyDescent="0.15">
      <c r="A55" s="3" t="s">
        <v>47</v>
      </c>
      <c r="B55" s="13">
        <f>B42/B47*365</f>
        <v>67.881097560975604</v>
      </c>
      <c r="C55" s="13">
        <f>C42/C47*365</f>
        <v>60.425055928411631</v>
      </c>
      <c r="D55" s="13">
        <f>D42/D47*365</f>
        <v>67.23684210526315</v>
      </c>
      <c r="E55" s="13">
        <f>E42/E47*365</f>
        <v>97.034764826175859</v>
      </c>
      <c r="F55" s="13">
        <f>F42/F47*365</f>
        <v>112.42</v>
      </c>
    </row>
    <row r="56" spans="1:6" x14ac:dyDescent="0.15">
      <c r="A56" s="3" t="s">
        <v>48</v>
      </c>
      <c r="B56" s="13">
        <f>B44/B49*365</f>
        <v>61.32</v>
      </c>
      <c r="C56" s="13">
        <f>C44/C49*365</f>
        <v>66.536458333333343</v>
      </c>
      <c r="D56" s="13">
        <f>D44/D49*365</f>
        <v>65.178571428571416</v>
      </c>
      <c r="E56" s="13">
        <f>E44/E49*365</f>
        <v>66.36363636363636</v>
      </c>
      <c r="F56" s="13">
        <f>F44/F49*365</f>
        <v>60.833333333333343</v>
      </c>
    </row>
    <row r="58" spans="1:6" ht="15" x14ac:dyDescent="0.15">
      <c r="A58" s="8" t="s">
        <v>160</v>
      </c>
    </row>
    <row r="59" spans="1:6" x14ac:dyDescent="0.15">
      <c r="A59" s="3" t="s">
        <v>161</v>
      </c>
      <c r="B59" s="3">
        <v>4</v>
      </c>
      <c r="C59" s="3" t="s">
        <v>162</v>
      </c>
    </row>
    <row r="60" spans="1:6" x14ac:dyDescent="0.15">
      <c r="A60" s="3" t="s">
        <v>163</v>
      </c>
      <c r="B60" s="80">
        <v>0.6</v>
      </c>
      <c r="C60" s="3" t="s">
        <v>164</v>
      </c>
    </row>
    <row r="61" spans="1:6" x14ac:dyDescent="0.15">
      <c r="A61" s="3" t="s">
        <v>165</v>
      </c>
      <c r="B61" s="3">
        <v>45</v>
      </c>
      <c r="C61" s="3" t="s">
        <v>166</v>
      </c>
    </row>
    <row r="62" spans="1:6" x14ac:dyDescent="0.15">
      <c r="A62" s="3" t="s">
        <v>167</v>
      </c>
      <c r="B62" s="3">
        <v>30</v>
      </c>
      <c r="C62" s="3" t="s">
        <v>131</v>
      </c>
    </row>
    <row r="63" spans="1:6" x14ac:dyDescent="0.15">
      <c r="A63" s="3" t="s">
        <v>168</v>
      </c>
      <c r="B63" s="80">
        <v>0.1</v>
      </c>
      <c r="C63" s="3" t="s">
        <v>164</v>
      </c>
    </row>
    <row r="64" spans="1:6" x14ac:dyDescent="0.15">
      <c r="A64" s="3" t="s">
        <v>1147</v>
      </c>
      <c r="B64" s="80">
        <v>0.5</v>
      </c>
      <c r="C64" s="3" t="s">
        <v>171</v>
      </c>
      <c r="D64" s="3">
        <v>15</v>
      </c>
      <c r="E64" s="3" t="s">
        <v>170</v>
      </c>
    </row>
    <row r="65" spans="1:5" x14ac:dyDescent="0.15">
      <c r="A65" s="3" t="s">
        <v>169</v>
      </c>
      <c r="B65" s="80">
        <v>0.2</v>
      </c>
      <c r="C65" s="3" t="s">
        <v>172</v>
      </c>
      <c r="D65" s="3">
        <v>25</v>
      </c>
      <c r="E65" s="3" t="s">
        <v>170</v>
      </c>
    </row>
    <row r="67" spans="1:5" ht="24" x14ac:dyDescent="0.15">
      <c r="A67" s="360" t="s">
        <v>1236</v>
      </c>
      <c r="B67" s="364" t="s">
        <v>142</v>
      </c>
      <c r="C67" s="365" t="s">
        <v>143</v>
      </c>
      <c r="D67" s="364" t="s">
        <v>579</v>
      </c>
    </row>
    <row r="68" spans="1:5" x14ac:dyDescent="0.15">
      <c r="A68" s="3" t="s">
        <v>1287</v>
      </c>
      <c r="B68" s="50">
        <f>B60*(1+TVA)</f>
        <v>0.72</v>
      </c>
      <c r="C68" s="68">
        <f>B62</f>
        <v>30</v>
      </c>
      <c r="D68" s="68">
        <f t="shared" ref="D68:D73" si="0">B68*C68</f>
        <v>21.599999999999998</v>
      </c>
    </row>
    <row r="69" spans="1:5" x14ac:dyDescent="0.15">
      <c r="A69" s="3" t="s">
        <v>350</v>
      </c>
      <c r="B69" s="50">
        <f>B63</f>
        <v>0.1</v>
      </c>
      <c r="C69" s="68">
        <v>15</v>
      </c>
      <c r="D69" s="68">
        <f t="shared" si="0"/>
        <v>1.5</v>
      </c>
    </row>
    <row r="70" spans="1:5" x14ac:dyDescent="0.15">
      <c r="A70" s="3" t="s">
        <v>349</v>
      </c>
      <c r="B70" s="50">
        <f>B63*B64</f>
        <v>0.05</v>
      </c>
      <c r="C70" s="68">
        <f>15+D64</f>
        <v>30</v>
      </c>
      <c r="D70" s="68">
        <f t="shared" si="0"/>
        <v>1.5</v>
      </c>
    </row>
    <row r="71" spans="1:5" x14ac:dyDescent="0.15">
      <c r="A71" s="3" t="s">
        <v>1195</v>
      </c>
      <c r="B71" s="50">
        <v>0.6</v>
      </c>
      <c r="C71" s="68">
        <f>360/B59</f>
        <v>90</v>
      </c>
      <c r="D71" s="68">
        <f t="shared" si="0"/>
        <v>54</v>
      </c>
    </row>
    <row r="72" spans="1:5" x14ac:dyDescent="0.15">
      <c r="A72" s="3" t="s">
        <v>328</v>
      </c>
      <c r="B72" s="50">
        <f>(1+TVA)</f>
        <v>1.2</v>
      </c>
      <c r="C72" s="68">
        <f>B61+15</f>
        <v>60</v>
      </c>
      <c r="D72" s="68">
        <f>B72*C72</f>
        <v>72</v>
      </c>
      <c r="E72" s="3" t="s">
        <v>1398</v>
      </c>
    </row>
    <row r="73" spans="1:5" x14ac:dyDescent="0.15">
      <c r="A73" s="3" t="s">
        <v>173</v>
      </c>
      <c r="B73" s="50">
        <f>TVA-B60*TVA</f>
        <v>8.0000000000000016E-2</v>
      </c>
      <c r="C73" s="68">
        <f>15+D65</f>
        <v>40</v>
      </c>
      <c r="D73" s="68">
        <f t="shared" si="0"/>
        <v>3.2000000000000006</v>
      </c>
    </row>
    <row r="74" spans="1:5" x14ac:dyDescent="0.15">
      <c r="A74" s="286" t="s">
        <v>938</v>
      </c>
      <c r="D74" s="68">
        <f>+D71+D72-D73-D68-D69-D70</f>
        <v>98.2</v>
      </c>
    </row>
    <row r="77" spans="1:5" ht="15" x14ac:dyDescent="0.15">
      <c r="A77" s="8" t="s">
        <v>174</v>
      </c>
    </row>
    <row r="79" spans="1:5" x14ac:dyDescent="0.15">
      <c r="A79" s="3" t="s">
        <v>158</v>
      </c>
      <c r="B79" s="3">
        <v>15</v>
      </c>
      <c r="C79" s="3" t="s">
        <v>162</v>
      </c>
    </row>
    <row r="80" spans="1:5" x14ac:dyDescent="0.15">
      <c r="A80" s="3" t="s">
        <v>176</v>
      </c>
      <c r="B80" s="3">
        <v>90</v>
      </c>
      <c r="C80" s="3" t="s">
        <v>131</v>
      </c>
    </row>
    <row r="81" spans="1:5" x14ac:dyDescent="0.15">
      <c r="A81" s="3" t="s">
        <v>175</v>
      </c>
      <c r="B81" s="3">
        <v>10</v>
      </c>
      <c r="C81" s="3" t="s">
        <v>131</v>
      </c>
    </row>
    <row r="82" spans="1:5" x14ac:dyDescent="0.15">
      <c r="A82" s="3" t="s">
        <v>49</v>
      </c>
      <c r="B82" s="80">
        <v>0.75</v>
      </c>
    </row>
    <row r="83" spans="1:5" x14ac:dyDescent="0.15">
      <c r="A83" s="3" t="s">
        <v>177</v>
      </c>
    </row>
    <row r="85" spans="1:5" ht="24" x14ac:dyDescent="0.15">
      <c r="A85" s="360" t="s">
        <v>1236</v>
      </c>
      <c r="B85" s="364" t="s">
        <v>142</v>
      </c>
      <c r="C85" s="365" t="s">
        <v>143</v>
      </c>
      <c r="D85" s="364" t="s">
        <v>579</v>
      </c>
    </row>
    <row r="86" spans="1:5" x14ac:dyDescent="0.15">
      <c r="A86" s="3" t="s">
        <v>1195</v>
      </c>
      <c r="B86" s="81">
        <v>0.75</v>
      </c>
      <c r="C86" s="68">
        <f>365/B79</f>
        <v>24.333333333333332</v>
      </c>
      <c r="D86" s="68">
        <f>B86*C86</f>
        <v>18.25</v>
      </c>
    </row>
    <row r="87" spans="1:5" x14ac:dyDescent="0.15">
      <c r="A87" s="3" t="s">
        <v>328</v>
      </c>
      <c r="B87" s="80">
        <v>1</v>
      </c>
      <c r="C87" s="68">
        <f>B81</f>
        <v>10</v>
      </c>
      <c r="D87" s="68">
        <f>B87*C87</f>
        <v>10</v>
      </c>
    </row>
    <row r="88" spans="1:5" x14ac:dyDescent="0.15">
      <c r="A88" s="3" t="s">
        <v>1287</v>
      </c>
      <c r="B88" s="81">
        <v>0.75</v>
      </c>
      <c r="C88" s="68">
        <f>B80</f>
        <v>90</v>
      </c>
      <c r="D88" s="68">
        <f>B88*C88</f>
        <v>67.5</v>
      </c>
    </row>
    <row r="89" spans="1:5" x14ac:dyDescent="0.15">
      <c r="A89" s="286" t="s">
        <v>938</v>
      </c>
      <c r="D89" s="68">
        <f>D87+D86-D88</f>
        <v>-39.25</v>
      </c>
      <c r="E89" s="3" t="s">
        <v>353</v>
      </c>
    </row>
    <row r="93" spans="1:5" ht="15" x14ac:dyDescent="0.15">
      <c r="A93" s="8" t="s">
        <v>370</v>
      </c>
    </row>
    <row r="95" spans="1:5" x14ac:dyDescent="0.15">
      <c r="A95" s="516" t="s">
        <v>1671</v>
      </c>
      <c r="B95" s="516"/>
      <c r="C95" s="516"/>
      <c r="D95" s="516"/>
    </row>
    <row r="96" spans="1:5" x14ac:dyDescent="0.15">
      <c r="A96" s="516"/>
      <c r="B96" s="516"/>
      <c r="C96" s="516"/>
      <c r="D96" s="516"/>
    </row>
    <row r="97" spans="1:4" x14ac:dyDescent="0.15">
      <c r="A97" s="516"/>
      <c r="B97" s="516"/>
      <c r="C97" s="516"/>
      <c r="D97" s="516"/>
    </row>
    <row r="98" spans="1:4" x14ac:dyDescent="0.15">
      <c r="A98" s="516"/>
      <c r="B98" s="516"/>
      <c r="C98" s="516"/>
      <c r="D98" s="516"/>
    </row>
    <row r="99" spans="1:4" x14ac:dyDescent="0.15">
      <c r="A99" s="516"/>
      <c r="B99" s="516"/>
      <c r="C99" s="516"/>
      <c r="D99" s="516"/>
    </row>
    <row r="100" spans="1:4" x14ac:dyDescent="0.15">
      <c r="A100" s="516"/>
      <c r="B100" s="516"/>
      <c r="C100" s="516"/>
      <c r="D100" s="516"/>
    </row>
    <row r="101" spans="1:4" x14ac:dyDescent="0.15">
      <c r="A101" s="516"/>
      <c r="B101" s="516"/>
      <c r="C101" s="516"/>
      <c r="D101" s="516"/>
    </row>
    <row r="102" spans="1:4" x14ac:dyDescent="0.15">
      <c r="A102" s="516"/>
      <c r="B102" s="516"/>
      <c r="C102" s="516"/>
      <c r="D102" s="516"/>
    </row>
    <row r="103" spans="1:4" x14ac:dyDescent="0.15">
      <c r="A103" s="516"/>
      <c r="B103" s="516"/>
      <c r="C103" s="516"/>
      <c r="D103" s="516"/>
    </row>
  </sheetData>
  <mergeCells count="1">
    <mergeCell ref="A95:D103"/>
  </mergeCells>
  <phoneticPr fontId="4" type="noConversion"/>
  <pageMargins left="0.78740157480314965" right="0.78740157480314965" top="0.98425196850393704" bottom="0.98425196850393704" header="0.51181102362204722" footer="0.51181102362204722"/>
  <pageSetup paperSize="9" scale="62"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43</vt:i4>
      </vt:variant>
      <vt:variant>
        <vt:lpstr>Plages nommées</vt:lpstr>
      </vt:variant>
      <vt:variant>
        <vt:i4>4</vt:i4>
      </vt:variant>
    </vt:vector>
  </HeadingPairs>
  <TitlesOfParts>
    <vt:vector size="47" baseType="lpstr">
      <vt:lpstr>Chapitre 2</vt:lpstr>
      <vt:lpstr> Chapitre 3</vt:lpstr>
      <vt:lpstr>Chapitre 4</vt:lpstr>
      <vt:lpstr>Chapitre 5</vt:lpstr>
      <vt:lpstr>Chapitre 7</vt:lpstr>
      <vt:lpstr>Chapitre 9</vt:lpstr>
      <vt:lpstr>Chapitre 10</vt:lpstr>
      <vt:lpstr>Chapitre 11</vt:lpstr>
      <vt:lpstr> Chapitre 12</vt:lpstr>
      <vt:lpstr>Chapitre 13</vt:lpstr>
      <vt:lpstr>Chapitre 14</vt:lpstr>
      <vt:lpstr>Chapitre 15</vt:lpstr>
      <vt:lpstr> Chapitre 17</vt:lpstr>
      <vt:lpstr>Chapitre 18</vt:lpstr>
      <vt:lpstr>Chapitre 19</vt:lpstr>
      <vt:lpstr>Chapitre 20</vt:lpstr>
      <vt:lpstr>Chapitre 21</vt:lpstr>
      <vt:lpstr>Chapitre 22</vt:lpstr>
      <vt:lpstr>Chapitre 24</vt:lpstr>
      <vt:lpstr>Chapitre 25</vt:lpstr>
      <vt:lpstr>Chapitre 26</vt:lpstr>
      <vt:lpstr> Chapitre 27</vt:lpstr>
      <vt:lpstr> Chapitre 28</vt:lpstr>
      <vt:lpstr>Chapitre 29</vt:lpstr>
      <vt:lpstr>Chapitre 30</vt:lpstr>
      <vt:lpstr> Chapitre 31</vt:lpstr>
      <vt:lpstr>Chapitre 32</vt:lpstr>
      <vt:lpstr>Chapitre 33</vt:lpstr>
      <vt:lpstr>Chapitre 34</vt:lpstr>
      <vt:lpstr> Chapitre 35</vt:lpstr>
      <vt:lpstr>Chapitre 36</vt:lpstr>
      <vt:lpstr>Chapitre 37</vt:lpstr>
      <vt:lpstr>Chapitre 38</vt:lpstr>
      <vt:lpstr>Chapitre 39</vt:lpstr>
      <vt:lpstr> Chapitre 40</vt:lpstr>
      <vt:lpstr> Chapitre 41</vt:lpstr>
      <vt:lpstr> Chapitre 42</vt:lpstr>
      <vt:lpstr>Chapitre 43</vt:lpstr>
      <vt:lpstr>Chapitre 48</vt:lpstr>
      <vt:lpstr>Chapitre 50</vt:lpstr>
      <vt:lpstr>Chapitre 51</vt:lpstr>
      <vt:lpstr> Chapitre 53</vt:lpstr>
      <vt:lpstr>Chapitre 54</vt:lpstr>
      <vt:lpstr>Jours</vt:lpstr>
      <vt:lpstr>TVA</vt:lpstr>
      <vt:lpstr>'Chapitre 2'!Zone_d_impression</vt:lpstr>
      <vt:lpstr>'Chapitre 30'!Zone_d_impression</vt:lpstr>
    </vt:vector>
  </TitlesOfParts>
  <Company>Carles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Pochez</dc:creator>
  <cp:lastModifiedBy>Microsoft Office User</cp:lastModifiedBy>
  <cp:lastPrinted>2021-06-02T19:58:39Z</cp:lastPrinted>
  <dcterms:created xsi:type="dcterms:W3CDTF">2001-06-20T16:25:08Z</dcterms:created>
  <dcterms:modified xsi:type="dcterms:W3CDTF">2023-02-24T10:52:15Z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e83a6fe-0b6e-4399-9d09-a1c8d8d5000c_Enabled">
    <vt:lpwstr>True</vt:lpwstr>
  </property>
  <property fmtid="{D5CDD505-2E9C-101B-9397-08002B2CF9AE}" pid="3" name="MSIP_Label_6e83a6fe-0b6e-4399-9d09-a1c8d8d5000c_SiteId">
    <vt:lpwstr>d5bb6d35-8a82-4329-b49a-5030bd6497ab</vt:lpwstr>
  </property>
  <property fmtid="{D5CDD505-2E9C-101B-9397-08002B2CF9AE}" pid="4" name="MSIP_Label_6e83a6fe-0b6e-4399-9d09-a1c8d8d5000c_Owner">
    <vt:lpwstr>ylefur@cib.net</vt:lpwstr>
  </property>
  <property fmtid="{D5CDD505-2E9C-101B-9397-08002B2CF9AE}" pid="5" name="MSIP_Label_6e83a6fe-0b6e-4399-9d09-a1c8d8d5000c_SetDate">
    <vt:lpwstr>2018-07-31T12:24:29.3613110Z</vt:lpwstr>
  </property>
  <property fmtid="{D5CDD505-2E9C-101B-9397-08002B2CF9AE}" pid="6" name="MSIP_Label_6e83a6fe-0b6e-4399-9d09-a1c8d8d5000c_Name">
    <vt:lpwstr>C1 - Public Natixis</vt:lpwstr>
  </property>
  <property fmtid="{D5CDD505-2E9C-101B-9397-08002B2CF9AE}" pid="7" name="MSIP_Label_6e83a6fe-0b6e-4399-9d09-a1c8d8d5000c_Application">
    <vt:lpwstr>Microsoft Azure Information Protection</vt:lpwstr>
  </property>
  <property fmtid="{D5CDD505-2E9C-101B-9397-08002B2CF9AE}" pid="8" name="MSIP_Label_6e83a6fe-0b6e-4399-9d09-a1c8d8d5000c_Extended_MSFT_Method">
    <vt:lpwstr>Automatic</vt:lpwstr>
  </property>
  <property fmtid="{D5CDD505-2E9C-101B-9397-08002B2CF9AE}" pid="9" name="MSIP_Label_082d3fd7-bbbb-433f-b121-e4833419d164_Enabled">
    <vt:lpwstr>True</vt:lpwstr>
  </property>
  <property fmtid="{D5CDD505-2E9C-101B-9397-08002B2CF9AE}" pid="10" name="MSIP_Label_082d3fd7-bbbb-433f-b121-e4833419d164_SiteId">
    <vt:lpwstr>d5bb6d35-8a82-4329-b49a-5030bd6497ab</vt:lpwstr>
  </property>
  <property fmtid="{D5CDD505-2E9C-101B-9397-08002B2CF9AE}" pid="11" name="MSIP_Label_082d3fd7-bbbb-433f-b121-e4833419d164_Owner">
    <vt:lpwstr>ylefur@cib.net</vt:lpwstr>
  </property>
  <property fmtid="{D5CDD505-2E9C-101B-9397-08002B2CF9AE}" pid="12" name="MSIP_Label_082d3fd7-bbbb-433f-b121-e4833419d164_SetDate">
    <vt:lpwstr>2018-07-31T12:24:29.3613110Z</vt:lpwstr>
  </property>
  <property fmtid="{D5CDD505-2E9C-101B-9397-08002B2CF9AE}" pid="13" name="MSIP_Label_082d3fd7-bbbb-433f-b121-e4833419d164_Name">
    <vt:lpwstr>No visual mark</vt:lpwstr>
  </property>
  <property fmtid="{D5CDD505-2E9C-101B-9397-08002B2CF9AE}" pid="14" name="MSIP_Label_082d3fd7-bbbb-433f-b121-e4833419d164_Application">
    <vt:lpwstr>Microsoft Azure Information Protection</vt:lpwstr>
  </property>
  <property fmtid="{D5CDD505-2E9C-101B-9397-08002B2CF9AE}" pid="15" name="MSIP_Label_082d3fd7-bbbb-433f-b121-e4833419d164_Parent">
    <vt:lpwstr>6e83a6fe-0b6e-4399-9d09-a1c8d8d5000c</vt:lpwstr>
  </property>
  <property fmtid="{D5CDD505-2E9C-101B-9397-08002B2CF9AE}" pid="16" name="MSIP_Label_082d3fd7-bbbb-433f-b121-e4833419d164_Extended_MSFT_Method">
    <vt:lpwstr>Automatic</vt:lpwstr>
  </property>
  <property fmtid="{D5CDD505-2E9C-101B-9397-08002B2CF9AE}" pid="17" name="Sensitivity">
    <vt:lpwstr>C1 - Public Natixis No visual mark</vt:lpwstr>
  </property>
</Properties>
</file>