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17.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18.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9.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0.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1.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2.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3.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4.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5.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6.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7.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8.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9.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30.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31.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32.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xl/drawings/drawing33.xml" ContentType="application/vnd.openxmlformats-officedocument.drawing+xml"/>
  <Override PartName="/xl/charts/chart65.xml" ContentType="application/vnd.openxmlformats-officedocument.drawingml.chart+xml"/>
  <Override PartName="/xl/charts/chart6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ib.net\shareparis\Home15\ylefur\desktop\"/>
    </mc:Choice>
  </mc:AlternateContent>
  <bookViews>
    <workbookView xWindow="890" yWindow="1310" windowWidth="24720" windowHeight="15180" tabRatio="930" firstSheet="12" activeTab="24"/>
  </bookViews>
  <sheets>
    <sheet name="Chapitre 2" sheetId="1" r:id="rId1"/>
    <sheet name=" Chapitre 3" sheetId="4" r:id="rId2"/>
    <sheet name="Chapitre 4" sheetId="5" r:id="rId3"/>
    <sheet name="Chapitre 5" sheetId="6" r:id="rId4"/>
    <sheet name="Chapitre 7" sheetId="8" r:id="rId5"/>
    <sheet name="Chapitre 9" sheetId="14" r:id="rId6"/>
    <sheet name="Chapitre 10" sheetId="49" r:id="rId7"/>
    <sheet name="Chapitre 11" sheetId="15" r:id="rId8"/>
    <sheet name=" Chapitre 12" sheetId="16" r:id="rId9"/>
    <sheet name="Chapitre 13" sheetId="17" r:id="rId10"/>
    <sheet name="Chapitre 14" sheetId="18" r:id="rId11"/>
    <sheet name="Chapitre 15" sheetId="57" r:id="rId12"/>
    <sheet name=" Chapitre 18" sheetId="21" r:id="rId13"/>
    <sheet name="Chapitre 19" sheetId="22" r:id="rId14"/>
    <sheet name="Chapitre 20" sheetId="23" r:id="rId15"/>
    <sheet name="Chapitre 21" sheetId="24" r:id="rId16"/>
    <sheet name="Chapitre 22" sheetId="25" r:id="rId17"/>
    <sheet name="Chapitre 23" sheetId="26" r:id="rId18"/>
    <sheet name="Chapitre 24" sheetId="60" r:id="rId19"/>
    <sheet name="Chapitre 26" sheetId="29" r:id="rId20"/>
    <sheet name="Chapitre 27" sheetId="30" r:id="rId21"/>
    <sheet name="Chapitre 28" sheetId="41" r:id="rId22"/>
    <sheet name=" Chapitre 29" sheetId="51" r:id="rId23"/>
    <sheet name=" Chapitre 30" sheetId="31" r:id="rId24"/>
    <sheet name="Chapitre 31" sheetId="52" r:id="rId25"/>
    <sheet name="Chapitre 32" sheetId="35" r:id="rId26"/>
    <sheet name=" Chapitre 33" sheetId="36" r:id="rId27"/>
    <sheet name="Chapitre 34" sheetId="37" r:id="rId28"/>
    <sheet name="Chapitre 35" sheetId="44" r:id="rId29"/>
    <sheet name="Chapitre 36" sheetId="32" r:id="rId30"/>
    <sheet name=" Chapitre 37" sheetId="33" r:id="rId31"/>
    <sheet name="Chapitre 38" sheetId="34" r:id="rId32"/>
    <sheet name="Chapitre 39" sheetId="43" r:id="rId33"/>
    <sheet name="Chapitre 40" sheetId="38" r:id="rId34"/>
    <sheet name="Chapitre 41" sheetId="39" r:id="rId35"/>
    <sheet name=" Chapitre 42" sheetId="40" r:id="rId36"/>
    <sheet name=" Chapitre 43" sheetId="68" r:id="rId37"/>
    <sheet name=" Chapitre 44" sheetId="69" r:id="rId38"/>
    <sheet name="Chapitre 45" sheetId="53" r:id="rId39"/>
    <sheet name="Chapitre 46" sheetId="61" r:id="rId40"/>
    <sheet name="Chapitre 49" sheetId="45" r:id="rId41"/>
    <sheet name="Chapitre 51" sheetId="54" r:id="rId42"/>
    <sheet name="Chapitre 52" sheetId="67" r:id="rId43"/>
    <sheet name=" Chapitre 54" sheetId="46" r:id="rId44"/>
    <sheet name="Chapitre 55" sheetId="70" r:id="rId45"/>
  </sheets>
  <definedNames>
    <definedName name="IS">'Chapitre 15'!$B$133</definedName>
    <definedName name="Jours">' Chapitre 12'!$D$11</definedName>
    <definedName name="solver_adj" localSheetId="12" hidden="1">' Chapitre 18'!#REF!</definedName>
    <definedName name="solver_adj" localSheetId="25" hidden="1">'Chapitre 32'!$B$78</definedName>
    <definedName name="solver_cvg" localSheetId="12" hidden="1">0.0001</definedName>
    <definedName name="solver_cvg" localSheetId="25" hidden="1">0.0001</definedName>
    <definedName name="solver_drv" localSheetId="12" hidden="1">1</definedName>
    <definedName name="solver_drv" localSheetId="25" hidden="1">1</definedName>
    <definedName name="solver_est" localSheetId="12" hidden="1">1</definedName>
    <definedName name="solver_est" localSheetId="25" hidden="1">1</definedName>
    <definedName name="solver_itr" localSheetId="12" hidden="1">100</definedName>
    <definedName name="solver_itr" localSheetId="25" hidden="1">100</definedName>
    <definedName name="solver_lhs1" localSheetId="12" hidden="1">' Chapitre 18'!#REF!</definedName>
    <definedName name="solver_lhs1" localSheetId="25" hidden="1">'Chapitre 32'!$B$79</definedName>
    <definedName name="solver_lin" localSheetId="12" hidden="1">2</definedName>
    <definedName name="solver_lin" localSheetId="25" hidden="1">2</definedName>
    <definedName name="solver_neg" localSheetId="12" hidden="1">2</definedName>
    <definedName name="solver_neg" localSheetId="25" hidden="1">2</definedName>
    <definedName name="solver_num" localSheetId="12" hidden="1">1</definedName>
    <definedName name="solver_num" localSheetId="25" hidden="1">1</definedName>
    <definedName name="solver_nwt" localSheetId="12" hidden="1">1</definedName>
    <definedName name="solver_nwt" localSheetId="25" hidden="1">1</definedName>
    <definedName name="solver_opt" localSheetId="12" hidden="1">' Chapitre 18'!#REF!</definedName>
    <definedName name="solver_opt" localSheetId="25" hidden="1">'Chapitre 32'!$C$80</definedName>
    <definedName name="solver_pre" localSheetId="12" hidden="1">0.000001</definedName>
    <definedName name="solver_pre" localSheetId="25" hidden="1">0.000001</definedName>
    <definedName name="solver_rel1" localSheetId="12" hidden="1">2</definedName>
    <definedName name="solver_rel1" localSheetId="25" hidden="1">2</definedName>
    <definedName name="solver_rhs1" localSheetId="12" hidden="1">' Chapitre 18'!#REF!</definedName>
    <definedName name="solver_rhs1" localSheetId="25" hidden="1">0</definedName>
    <definedName name="solver_scl" localSheetId="12" hidden="1">2</definedName>
    <definedName name="solver_scl" localSheetId="25" hidden="1">2</definedName>
    <definedName name="solver_sho" localSheetId="12" hidden="1">2</definedName>
    <definedName name="solver_sho" localSheetId="25" hidden="1">2</definedName>
    <definedName name="solver_tim" localSheetId="12" hidden="1">100</definedName>
    <definedName name="solver_tim" localSheetId="25" hidden="1">100</definedName>
    <definedName name="solver_tol" localSheetId="12" hidden="1">0.05</definedName>
    <definedName name="solver_tol" localSheetId="25" hidden="1">0.05</definedName>
    <definedName name="solver_typ" localSheetId="12" hidden="1">1</definedName>
    <definedName name="solver_typ" localSheetId="25" hidden="1">1</definedName>
    <definedName name="solver_val" localSheetId="25" hidden="1">0</definedName>
    <definedName name="TVA">' Chapitre 12'!$B$65</definedName>
    <definedName name="_xlnm.Print_Area" localSheetId="0">'Chapitre 2'!$A$1:$I$39</definedName>
    <definedName name="_xlnm.Print_Area" localSheetId="25">'Chapitre 32'!$A:$G</definedName>
  </definedNames>
  <calcPr calcId="152511" calcMode="autoNoTable" iterate="1" iterateDelta="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32" i="52" l="1"/>
  <c r="C63" i="18"/>
  <c r="C61" i="18"/>
  <c r="C62" i="18"/>
  <c r="C56" i="18"/>
  <c r="G32" i="29"/>
  <c r="H30" i="29"/>
  <c r="G30" i="29"/>
  <c r="J21" i="29"/>
  <c r="J23" i="29"/>
  <c r="J22" i="29"/>
  <c r="F78" i="21"/>
  <c r="B76" i="21"/>
  <c r="B56" i="18"/>
  <c r="B60" i="18"/>
  <c r="C53" i="18"/>
  <c r="B53" i="18"/>
  <c r="B45" i="5"/>
  <c r="B44" i="5"/>
  <c r="B42" i="5"/>
  <c r="B40" i="5"/>
  <c r="B31" i="5"/>
  <c r="B34" i="5"/>
  <c r="B28" i="5"/>
  <c r="B6" i="24"/>
  <c r="B117" i="70"/>
  <c r="B130" i="70"/>
  <c r="C84" i="70"/>
  <c r="C86" i="70"/>
  <c r="C88" i="70"/>
  <c r="C113" i="70"/>
  <c r="C115" i="70"/>
  <c r="C130" i="70"/>
  <c r="D86" i="70"/>
  <c r="D87" i="70"/>
  <c r="D88" i="70"/>
  <c r="D113" i="70"/>
  <c r="D115" i="70"/>
  <c r="D130" i="70"/>
  <c r="E86" i="70"/>
  <c r="E87" i="70"/>
  <c r="E88" i="70"/>
  <c r="E113" i="70"/>
  <c r="E115" i="70"/>
  <c r="E130" i="70"/>
  <c r="F86" i="70"/>
  <c r="F87" i="70"/>
  <c r="F88" i="70"/>
  <c r="F113" i="70"/>
  <c r="F115" i="70"/>
  <c r="F130" i="70"/>
  <c r="G86" i="70"/>
  <c r="G87" i="70"/>
  <c r="G88" i="70"/>
  <c r="G113" i="70"/>
  <c r="G115" i="70"/>
  <c r="G130" i="70"/>
  <c r="H86" i="70"/>
  <c r="H87" i="70"/>
  <c r="H88" i="70"/>
  <c r="H113" i="70"/>
  <c r="H115" i="70"/>
  <c r="H130" i="70"/>
  <c r="I81" i="70"/>
  <c r="I82" i="70"/>
  <c r="I83" i="70"/>
  <c r="I84" i="70"/>
  <c r="I86" i="70"/>
  <c r="I87" i="70"/>
  <c r="I88" i="70"/>
  <c r="I113" i="70"/>
  <c r="I115" i="70"/>
  <c r="I130" i="70"/>
  <c r="J81" i="70"/>
  <c r="J82" i="70"/>
  <c r="J83" i="70"/>
  <c r="J84" i="70"/>
  <c r="J86" i="70"/>
  <c r="J87" i="70"/>
  <c r="J88" i="70"/>
  <c r="J113" i="70"/>
  <c r="J115" i="70"/>
  <c r="J130" i="70"/>
  <c r="K81" i="70"/>
  <c r="K82" i="70"/>
  <c r="K83" i="70"/>
  <c r="K84" i="70"/>
  <c r="K86" i="70"/>
  <c r="K87" i="70"/>
  <c r="K88" i="70"/>
  <c r="K113" i="70"/>
  <c r="K115" i="70"/>
  <c r="K130" i="70"/>
  <c r="L81" i="70"/>
  <c r="L82" i="70"/>
  <c r="L83" i="70"/>
  <c r="L84" i="70"/>
  <c r="L86" i="70"/>
  <c r="L87" i="70"/>
  <c r="L88" i="70"/>
  <c r="L113" i="70"/>
  <c r="L115" i="70"/>
  <c r="L130" i="70"/>
  <c r="M81" i="70"/>
  <c r="M82" i="70"/>
  <c r="M83" i="70"/>
  <c r="M84" i="70"/>
  <c r="M86" i="70"/>
  <c r="M87" i="70"/>
  <c r="M88" i="70"/>
  <c r="M113" i="70"/>
  <c r="M115" i="70"/>
  <c r="M130" i="70"/>
  <c r="N81" i="70"/>
  <c r="N82" i="70"/>
  <c r="N83" i="70"/>
  <c r="N84" i="70"/>
  <c r="N86" i="70"/>
  <c r="N87" i="70"/>
  <c r="N88" i="70"/>
  <c r="N113" i="70"/>
  <c r="N115" i="70"/>
  <c r="N130" i="70"/>
  <c r="O81" i="70"/>
  <c r="O82" i="70"/>
  <c r="O83" i="70"/>
  <c r="O84" i="70"/>
  <c r="O86" i="70"/>
  <c r="O87" i="70"/>
  <c r="O88" i="70"/>
  <c r="O113" i="70"/>
  <c r="O115" i="70"/>
  <c r="O130" i="70"/>
  <c r="P81" i="70"/>
  <c r="P82" i="70"/>
  <c r="P83" i="70"/>
  <c r="P84" i="70"/>
  <c r="P86" i="70"/>
  <c r="P87" i="70"/>
  <c r="P88" i="70"/>
  <c r="P113" i="70"/>
  <c r="P115" i="70"/>
  <c r="P130" i="70"/>
  <c r="Q81" i="70"/>
  <c r="Q82" i="70"/>
  <c r="Q83" i="70"/>
  <c r="Q84" i="70"/>
  <c r="Q86" i="70"/>
  <c r="Q87" i="70"/>
  <c r="Q88" i="70"/>
  <c r="Q113" i="70"/>
  <c r="Q115" i="70"/>
  <c r="Q130" i="70"/>
  <c r="R81" i="70"/>
  <c r="R82" i="70"/>
  <c r="R83" i="70"/>
  <c r="R84" i="70"/>
  <c r="R86" i="70"/>
  <c r="R88" i="70"/>
  <c r="R113" i="70"/>
  <c r="R115" i="70"/>
  <c r="R130" i="70"/>
  <c r="S81" i="70"/>
  <c r="S82" i="70"/>
  <c r="S83" i="70"/>
  <c r="S84" i="70"/>
  <c r="S86" i="70"/>
  <c r="S87" i="70"/>
  <c r="S88" i="70"/>
  <c r="S113" i="70"/>
  <c r="S115" i="70"/>
  <c r="S130" i="70"/>
  <c r="T81" i="70"/>
  <c r="T82" i="70"/>
  <c r="T83" i="70"/>
  <c r="T84" i="70"/>
  <c r="T86" i="70"/>
  <c r="T87" i="70"/>
  <c r="T88" i="70"/>
  <c r="T113" i="70"/>
  <c r="T115" i="70"/>
  <c r="T130" i="70"/>
  <c r="U81" i="70"/>
  <c r="U82" i="70"/>
  <c r="U83" i="70"/>
  <c r="U84" i="70"/>
  <c r="U86" i="70"/>
  <c r="U87" i="70"/>
  <c r="U88" i="70"/>
  <c r="U113" i="70"/>
  <c r="U115" i="70"/>
  <c r="U130" i="70"/>
  <c r="V81" i="70"/>
  <c r="V82" i="70"/>
  <c r="V83" i="70"/>
  <c r="V84" i="70"/>
  <c r="V86" i="70"/>
  <c r="V87" i="70"/>
  <c r="V88" i="70"/>
  <c r="V113" i="70"/>
  <c r="V115" i="70"/>
  <c r="V130" i="70"/>
  <c r="B132" i="70"/>
  <c r="I12" i="70"/>
  <c r="J12" i="70"/>
  <c r="K12" i="70"/>
  <c r="L12" i="70"/>
  <c r="M12" i="70"/>
  <c r="N12" i="70"/>
  <c r="O12" i="70"/>
  <c r="P12" i="70"/>
  <c r="Q12" i="70"/>
  <c r="R12" i="70"/>
  <c r="S12" i="70"/>
  <c r="T12" i="70"/>
  <c r="U12" i="70"/>
  <c r="V12" i="70"/>
  <c r="I11" i="70"/>
  <c r="J11" i="70"/>
  <c r="K11" i="70"/>
  <c r="L11" i="70"/>
  <c r="M11" i="70"/>
  <c r="N11" i="70"/>
  <c r="O11" i="70"/>
  <c r="P11" i="70"/>
  <c r="Q11" i="70"/>
  <c r="R11" i="70"/>
  <c r="S11" i="70"/>
  <c r="T11" i="70"/>
  <c r="U11" i="70"/>
  <c r="V11" i="70"/>
  <c r="I10" i="70"/>
  <c r="J10" i="70"/>
  <c r="K10" i="70"/>
  <c r="L10" i="70"/>
  <c r="M10" i="70"/>
  <c r="N10" i="70"/>
  <c r="O10" i="70"/>
  <c r="P10" i="70"/>
  <c r="Q10" i="70"/>
  <c r="R10" i="70"/>
  <c r="S10" i="70"/>
  <c r="T10" i="70"/>
  <c r="U10" i="70"/>
  <c r="V10" i="70"/>
  <c r="I9" i="70"/>
  <c r="J9" i="70"/>
  <c r="K9" i="70"/>
  <c r="L9" i="70"/>
  <c r="M9" i="70"/>
  <c r="N9" i="70"/>
  <c r="O9" i="70"/>
  <c r="P9" i="70"/>
  <c r="Q9" i="70"/>
  <c r="R9" i="70"/>
  <c r="S9" i="70"/>
  <c r="T9" i="70"/>
  <c r="U9" i="70"/>
  <c r="V9" i="70"/>
  <c r="I8" i="70"/>
  <c r="J8" i="70"/>
  <c r="K8" i="70"/>
  <c r="L8" i="70"/>
  <c r="M8" i="70"/>
  <c r="N8" i="70"/>
  <c r="O8" i="70"/>
  <c r="P8" i="70"/>
  <c r="Q8" i="70"/>
  <c r="R8" i="70"/>
  <c r="S8" i="70"/>
  <c r="T8" i="70"/>
  <c r="U8" i="70"/>
  <c r="V8" i="70"/>
  <c r="V90" i="70"/>
  <c r="V91" i="70"/>
  <c r="V112" i="70"/>
  <c r="V114" i="70"/>
  <c r="V116" i="70"/>
  <c r="V118" i="70"/>
  <c r="V119" i="70"/>
  <c r="U90" i="70"/>
  <c r="U91" i="70"/>
  <c r="U112" i="70"/>
  <c r="U114" i="70"/>
  <c r="U116" i="70"/>
  <c r="U118" i="70"/>
  <c r="U119" i="70"/>
  <c r="T90" i="70"/>
  <c r="T91" i="70"/>
  <c r="T112" i="70"/>
  <c r="T114" i="70"/>
  <c r="T116" i="70"/>
  <c r="T118" i="70"/>
  <c r="T119" i="70"/>
  <c r="S90" i="70"/>
  <c r="S91" i="70"/>
  <c r="S112" i="70"/>
  <c r="S114" i="70"/>
  <c r="S116" i="70"/>
  <c r="S118" i="70"/>
  <c r="S119" i="70"/>
  <c r="R90" i="70"/>
  <c r="R91" i="70"/>
  <c r="R112" i="70"/>
  <c r="R114" i="70"/>
  <c r="R116" i="70"/>
  <c r="R118" i="70"/>
  <c r="R119" i="70"/>
  <c r="Q90" i="70"/>
  <c r="Q91" i="70"/>
  <c r="Q112" i="70"/>
  <c r="Q114" i="70"/>
  <c r="Q116" i="70"/>
  <c r="Q118" i="70"/>
  <c r="Q119" i="70"/>
  <c r="P90" i="70"/>
  <c r="P91" i="70"/>
  <c r="P112" i="70"/>
  <c r="P114" i="70"/>
  <c r="P116" i="70"/>
  <c r="P118" i="70"/>
  <c r="P119" i="70"/>
  <c r="O90" i="70"/>
  <c r="O91" i="70"/>
  <c r="O112" i="70"/>
  <c r="O114" i="70"/>
  <c r="O116" i="70"/>
  <c r="O118" i="70"/>
  <c r="O119" i="70"/>
  <c r="N90" i="70"/>
  <c r="N91" i="70"/>
  <c r="N112" i="70"/>
  <c r="N114" i="70"/>
  <c r="N116" i="70"/>
  <c r="N118" i="70"/>
  <c r="N119" i="70"/>
  <c r="M90" i="70"/>
  <c r="M91" i="70"/>
  <c r="M112" i="70"/>
  <c r="M114" i="70"/>
  <c r="M116" i="70"/>
  <c r="M118" i="70"/>
  <c r="M119" i="70"/>
  <c r="B30" i="70"/>
  <c r="L89" i="70"/>
  <c r="L90" i="70"/>
  <c r="L91" i="70"/>
  <c r="L112" i="70"/>
  <c r="L114" i="70"/>
  <c r="L116" i="70"/>
  <c r="L118" i="70"/>
  <c r="L119" i="70"/>
  <c r="K89" i="70"/>
  <c r="K90" i="70"/>
  <c r="K91" i="70"/>
  <c r="K112" i="70"/>
  <c r="K114" i="70"/>
  <c r="K116" i="70"/>
  <c r="K118" i="70"/>
  <c r="K119" i="70"/>
  <c r="J89" i="70"/>
  <c r="J90" i="70"/>
  <c r="J91" i="70"/>
  <c r="J112" i="70"/>
  <c r="J114" i="70"/>
  <c r="J116" i="70"/>
  <c r="J118" i="70"/>
  <c r="J119" i="70"/>
  <c r="I89" i="70"/>
  <c r="I90" i="70"/>
  <c r="I91" i="70"/>
  <c r="I112" i="70"/>
  <c r="I114" i="70"/>
  <c r="I116" i="70"/>
  <c r="I118" i="70"/>
  <c r="I119" i="70"/>
  <c r="H89" i="70"/>
  <c r="H90" i="70"/>
  <c r="H91" i="70"/>
  <c r="H112" i="70"/>
  <c r="H114" i="70"/>
  <c r="H116" i="70"/>
  <c r="H118" i="70"/>
  <c r="H119" i="70"/>
  <c r="G89" i="70"/>
  <c r="G90" i="70"/>
  <c r="G91" i="70"/>
  <c r="G112" i="70"/>
  <c r="G114" i="70"/>
  <c r="G116" i="70"/>
  <c r="G118" i="70"/>
  <c r="G119" i="70"/>
  <c r="F89" i="70"/>
  <c r="F90" i="70"/>
  <c r="F91" i="70"/>
  <c r="F112" i="70"/>
  <c r="F114" i="70"/>
  <c r="F116" i="70"/>
  <c r="F118" i="70"/>
  <c r="F119" i="70"/>
  <c r="E89" i="70"/>
  <c r="E90" i="70"/>
  <c r="E91" i="70"/>
  <c r="E112" i="70"/>
  <c r="E114" i="70"/>
  <c r="E116" i="70"/>
  <c r="E118" i="70"/>
  <c r="E119" i="70"/>
  <c r="D89" i="70"/>
  <c r="D90" i="70"/>
  <c r="D91" i="70"/>
  <c r="D112" i="70"/>
  <c r="D114" i="70"/>
  <c r="D116" i="70"/>
  <c r="D118" i="70"/>
  <c r="D119" i="70"/>
  <c r="C89" i="70"/>
  <c r="C90" i="70"/>
  <c r="C91" i="70"/>
  <c r="C112" i="70"/>
  <c r="C114" i="70"/>
  <c r="C116" i="70"/>
  <c r="C118" i="70"/>
  <c r="C119" i="70"/>
  <c r="B118" i="70"/>
  <c r="B119" i="70"/>
  <c r="V110" i="70"/>
  <c r="U110" i="70"/>
  <c r="T110" i="70"/>
  <c r="S110" i="70"/>
  <c r="R110" i="70"/>
  <c r="Q110" i="70"/>
  <c r="P110" i="70"/>
  <c r="O110" i="70"/>
  <c r="N110" i="70"/>
  <c r="M110" i="70"/>
  <c r="L110" i="70"/>
  <c r="K110" i="70"/>
  <c r="J110" i="70"/>
  <c r="I110" i="70"/>
  <c r="H110" i="70"/>
  <c r="G110" i="70"/>
  <c r="F110" i="70"/>
  <c r="E110" i="70"/>
  <c r="D110" i="70"/>
  <c r="C110" i="70"/>
  <c r="B110" i="70"/>
  <c r="B103" i="70"/>
  <c r="C103" i="70"/>
  <c r="D103" i="70"/>
  <c r="E103" i="70"/>
  <c r="F103" i="70"/>
  <c r="G103" i="70"/>
  <c r="H103" i="70"/>
  <c r="I103" i="70"/>
  <c r="J103" i="70"/>
  <c r="K103" i="70"/>
  <c r="L103" i="70"/>
  <c r="M103" i="70"/>
  <c r="N103" i="70"/>
  <c r="O103" i="70"/>
  <c r="P103" i="70"/>
  <c r="Q103" i="70"/>
  <c r="R103" i="70"/>
  <c r="S103" i="70"/>
  <c r="T103" i="70"/>
  <c r="U103" i="70"/>
  <c r="V103" i="70"/>
  <c r="C102" i="70"/>
  <c r="D102" i="70"/>
  <c r="E102" i="70"/>
  <c r="F102" i="70"/>
  <c r="G102" i="70"/>
  <c r="H102" i="70"/>
  <c r="I102" i="70"/>
  <c r="J102" i="70"/>
  <c r="K102" i="70"/>
  <c r="L102" i="70"/>
  <c r="M102" i="70"/>
  <c r="N102" i="70"/>
  <c r="O102" i="70"/>
  <c r="P102" i="70"/>
  <c r="Q102" i="70"/>
  <c r="R102" i="70"/>
  <c r="S102" i="70"/>
  <c r="T102" i="70"/>
  <c r="U102" i="70"/>
  <c r="V102" i="70"/>
  <c r="V104" i="70"/>
  <c r="U104" i="70"/>
  <c r="T104" i="70"/>
  <c r="S104" i="70"/>
  <c r="R104" i="70"/>
  <c r="Q104" i="70"/>
  <c r="P104" i="70"/>
  <c r="O104" i="70"/>
  <c r="N104" i="70"/>
  <c r="M104" i="70"/>
  <c r="L104" i="70"/>
  <c r="K104" i="70"/>
  <c r="J104" i="70"/>
  <c r="I104" i="70"/>
  <c r="H104" i="70"/>
  <c r="G104" i="70"/>
  <c r="F104" i="70"/>
  <c r="E104" i="70"/>
  <c r="D104" i="70"/>
  <c r="C104" i="70"/>
  <c r="B104" i="70"/>
  <c r="C99" i="70"/>
  <c r="D99" i="70"/>
  <c r="E99" i="70"/>
  <c r="F99" i="70"/>
  <c r="G99" i="70"/>
  <c r="H99" i="70"/>
  <c r="I99" i="70"/>
  <c r="J99" i="70"/>
  <c r="K99" i="70"/>
  <c r="L99" i="70"/>
  <c r="M99" i="70"/>
  <c r="N99" i="70"/>
  <c r="O99" i="70"/>
  <c r="P99" i="70"/>
  <c r="Q99" i="70"/>
  <c r="R99" i="70"/>
  <c r="S99" i="70"/>
  <c r="T99" i="70"/>
  <c r="U99" i="70"/>
  <c r="V99" i="70"/>
  <c r="V101" i="70"/>
  <c r="U101" i="70"/>
  <c r="T101" i="70"/>
  <c r="S101" i="70"/>
  <c r="R101" i="70"/>
  <c r="Q101" i="70"/>
  <c r="P101" i="70"/>
  <c r="O101" i="70"/>
  <c r="N101" i="70"/>
  <c r="M101" i="70"/>
  <c r="L101" i="70"/>
  <c r="K101" i="70"/>
  <c r="J101" i="70"/>
  <c r="I101" i="70"/>
  <c r="H101" i="70"/>
  <c r="G101" i="70"/>
  <c r="F101" i="70"/>
  <c r="E101" i="70"/>
  <c r="D101" i="70"/>
  <c r="C101" i="70"/>
  <c r="B101" i="70"/>
  <c r="V97" i="70"/>
  <c r="U97" i="70"/>
  <c r="T97" i="70"/>
  <c r="S97" i="70"/>
  <c r="R97" i="70"/>
  <c r="Q97" i="70"/>
  <c r="P97" i="70"/>
  <c r="O97" i="70"/>
  <c r="N97" i="70"/>
  <c r="M97" i="70"/>
  <c r="L97" i="70"/>
  <c r="K97" i="70"/>
  <c r="J97" i="70"/>
  <c r="I97" i="70"/>
  <c r="H97" i="70"/>
  <c r="G97" i="70"/>
  <c r="F97" i="70"/>
  <c r="E97" i="70"/>
  <c r="D97" i="70"/>
  <c r="C97" i="70"/>
  <c r="B97" i="70"/>
  <c r="B44" i="70"/>
  <c r="B45" i="70"/>
  <c r="B46" i="70"/>
  <c r="B63" i="70"/>
  <c r="C14" i="70"/>
  <c r="C40" i="70"/>
  <c r="C11" i="70"/>
  <c r="C13" i="70"/>
  <c r="C15" i="70"/>
  <c r="C16" i="70"/>
  <c r="C17" i="70"/>
  <c r="C18" i="70"/>
  <c r="C39" i="70"/>
  <c r="C41" i="70"/>
  <c r="C42" i="70"/>
  <c r="C43" i="70"/>
  <c r="C45" i="70"/>
  <c r="C46" i="70"/>
  <c r="C63" i="70"/>
  <c r="D14" i="70"/>
  <c r="D40" i="70"/>
  <c r="D13" i="70"/>
  <c r="D15" i="70"/>
  <c r="D16" i="70"/>
  <c r="D17" i="70"/>
  <c r="D18" i="70"/>
  <c r="D39" i="70"/>
  <c r="D41" i="70"/>
  <c r="D42" i="70"/>
  <c r="D43" i="70"/>
  <c r="D45" i="70"/>
  <c r="D46" i="70"/>
  <c r="D63" i="70"/>
  <c r="E14" i="70"/>
  <c r="E40" i="70"/>
  <c r="E13" i="70"/>
  <c r="E15" i="70"/>
  <c r="E16" i="70"/>
  <c r="E17" i="70"/>
  <c r="E18" i="70"/>
  <c r="E39" i="70"/>
  <c r="E41" i="70"/>
  <c r="E42" i="70"/>
  <c r="E43" i="70"/>
  <c r="E45" i="70"/>
  <c r="E46" i="70"/>
  <c r="E63" i="70"/>
  <c r="F14" i="70"/>
  <c r="F40" i="70"/>
  <c r="F13" i="70"/>
  <c r="F15" i="70"/>
  <c r="F16" i="70"/>
  <c r="F17" i="70"/>
  <c r="F18" i="70"/>
  <c r="F39" i="70"/>
  <c r="F41" i="70"/>
  <c r="F42" i="70"/>
  <c r="F43" i="70"/>
  <c r="F45" i="70"/>
  <c r="F46" i="70"/>
  <c r="F63" i="70"/>
  <c r="G14" i="70"/>
  <c r="G40" i="70"/>
  <c r="G13" i="70"/>
  <c r="G15" i="70"/>
  <c r="G16" i="70"/>
  <c r="G17" i="70"/>
  <c r="G18" i="70"/>
  <c r="G39" i="70"/>
  <c r="G41" i="70"/>
  <c r="G42" i="70"/>
  <c r="G43" i="70"/>
  <c r="G45" i="70"/>
  <c r="G46" i="70"/>
  <c r="G63" i="70"/>
  <c r="H14" i="70"/>
  <c r="H40" i="70"/>
  <c r="H13" i="70"/>
  <c r="H15" i="70"/>
  <c r="H16" i="70"/>
  <c r="H17" i="70"/>
  <c r="H18" i="70"/>
  <c r="H39" i="70"/>
  <c r="H41" i="70"/>
  <c r="H42" i="70"/>
  <c r="H43" i="70"/>
  <c r="H45" i="70"/>
  <c r="H46" i="70"/>
  <c r="H63" i="70"/>
  <c r="I14" i="70"/>
  <c r="I40" i="70"/>
  <c r="I13" i="70"/>
  <c r="I15" i="70"/>
  <c r="I16" i="70"/>
  <c r="I17" i="70"/>
  <c r="I18" i="70"/>
  <c r="I39" i="70"/>
  <c r="I41" i="70"/>
  <c r="I42" i="70"/>
  <c r="I43" i="70"/>
  <c r="I45" i="70"/>
  <c r="I46" i="70"/>
  <c r="I63" i="70"/>
  <c r="J14" i="70"/>
  <c r="J40" i="70"/>
  <c r="J13" i="70"/>
  <c r="J15" i="70"/>
  <c r="J16" i="70"/>
  <c r="J17" i="70"/>
  <c r="J18" i="70"/>
  <c r="J39" i="70"/>
  <c r="J41" i="70"/>
  <c r="J42" i="70"/>
  <c r="J43" i="70"/>
  <c r="J45" i="70"/>
  <c r="J46" i="70"/>
  <c r="J63" i="70"/>
  <c r="K14" i="70"/>
  <c r="K40" i="70"/>
  <c r="K13" i="70"/>
  <c r="K15" i="70"/>
  <c r="K16" i="70"/>
  <c r="K17" i="70"/>
  <c r="K18" i="70"/>
  <c r="K39" i="70"/>
  <c r="K41" i="70"/>
  <c r="K42" i="70"/>
  <c r="K43" i="70"/>
  <c r="K45" i="70"/>
  <c r="K46" i="70"/>
  <c r="K63" i="70"/>
  <c r="L14" i="70"/>
  <c r="L40" i="70"/>
  <c r="L13" i="70"/>
  <c r="L15" i="70"/>
  <c r="L16" i="70"/>
  <c r="L17" i="70"/>
  <c r="L18" i="70"/>
  <c r="L39" i="70"/>
  <c r="L41" i="70"/>
  <c r="L42" i="70"/>
  <c r="L43" i="70"/>
  <c r="L45" i="70"/>
  <c r="L46" i="70"/>
  <c r="L63" i="70"/>
  <c r="M14" i="70"/>
  <c r="M40" i="70"/>
  <c r="M13" i="70"/>
  <c r="M15" i="70"/>
  <c r="M17" i="70"/>
  <c r="M18" i="70"/>
  <c r="M39" i="70"/>
  <c r="M41" i="70"/>
  <c r="M42" i="70"/>
  <c r="M43" i="70"/>
  <c r="M45" i="70"/>
  <c r="M46" i="70"/>
  <c r="M63" i="70"/>
  <c r="N14" i="70"/>
  <c r="N40" i="70"/>
  <c r="N13" i="70"/>
  <c r="N15" i="70"/>
  <c r="N17" i="70"/>
  <c r="N18" i="70"/>
  <c r="N39" i="70"/>
  <c r="N41" i="70"/>
  <c r="N42" i="70"/>
  <c r="N43" i="70"/>
  <c r="N45" i="70"/>
  <c r="N46" i="70"/>
  <c r="N63" i="70"/>
  <c r="O14" i="70"/>
  <c r="O40" i="70"/>
  <c r="O13" i="70"/>
  <c r="O15" i="70"/>
  <c r="O17" i="70"/>
  <c r="O18" i="70"/>
  <c r="O39" i="70"/>
  <c r="O41" i="70"/>
  <c r="O42" i="70"/>
  <c r="O43" i="70"/>
  <c r="O45" i="70"/>
  <c r="O46" i="70"/>
  <c r="O63" i="70"/>
  <c r="P14" i="70"/>
  <c r="P40" i="70"/>
  <c r="P13" i="70"/>
  <c r="P15" i="70"/>
  <c r="P17" i="70"/>
  <c r="P18" i="70"/>
  <c r="P39" i="70"/>
  <c r="P41" i="70"/>
  <c r="P42" i="70"/>
  <c r="P43" i="70"/>
  <c r="P45" i="70"/>
  <c r="P46" i="70"/>
  <c r="P63" i="70"/>
  <c r="Q14" i="70"/>
  <c r="Q40" i="70"/>
  <c r="Q13" i="70"/>
  <c r="Q15" i="70"/>
  <c r="Q17" i="70"/>
  <c r="Q18" i="70"/>
  <c r="Q39" i="70"/>
  <c r="Q41" i="70"/>
  <c r="Q42" i="70"/>
  <c r="Q43" i="70"/>
  <c r="Q45" i="70"/>
  <c r="Q46" i="70"/>
  <c r="Q63" i="70"/>
  <c r="R40" i="70"/>
  <c r="R13" i="70"/>
  <c r="R15" i="70"/>
  <c r="R17" i="70"/>
  <c r="R18" i="70"/>
  <c r="R39" i="70"/>
  <c r="R41" i="70"/>
  <c r="R42" i="70"/>
  <c r="R43" i="70"/>
  <c r="R45" i="70"/>
  <c r="R46" i="70"/>
  <c r="R63" i="70"/>
  <c r="S14" i="70"/>
  <c r="S40" i="70"/>
  <c r="S13" i="70"/>
  <c r="S15" i="70"/>
  <c r="S17" i="70"/>
  <c r="S18" i="70"/>
  <c r="S39" i="70"/>
  <c r="S41" i="70"/>
  <c r="S42" i="70"/>
  <c r="S43" i="70"/>
  <c r="S45" i="70"/>
  <c r="S46" i="70"/>
  <c r="S63" i="70"/>
  <c r="T14" i="70"/>
  <c r="T40" i="70"/>
  <c r="T13" i="70"/>
  <c r="T15" i="70"/>
  <c r="T17" i="70"/>
  <c r="T18" i="70"/>
  <c r="T39" i="70"/>
  <c r="T41" i="70"/>
  <c r="T42" i="70"/>
  <c r="T43" i="70"/>
  <c r="T45" i="70"/>
  <c r="T46" i="70"/>
  <c r="T63" i="70"/>
  <c r="U14" i="70"/>
  <c r="U40" i="70"/>
  <c r="U13" i="70"/>
  <c r="U15" i="70"/>
  <c r="U17" i="70"/>
  <c r="U18" i="70"/>
  <c r="U39" i="70"/>
  <c r="U41" i="70"/>
  <c r="U42" i="70"/>
  <c r="U43" i="70"/>
  <c r="U45" i="70"/>
  <c r="U46" i="70"/>
  <c r="U63" i="70"/>
  <c r="V14" i="70"/>
  <c r="V40" i="70"/>
  <c r="V13" i="70"/>
  <c r="V15" i="70"/>
  <c r="V17" i="70"/>
  <c r="V18" i="70"/>
  <c r="V39" i="70"/>
  <c r="V41" i="70"/>
  <c r="V42" i="70"/>
  <c r="V43" i="70"/>
  <c r="V45" i="70"/>
  <c r="V46" i="70"/>
  <c r="C26" i="70"/>
  <c r="D26" i="70"/>
  <c r="E26" i="70"/>
  <c r="F26" i="70"/>
  <c r="G26" i="70"/>
  <c r="H26" i="70"/>
  <c r="I26" i="70"/>
  <c r="J26" i="70"/>
  <c r="K26" i="70"/>
  <c r="L26" i="70"/>
  <c r="M26" i="70"/>
  <c r="N26" i="70"/>
  <c r="O26" i="70"/>
  <c r="P26" i="70"/>
  <c r="Q26" i="70"/>
  <c r="R26" i="70"/>
  <c r="S26" i="70"/>
  <c r="T26" i="70"/>
  <c r="U26" i="70"/>
  <c r="V26" i="70"/>
  <c r="V63" i="70"/>
  <c r="B65" i="70"/>
  <c r="B57" i="70"/>
  <c r="C57" i="70"/>
  <c r="D57" i="70"/>
  <c r="E57" i="70"/>
  <c r="F57" i="70"/>
  <c r="G57" i="70"/>
  <c r="H57" i="70"/>
  <c r="I57" i="70"/>
  <c r="J57" i="70"/>
  <c r="K57" i="70"/>
  <c r="L57" i="70"/>
  <c r="M57" i="70"/>
  <c r="N57" i="70"/>
  <c r="O57" i="70"/>
  <c r="P57" i="70"/>
  <c r="Q57" i="70"/>
  <c r="R57" i="70"/>
  <c r="S57" i="70"/>
  <c r="T57" i="70"/>
  <c r="U57" i="70"/>
  <c r="V57" i="70"/>
  <c r="B59" i="70"/>
  <c r="V37" i="70"/>
  <c r="U37" i="70"/>
  <c r="T37" i="70"/>
  <c r="S37" i="70"/>
  <c r="R37" i="70"/>
  <c r="Q37" i="70"/>
  <c r="P37" i="70"/>
  <c r="O37" i="70"/>
  <c r="N37" i="70"/>
  <c r="M37" i="70"/>
  <c r="L37" i="70"/>
  <c r="K37" i="70"/>
  <c r="J37" i="70"/>
  <c r="I37" i="70"/>
  <c r="H37" i="70"/>
  <c r="G37" i="70"/>
  <c r="F37" i="70"/>
  <c r="E37" i="70"/>
  <c r="D37" i="70"/>
  <c r="C37" i="70"/>
  <c r="B37" i="70"/>
  <c r="IV31" i="70"/>
  <c r="C30" i="70"/>
  <c r="D30" i="70"/>
  <c r="E30" i="70"/>
  <c r="F30" i="70"/>
  <c r="G30" i="70"/>
  <c r="H30" i="70"/>
  <c r="I30" i="70"/>
  <c r="J30" i="70"/>
  <c r="K30" i="70"/>
  <c r="L30" i="70"/>
  <c r="M30" i="70"/>
  <c r="N30" i="70"/>
  <c r="O30" i="70"/>
  <c r="P30" i="70"/>
  <c r="Q30" i="70"/>
  <c r="R30" i="70"/>
  <c r="S30" i="70"/>
  <c r="T30" i="70"/>
  <c r="U30" i="70"/>
  <c r="V30" i="70"/>
  <c r="C29" i="70"/>
  <c r="D29" i="70"/>
  <c r="E29" i="70"/>
  <c r="F29" i="70"/>
  <c r="G29" i="70"/>
  <c r="H29" i="70"/>
  <c r="I29" i="70"/>
  <c r="J29" i="70"/>
  <c r="K29" i="70"/>
  <c r="L29" i="70"/>
  <c r="M29" i="70"/>
  <c r="N29" i="70"/>
  <c r="O29" i="70"/>
  <c r="P29" i="70"/>
  <c r="Q29" i="70"/>
  <c r="R29" i="70"/>
  <c r="S29" i="70"/>
  <c r="T29" i="70"/>
  <c r="U29" i="70"/>
  <c r="V29" i="70"/>
  <c r="V31" i="70"/>
  <c r="U31" i="70"/>
  <c r="T31" i="70"/>
  <c r="S31" i="70"/>
  <c r="R31" i="70"/>
  <c r="Q31" i="70"/>
  <c r="P31" i="70"/>
  <c r="O31" i="70"/>
  <c r="N31" i="70"/>
  <c r="M31" i="70"/>
  <c r="L31" i="70"/>
  <c r="K31" i="70"/>
  <c r="J31" i="70"/>
  <c r="I31" i="70"/>
  <c r="H31" i="70"/>
  <c r="G31" i="70"/>
  <c r="F31" i="70"/>
  <c r="E31" i="70"/>
  <c r="D31" i="70"/>
  <c r="C31" i="70"/>
  <c r="B31" i="70"/>
  <c r="V28" i="70"/>
  <c r="U28" i="70"/>
  <c r="T28" i="70"/>
  <c r="S28" i="70"/>
  <c r="R28" i="70"/>
  <c r="Q28" i="70"/>
  <c r="P28" i="70"/>
  <c r="O28" i="70"/>
  <c r="N28" i="70"/>
  <c r="M28" i="70"/>
  <c r="L28" i="70"/>
  <c r="K28" i="70"/>
  <c r="J28" i="70"/>
  <c r="I28" i="70"/>
  <c r="H28" i="70"/>
  <c r="G28" i="70"/>
  <c r="F28" i="70"/>
  <c r="E28" i="70"/>
  <c r="D28" i="70"/>
  <c r="C28" i="70"/>
  <c r="B28" i="70"/>
  <c r="V24" i="70"/>
  <c r="U24" i="70"/>
  <c r="T24" i="70"/>
  <c r="S24" i="70"/>
  <c r="R24" i="70"/>
  <c r="Q24" i="70"/>
  <c r="P24" i="70"/>
  <c r="O24" i="70"/>
  <c r="N24" i="70"/>
  <c r="M24" i="70"/>
  <c r="L24" i="70"/>
  <c r="K24" i="70"/>
  <c r="J24" i="70"/>
  <c r="I24" i="70"/>
  <c r="H24" i="70"/>
  <c r="G24" i="70"/>
  <c r="F24" i="70"/>
  <c r="E24" i="70"/>
  <c r="D24" i="70"/>
  <c r="C24" i="70"/>
  <c r="B24" i="70"/>
  <c r="B77" i="40"/>
  <c r="B30" i="18"/>
  <c r="B36" i="18"/>
  <c r="B38" i="18"/>
  <c r="B54" i="18"/>
  <c r="C6" i="18"/>
  <c r="C12" i="18"/>
  <c r="C55" i="18"/>
  <c r="B6" i="18"/>
  <c r="B12" i="18"/>
  <c r="B14" i="18"/>
  <c r="B55" i="18"/>
  <c r="C3" i="18"/>
  <c r="C24" i="18"/>
  <c r="B24" i="18"/>
  <c r="C14" i="18"/>
  <c r="C17" i="18"/>
  <c r="C20" i="18"/>
  <c r="B57" i="18"/>
  <c r="B46" i="5"/>
  <c r="B32" i="5"/>
  <c r="B35" i="5"/>
  <c r="B36" i="5"/>
  <c r="B38" i="5"/>
  <c r="B47" i="5"/>
  <c r="C36" i="30"/>
  <c r="B14" i="30"/>
  <c r="B36" i="30"/>
  <c r="J3" i="46"/>
  <c r="B4" i="46"/>
  <c r="B6" i="46"/>
  <c r="C6" i="46"/>
  <c r="F6" i="46"/>
  <c r="G6" i="46"/>
  <c r="H6" i="46"/>
  <c r="I6" i="46"/>
  <c r="F7" i="46"/>
  <c r="G7" i="46"/>
  <c r="H7" i="46"/>
  <c r="I7" i="46"/>
  <c r="F8" i="46"/>
  <c r="G8" i="46"/>
  <c r="H8" i="46"/>
  <c r="I8" i="46"/>
  <c r="F9" i="46"/>
  <c r="G9" i="46"/>
  <c r="H9" i="46"/>
  <c r="I9" i="46"/>
  <c r="F10" i="46"/>
  <c r="B11" i="46"/>
  <c r="C11" i="46"/>
  <c r="B13" i="46"/>
  <c r="C13" i="46"/>
  <c r="B15" i="46"/>
  <c r="C15" i="46"/>
  <c r="B17" i="46"/>
  <c r="C17" i="46"/>
  <c r="B18" i="46"/>
  <c r="C18" i="46"/>
  <c r="B31" i="46"/>
  <c r="C31" i="46"/>
  <c r="B33" i="46"/>
  <c r="C33" i="46"/>
  <c r="B35" i="46"/>
  <c r="C35" i="46"/>
  <c r="B37" i="46"/>
  <c r="C37" i="46"/>
  <c r="D46" i="46"/>
  <c r="F46" i="46"/>
  <c r="B47" i="46"/>
  <c r="F47" i="46"/>
  <c r="H47" i="46"/>
  <c r="F48" i="46"/>
  <c r="D51" i="46"/>
  <c r="B50" i="46"/>
  <c r="D50" i="46"/>
  <c r="F50" i="46"/>
  <c r="B51" i="46"/>
  <c r="F51" i="46"/>
  <c r="B52" i="46"/>
  <c r="F52" i="46"/>
  <c r="B53" i="46"/>
  <c r="F53" i="46"/>
  <c r="F54" i="46"/>
  <c r="B56" i="46"/>
  <c r="F56" i="46"/>
  <c r="F59" i="46"/>
  <c r="F60" i="46"/>
  <c r="F61" i="46"/>
  <c r="D62" i="46"/>
  <c r="F62" i="46"/>
  <c r="B63" i="46"/>
  <c r="F63" i="46"/>
  <c r="B64" i="46"/>
  <c r="F64" i="46"/>
  <c r="B65" i="46"/>
  <c r="F65" i="46"/>
  <c r="C18" i="67"/>
  <c r="B24" i="67"/>
  <c r="B25" i="67"/>
  <c r="B26" i="67"/>
  <c r="B27" i="67"/>
  <c r="B49" i="67"/>
  <c r="C49" i="67"/>
  <c r="D49" i="67"/>
  <c r="E49" i="67"/>
  <c r="F49" i="67"/>
  <c r="B50" i="67"/>
  <c r="C50" i="67"/>
  <c r="D50" i="67"/>
  <c r="E50" i="67"/>
  <c r="F50" i="67"/>
  <c r="B51" i="67"/>
  <c r="C51" i="67"/>
  <c r="D51" i="67"/>
  <c r="E51" i="67"/>
  <c r="F51" i="67"/>
  <c r="B52" i="67"/>
  <c r="C52" i="67"/>
  <c r="D52" i="67"/>
  <c r="E52" i="67"/>
  <c r="F52" i="67"/>
  <c r="B53" i="67"/>
  <c r="C53" i="67"/>
  <c r="D53" i="67"/>
  <c r="E53" i="67"/>
  <c r="F53" i="67"/>
  <c r="B56" i="67"/>
  <c r="C56" i="67"/>
  <c r="D56" i="67"/>
  <c r="E56" i="67"/>
  <c r="F56" i="67"/>
  <c r="B57" i="67"/>
  <c r="C57" i="67"/>
  <c r="D57" i="67"/>
  <c r="E57" i="67"/>
  <c r="F57" i="67"/>
  <c r="B60" i="67"/>
  <c r="C60" i="67"/>
  <c r="D60" i="67"/>
  <c r="E60" i="67"/>
  <c r="F60" i="67"/>
  <c r="B80" i="67"/>
  <c r="B83" i="67"/>
  <c r="C83" i="67"/>
  <c r="D83" i="67"/>
  <c r="E83" i="67"/>
  <c r="F83" i="67"/>
  <c r="B86" i="67"/>
  <c r="C86" i="67"/>
  <c r="D86" i="67"/>
  <c r="E86" i="67"/>
  <c r="F86" i="67"/>
  <c r="B87" i="67"/>
  <c r="C87" i="67"/>
  <c r="D87" i="67"/>
  <c r="E87" i="67"/>
  <c r="F87" i="67"/>
  <c r="B88" i="67"/>
  <c r="C88" i="67"/>
  <c r="D88" i="67"/>
  <c r="E88" i="67"/>
  <c r="F88" i="67"/>
  <c r="B89" i="67"/>
  <c r="C89" i="67"/>
  <c r="D89" i="67"/>
  <c r="E89" i="67"/>
  <c r="F89" i="67"/>
  <c r="B90" i="67"/>
  <c r="C90" i="67"/>
  <c r="D90" i="67"/>
  <c r="E90" i="67"/>
  <c r="F90" i="67"/>
  <c r="B91" i="67"/>
  <c r="C91" i="67"/>
  <c r="D91" i="67"/>
  <c r="E91" i="67"/>
  <c r="F91" i="67"/>
  <c r="B94" i="67"/>
  <c r="C94" i="67"/>
  <c r="D94" i="67"/>
  <c r="E94" i="67"/>
  <c r="F94" i="67"/>
  <c r="B95" i="67"/>
  <c r="C95" i="67"/>
  <c r="D95" i="67"/>
  <c r="E95" i="67"/>
  <c r="F95" i="67"/>
  <c r="B97" i="67"/>
  <c r="C97" i="67"/>
  <c r="D97" i="67"/>
  <c r="E97" i="67"/>
  <c r="F97" i="67"/>
  <c r="B116" i="67"/>
  <c r="B127" i="67"/>
  <c r="B6" i="54"/>
  <c r="C6" i="54"/>
  <c r="B10" i="54"/>
  <c r="B11" i="54"/>
  <c r="B12" i="54"/>
  <c r="B15" i="54"/>
  <c r="B17" i="54"/>
  <c r="B18" i="54"/>
  <c r="D28" i="54"/>
  <c r="E28" i="54"/>
  <c r="C33" i="54"/>
  <c r="D33" i="54"/>
  <c r="E33" i="54"/>
  <c r="B55" i="54"/>
  <c r="B56" i="54"/>
  <c r="B57" i="54"/>
  <c r="B58" i="54"/>
  <c r="B64" i="54"/>
  <c r="B76" i="54"/>
  <c r="B77" i="54"/>
  <c r="B78" i="54"/>
  <c r="B79" i="54"/>
  <c r="C79" i="54"/>
  <c r="B82" i="54"/>
  <c r="B83" i="54"/>
  <c r="B84" i="54"/>
  <c r="B85" i="54"/>
  <c r="B87" i="54"/>
  <c r="B89" i="54"/>
  <c r="C89" i="54"/>
  <c r="B90" i="54"/>
  <c r="C90" i="54"/>
  <c r="B93" i="54"/>
  <c r="C93" i="54"/>
  <c r="B7" i="45"/>
  <c r="C7" i="45"/>
  <c r="B8" i="45"/>
  <c r="C8" i="45"/>
  <c r="B9" i="45"/>
  <c r="C9" i="45"/>
  <c r="G13" i="45"/>
  <c r="H13" i="45"/>
  <c r="G14" i="45"/>
  <c r="H14" i="45"/>
  <c r="B18" i="45"/>
  <c r="E17" i="45"/>
  <c r="B19" i="45"/>
  <c r="B21" i="45"/>
  <c r="B22" i="45"/>
  <c r="B27" i="45"/>
  <c r="C27" i="45"/>
  <c r="B28" i="45"/>
  <c r="C28" i="45"/>
  <c r="B29" i="45"/>
  <c r="C29" i="45"/>
  <c r="B30" i="45"/>
  <c r="C30" i="45"/>
  <c r="B31" i="45"/>
  <c r="C31" i="45"/>
  <c r="B39" i="45"/>
  <c r="B41" i="45"/>
  <c r="D41" i="45"/>
  <c r="B42" i="45"/>
  <c r="D42" i="45"/>
  <c r="B49" i="45"/>
  <c r="B53" i="45"/>
  <c r="B54" i="45"/>
  <c r="B55" i="45"/>
  <c r="B5" i="53"/>
  <c r="B6" i="53"/>
  <c r="D5" i="53"/>
  <c r="D6" i="53"/>
  <c r="B13" i="53"/>
  <c r="D12" i="53"/>
  <c r="D13" i="53"/>
  <c r="B39" i="53"/>
  <c r="B43" i="53"/>
  <c r="B44" i="53"/>
  <c r="B45" i="53"/>
  <c r="B5" i="69"/>
  <c r="B6" i="69"/>
  <c r="B13" i="69"/>
  <c r="B18" i="69"/>
  <c r="B19" i="69"/>
  <c r="B23" i="69"/>
  <c r="B22" i="69"/>
  <c r="B27" i="69"/>
  <c r="B36" i="69"/>
  <c r="B37" i="69"/>
  <c r="B41" i="69"/>
  <c r="B44" i="69"/>
  <c r="B45" i="69"/>
  <c r="B46" i="69"/>
  <c r="B49" i="69"/>
  <c r="B51" i="69"/>
  <c r="B50" i="69"/>
  <c r="B61" i="69"/>
  <c r="C61" i="69"/>
  <c r="D61" i="69"/>
  <c r="C62" i="69"/>
  <c r="D62" i="69"/>
  <c r="B65" i="69"/>
  <c r="B66" i="69"/>
  <c r="B69" i="69"/>
  <c r="B70" i="69"/>
  <c r="C2" i="40"/>
  <c r="C3" i="40"/>
  <c r="C5" i="40"/>
  <c r="C6" i="40"/>
  <c r="B8" i="40"/>
  <c r="C8" i="40"/>
  <c r="B10" i="40"/>
  <c r="C10" i="40"/>
  <c r="B13" i="40"/>
  <c r="C13" i="40"/>
  <c r="B14" i="40"/>
  <c r="C14" i="40"/>
  <c r="B15" i="40"/>
  <c r="C15" i="40"/>
  <c r="B17" i="40"/>
  <c r="C17" i="40"/>
  <c r="B19" i="40"/>
  <c r="C19" i="40"/>
  <c r="B25" i="40"/>
  <c r="C25" i="40"/>
  <c r="B26" i="40"/>
  <c r="C26" i="40"/>
  <c r="B27" i="40"/>
  <c r="C27" i="40"/>
  <c r="B28" i="40"/>
  <c r="C28" i="40"/>
  <c r="B31" i="40"/>
  <c r="C31" i="40"/>
  <c r="B33" i="40"/>
  <c r="C33" i="40"/>
  <c r="B34" i="40"/>
  <c r="C34" i="40"/>
  <c r="B39" i="40"/>
  <c r="C39" i="40"/>
  <c r="B40" i="40"/>
  <c r="C40" i="40"/>
  <c r="B41" i="40"/>
  <c r="C41" i="40"/>
  <c r="B43" i="40"/>
  <c r="C43" i="40"/>
  <c r="B47" i="40"/>
  <c r="C47" i="40"/>
  <c r="B51" i="40"/>
  <c r="C51" i="40"/>
  <c r="B52" i="40"/>
  <c r="C52" i="40"/>
  <c r="B54" i="40"/>
  <c r="C54" i="40"/>
  <c r="B55" i="40"/>
  <c r="C55" i="40"/>
  <c r="B64" i="40"/>
  <c r="B70" i="40"/>
  <c r="B72" i="40"/>
  <c r="D77" i="40"/>
  <c r="D78" i="40"/>
  <c r="D79" i="40"/>
  <c r="F77" i="40"/>
  <c r="B78" i="40"/>
  <c r="F78" i="40"/>
  <c r="B79" i="40"/>
  <c r="F79" i="40"/>
  <c r="B8" i="39"/>
  <c r="B9" i="39"/>
  <c r="C17" i="39"/>
  <c r="D17" i="39"/>
  <c r="C18" i="39"/>
  <c r="D18" i="39"/>
  <c r="C19" i="39"/>
  <c r="D19" i="39"/>
  <c r="C20" i="39"/>
  <c r="D20" i="39"/>
  <c r="C23" i="39"/>
  <c r="D23" i="39"/>
  <c r="D25" i="39"/>
  <c r="B27" i="39"/>
  <c r="C27" i="39"/>
  <c r="D27" i="39"/>
  <c r="C28" i="39"/>
  <c r="D28" i="39"/>
  <c r="B29" i="39"/>
  <c r="C29" i="39"/>
  <c r="D29" i="39"/>
  <c r="C31" i="39"/>
  <c r="D31" i="39"/>
  <c r="A42" i="39"/>
  <c r="A43" i="39"/>
  <c r="A44" i="39"/>
  <c r="A52" i="39"/>
  <c r="B52" i="39"/>
  <c r="C52" i="39"/>
  <c r="A53" i="39"/>
  <c r="B53" i="39"/>
  <c r="C53" i="39"/>
  <c r="A54" i="39"/>
  <c r="A62" i="39"/>
  <c r="B54" i="39"/>
  <c r="C54" i="39"/>
  <c r="B55" i="39"/>
  <c r="C55" i="39"/>
  <c r="B56" i="39"/>
  <c r="C56" i="39"/>
  <c r="B57" i="39"/>
  <c r="C57" i="39"/>
  <c r="A61" i="39"/>
  <c r="B61" i="39"/>
  <c r="B62" i="39"/>
  <c r="B63" i="39"/>
  <c r="B64" i="39"/>
  <c r="B65" i="39"/>
  <c r="B6" i="38"/>
  <c r="B10" i="38"/>
  <c r="B13" i="38"/>
  <c r="B14" i="38"/>
  <c r="B19" i="38"/>
  <c r="B24" i="38"/>
  <c r="D28" i="38"/>
  <c r="G28" i="38"/>
  <c r="I28" i="38"/>
  <c r="J28" i="38"/>
  <c r="A29" i="38"/>
  <c r="B29" i="38"/>
  <c r="D29" i="38"/>
  <c r="G29" i="38"/>
  <c r="I29" i="38"/>
  <c r="J29" i="38"/>
  <c r="A30" i="38"/>
  <c r="B30" i="38"/>
  <c r="D30" i="38"/>
  <c r="G30" i="38"/>
  <c r="I30" i="38"/>
  <c r="J30" i="38"/>
  <c r="A31" i="38"/>
  <c r="B31" i="38"/>
  <c r="D31" i="38"/>
  <c r="G31" i="38"/>
  <c r="I31" i="38"/>
  <c r="J31" i="38"/>
  <c r="A32" i="38"/>
  <c r="B32" i="38"/>
  <c r="D32" i="38"/>
  <c r="G32" i="38"/>
  <c r="I32" i="38"/>
  <c r="J32" i="38"/>
  <c r="A33" i="38"/>
  <c r="B33" i="38"/>
  <c r="D33" i="38"/>
  <c r="G33" i="38"/>
  <c r="I33" i="38"/>
  <c r="J33" i="38"/>
  <c r="C9" i="43"/>
  <c r="D9" i="43"/>
  <c r="E9" i="43"/>
  <c r="F9" i="43"/>
  <c r="G9" i="43"/>
  <c r="C15" i="43"/>
  <c r="D15" i="43"/>
  <c r="E15" i="43"/>
  <c r="F15" i="43"/>
  <c r="G15" i="43"/>
  <c r="B20" i="43"/>
  <c r="B18" i="43"/>
  <c r="C18" i="43"/>
  <c r="D18" i="43"/>
  <c r="E18" i="43"/>
  <c r="F18" i="43"/>
  <c r="G18" i="43"/>
  <c r="B19" i="43"/>
  <c r="B15" i="34"/>
  <c r="B16" i="34"/>
  <c r="B17" i="34"/>
  <c r="B21" i="34"/>
  <c r="B22" i="34"/>
  <c r="B27" i="34"/>
  <c r="B28" i="34"/>
  <c r="B29" i="34"/>
  <c r="C42" i="34"/>
  <c r="E42" i="34"/>
  <c r="C46" i="34"/>
  <c r="E46" i="34"/>
  <c r="C47" i="34"/>
  <c r="E47" i="34"/>
  <c r="B53" i="34"/>
  <c r="B54" i="34"/>
  <c r="B56" i="34"/>
  <c r="B65" i="34"/>
  <c r="B66" i="34"/>
  <c r="B67" i="34"/>
  <c r="B69" i="34"/>
  <c r="D70" i="34"/>
  <c r="B70" i="34"/>
  <c r="B73" i="34"/>
  <c r="B74" i="34"/>
  <c r="B77" i="34"/>
  <c r="B78" i="34"/>
  <c r="B80" i="34"/>
  <c r="B81" i="34"/>
  <c r="B83" i="34"/>
  <c r="B90" i="34"/>
  <c r="B93" i="34"/>
  <c r="B94" i="34"/>
  <c r="B95" i="34"/>
  <c r="B97" i="34"/>
  <c r="B102" i="34"/>
  <c r="B105" i="34"/>
  <c r="B107" i="34"/>
  <c r="B5" i="33"/>
  <c r="B9" i="33"/>
  <c r="C9" i="33"/>
  <c r="D9" i="33"/>
  <c r="B18" i="33"/>
  <c r="B21" i="33"/>
  <c r="B23" i="33"/>
  <c r="B33" i="33"/>
  <c r="B36" i="33"/>
  <c r="B38" i="33"/>
  <c r="B39" i="33"/>
  <c r="B40" i="33"/>
  <c r="B51" i="33"/>
  <c r="C51" i="33"/>
  <c r="D51" i="33"/>
  <c r="E51" i="33"/>
  <c r="B52" i="33"/>
  <c r="C52" i="33"/>
  <c r="D52" i="33"/>
  <c r="E52" i="33"/>
  <c r="B54" i="33"/>
  <c r="C54" i="33"/>
  <c r="D54" i="33"/>
  <c r="D55" i="33"/>
  <c r="D59" i="33"/>
  <c r="D61" i="33"/>
  <c r="D62" i="33"/>
  <c r="E54" i="33"/>
  <c r="B55" i="33"/>
  <c r="C55" i="33"/>
  <c r="B59" i="33"/>
  <c r="C59" i="33"/>
  <c r="B61" i="33"/>
  <c r="C61" i="33"/>
  <c r="E61" i="33"/>
  <c r="B62" i="33"/>
  <c r="C62" i="33"/>
  <c r="B63" i="33"/>
  <c r="C63" i="33"/>
  <c r="B5" i="32"/>
  <c r="B8" i="32"/>
  <c r="B16" i="32"/>
  <c r="C16" i="32"/>
  <c r="B17" i="32"/>
  <c r="C17" i="32"/>
  <c r="C20" i="32"/>
  <c r="C21" i="32"/>
  <c r="C23" i="32"/>
  <c r="F19" i="32"/>
  <c r="B20" i="32"/>
  <c r="D20" i="32"/>
  <c r="F20" i="32"/>
  <c r="B21" i="32"/>
  <c r="E21" i="32"/>
  <c r="B22" i="32"/>
  <c r="C22" i="32"/>
  <c r="B23" i="32"/>
  <c r="B28" i="32"/>
  <c r="C28" i="32"/>
  <c r="C27" i="32"/>
  <c r="D28" i="32"/>
  <c r="E28" i="32"/>
  <c r="B29" i="32"/>
  <c r="C29" i="32"/>
  <c r="B31" i="32"/>
  <c r="C31" i="32"/>
  <c r="D31" i="32"/>
  <c r="B32" i="32"/>
  <c r="C32" i="32"/>
  <c r="B33" i="32"/>
  <c r="C33" i="32"/>
  <c r="B34" i="32"/>
  <c r="C34" i="32"/>
  <c r="B38" i="32"/>
  <c r="C39" i="32"/>
  <c r="C44" i="32"/>
  <c r="C46" i="32"/>
  <c r="C47" i="32"/>
  <c r="C48" i="32"/>
  <c r="C50" i="32"/>
  <c r="C51" i="32"/>
  <c r="C52" i="32"/>
  <c r="C54" i="32"/>
  <c r="B62" i="32"/>
  <c r="C62" i="32"/>
  <c r="C66" i="32"/>
  <c r="B67" i="32"/>
  <c r="B68" i="32"/>
  <c r="C68" i="32"/>
  <c r="B69" i="32"/>
  <c r="C69" i="32"/>
  <c r="B70" i="32"/>
  <c r="C70" i="32"/>
  <c r="C71" i="32"/>
  <c r="B72" i="32"/>
  <c r="C72" i="32"/>
  <c r="C74" i="32"/>
  <c r="B78" i="32"/>
  <c r="B77" i="32"/>
  <c r="D78" i="32"/>
  <c r="C78" i="32"/>
  <c r="C77" i="32"/>
  <c r="E78" i="32"/>
  <c r="B79" i="32"/>
  <c r="C79" i="32"/>
  <c r="B80" i="32"/>
  <c r="C80" i="32"/>
  <c r="C82" i="32"/>
  <c r="D82" i="32"/>
  <c r="C84" i="32"/>
  <c r="C83" i="32"/>
  <c r="B84" i="32"/>
  <c r="B85" i="32"/>
  <c r="C85" i="32"/>
  <c r="D85" i="32"/>
  <c r="B86" i="32"/>
  <c r="C86" i="32"/>
  <c r="B87" i="32"/>
  <c r="C87" i="32"/>
  <c r="B93" i="32"/>
  <c r="B97" i="32"/>
  <c r="B98" i="32"/>
  <c r="B100" i="32"/>
  <c r="B101" i="32"/>
  <c r="B102" i="32"/>
  <c r="B107" i="32"/>
  <c r="B109" i="32"/>
  <c r="B110" i="32"/>
  <c r="B111" i="32"/>
  <c r="B120" i="32"/>
  <c r="B121" i="32"/>
  <c r="B125" i="32"/>
  <c r="B126" i="32"/>
  <c r="B127" i="32"/>
  <c r="B129" i="32"/>
  <c r="B131" i="32"/>
  <c r="B132" i="32"/>
  <c r="B133" i="32"/>
  <c r="B7" i="44"/>
  <c r="C7" i="44"/>
  <c r="B12" i="44"/>
  <c r="C12" i="44"/>
  <c r="B23" i="44"/>
  <c r="C23" i="44"/>
  <c r="D23" i="44"/>
  <c r="E23" i="44"/>
  <c r="F23" i="44"/>
  <c r="B29" i="44"/>
  <c r="B30" i="44"/>
  <c r="B33" i="44"/>
  <c r="B40" i="44"/>
  <c r="C40" i="44"/>
  <c r="D40" i="44"/>
  <c r="E40" i="44"/>
  <c r="F40" i="44"/>
  <c r="B41" i="44"/>
  <c r="C41" i="44"/>
  <c r="D41" i="44"/>
  <c r="E41" i="44"/>
  <c r="F41" i="44"/>
  <c r="B42" i="44"/>
  <c r="C42" i="44"/>
  <c r="D42" i="44"/>
  <c r="E42" i="44"/>
  <c r="F42" i="44"/>
  <c r="B43" i="44"/>
  <c r="C43" i="44"/>
  <c r="D43" i="44"/>
  <c r="E43" i="44"/>
  <c r="F43" i="44"/>
  <c r="B45" i="44"/>
  <c r="C45" i="44"/>
  <c r="D45" i="44"/>
  <c r="E45" i="44"/>
  <c r="F45" i="44"/>
  <c r="G45" i="44"/>
  <c r="F46" i="44"/>
  <c r="B49" i="44"/>
  <c r="C49" i="44"/>
  <c r="D49" i="44"/>
  <c r="E49" i="44"/>
  <c r="F49" i="44"/>
  <c r="B50" i="44"/>
  <c r="B52" i="44"/>
  <c r="B54" i="44"/>
  <c r="B65" i="44"/>
  <c r="B66" i="44"/>
  <c r="B67" i="44"/>
  <c r="B70" i="44"/>
  <c r="B85" i="44"/>
  <c r="B6" i="37"/>
  <c r="B10" i="37"/>
  <c r="I7" i="36"/>
  <c r="J7" i="36"/>
  <c r="K7" i="36"/>
  <c r="L7" i="36"/>
  <c r="M7" i="36"/>
  <c r="N7" i="36"/>
  <c r="O7" i="36"/>
  <c r="P7" i="36"/>
  <c r="Q7" i="36"/>
  <c r="R7" i="36"/>
  <c r="S7" i="36"/>
  <c r="T7" i="36"/>
  <c r="U7" i="36"/>
  <c r="V7" i="36"/>
  <c r="W7" i="36"/>
  <c r="X7" i="36"/>
  <c r="Y7" i="36"/>
  <c r="Z7" i="36"/>
  <c r="AA7" i="36"/>
  <c r="AB7" i="36"/>
  <c r="AC7" i="36"/>
  <c r="AD7" i="36"/>
  <c r="AE7" i="36"/>
  <c r="AF7" i="36"/>
  <c r="AG7" i="36"/>
  <c r="AH7" i="36"/>
  <c r="AI7" i="36"/>
  <c r="AJ7" i="36"/>
  <c r="AK7" i="36"/>
  <c r="AL7" i="36"/>
  <c r="AM7" i="36"/>
  <c r="AN7" i="36"/>
  <c r="AO7" i="36"/>
  <c r="AP7" i="36"/>
  <c r="AQ7" i="36"/>
  <c r="AR7" i="36"/>
  <c r="AS7" i="36"/>
  <c r="AT7" i="36"/>
  <c r="AU7" i="36"/>
  <c r="AV7" i="36"/>
  <c r="AW7" i="36"/>
  <c r="AX7" i="36"/>
  <c r="AY7" i="36"/>
  <c r="AZ7" i="36"/>
  <c r="BA7" i="36"/>
  <c r="BB7" i="36"/>
  <c r="BC7" i="36"/>
  <c r="BD7" i="36"/>
  <c r="BE7" i="36"/>
  <c r="BF7" i="36"/>
  <c r="BG7" i="36"/>
  <c r="BH7" i="36"/>
  <c r="BI7" i="36"/>
  <c r="BJ7" i="36"/>
  <c r="BK7" i="36"/>
  <c r="BL7" i="36"/>
  <c r="BM7" i="36"/>
  <c r="BN7" i="36"/>
  <c r="BO7" i="36"/>
  <c r="BP7" i="36"/>
  <c r="BQ7" i="36"/>
  <c r="BR7" i="36"/>
  <c r="BS7" i="36"/>
  <c r="BT7" i="36"/>
  <c r="BU7" i="36"/>
  <c r="BV7" i="36"/>
  <c r="BW7" i="36"/>
  <c r="BX7" i="36"/>
  <c r="BY7" i="36"/>
  <c r="BZ7" i="36"/>
  <c r="CA7" i="36"/>
  <c r="CB7" i="36"/>
  <c r="CC7" i="36"/>
  <c r="CD7" i="36"/>
  <c r="CE7" i="36"/>
  <c r="CF7" i="36"/>
  <c r="CG7" i="36"/>
  <c r="CH7" i="36"/>
  <c r="CI7" i="36"/>
  <c r="CJ7" i="36"/>
  <c r="CK7" i="36"/>
  <c r="CL7" i="36"/>
  <c r="CM7" i="36"/>
  <c r="CN7" i="36"/>
  <c r="CO7" i="36"/>
  <c r="CP7" i="36"/>
  <c r="CQ7" i="36"/>
  <c r="CR7" i="36"/>
  <c r="CS7" i="36"/>
  <c r="CT7" i="36"/>
  <c r="CU7" i="36"/>
  <c r="CV7" i="36"/>
  <c r="CW7" i="36"/>
  <c r="CX7" i="36"/>
  <c r="CY7" i="36"/>
  <c r="CZ7" i="36"/>
  <c r="DA7" i="36"/>
  <c r="DB7" i="36"/>
  <c r="DC7" i="36"/>
  <c r="DD7" i="36"/>
  <c r="DE7" i="36"/>
  <c r="DF7" i="36"/>
  <c r="DG7" i="36"/>
  <c r="DH7" i="36"/>
  <c r="DI7" i="36"/>
  <c r="DJ7" i="36"/>
  <c r="DK7" i="36"/>
  <c r="DL7" i="36"/>
  <c r="DM7" i="36"/>
  <c r="DN7" i="36"/>
  <c r="DO7" i="36"/>
  <c r="DP7" i="36"/>
  <c r="DQ7" i="36"/>
  <c r="DR7" i="36"/>
  <c r="DS7" i="36"/>
  <c r="DT7" i="36"/>
  <c r="DU7" i="36"/>
  <c r="DV7" i="36"/>
  <c r="DW7" i="36"/>
  <c r="DX7" i="36"/>
  <c r="DY7" i="36"/>
  <c r="DZ7" i="36"/>
  <c r="EA7" i="36"/>
  <c r="EB7" i="36"/>
  <c r="EC7" i="36"/>
  <c r="ED7" i="36"/>
  <c r="EE7" i="36"/>
  <c r="EF7" i="36"/>
  <c r="EG7" i="36"/>
  <c r="EH7" i="36"/>
  <c r="EI7" i="36"/>
  <c r="EJ7" i="36"/>
  <c r="EK7" i="36"/>
  <c r="EL7" i="36"/>
  <c r="EM7" i="36"/>
  <c r="EN7" i="36"/>
  <c r="EO7" i="36"/>
  <c r="EP7" i="36"/>
  <c r="EQ7" i="36"/>
  <c r="ER7" i="36"/>
  <c r="ES7" i="36"/>
  <c r="ET7" i="36"/>
  <c r="EU7" i="36"/>
  <c r="EV7" i="36"/>
  <c r="EW7" i="36"/>
  <c r="EX7" i="36"/>
  <c r="EY7" i="36"/>
  <c r="EZ7" i="36"/>
  <c r="FA7" i="36"/>
  <c r="FB7" i="36"/>
  <c r="FC7" i="36"/>
  <c r="FD7" i="36"/>
  <c r="FE7" i="36"/>
  <c r="FF7" i="36"/>
  <c r="FG7" i="36"/>
  <c r="FH7" i="36"/>
  <c r="FI7" i="36"/>
  <c r="FJ7" i="36"/>
  <c r="FK7" i="36"/>
  <c r="FL7" i="36"/>
  <c r="FM7" i="36"/>
  <c r="FN7" i="36"/>
  <c r="FO7" i="36"/>
  <c r="FP7" i="36"/>
  <c r="FQ7" i="36"/>
  <c r="FR7" i="36"/>
  <c r="FS7" i="36"/>
  <c r="FT7" i="36"/>
  <c r="FU7" i="36"/>
  <c r="FV7" i="36"/>
  <c r="FW7" i="36"/>
  <c r="FX7" i="36"/>
  <c r="FY7" i="36"/>
  <c r="FZ7" i="36"/>
  <c r="GA7" i="36"/>
  <c r="GB7" i="36"/>
  <c r="GC7" i="36"/>
  <c r="GD7" i="36"/>
  <c r="GE7" i="36"/>
  <c r="GF7" i="36"/>
  <c r="GG7" i="36"/>
  <c r="GH7" i="36"/>
  <c r="GI7" i="36"/>
  <c r="GJ7" i="36"/>
  <c r="GK7" i="36"/>
  <c r="GL7" i="36"/>
  <c r="GM7" i="36"/>
  <c r="GN7" i="36"/>
  <c r="GO7" i="36"/>
  <c r="GP7" i="36"/>
  <c r="GQ7" i="36"/>
  <c r="GR7" i="36"/>
  <c r="GS7" i="36"/>
  <c r="GT7" i="36"/>
  <c r="GU7" i="36"/>
  <c r="GV7" i="36"/>
  <c r="GW7" i="36"/>
  <c r="GX7" i="36"/>
  <c r="GY7" i="36"/>
  <c r="GZ7" i="36"/>
  <c r="HA7" i="36"/>
  <c r="HB7" i="36"/>
  <c r="HC7" i="36"/>
  <c r="HD7" i="36"/>
  <c r="HE7" i="36"/>
  <c r="HF7" i="36"/>
  <c r="HG7" i="36"/>
  <c r="HH7" i="36"/>
  <c r="HI7" i="36"/>
  <c r="HJ7" i="36"/>
  <c r="HK7" i="36"/>
  <c r="HL7" i="36"/>
  <c r="HM7" i="36"/>
  <c r="HN7" i="36"/>
  <c r="HO7" i="36"/>
  <c r="HP7" i="36"/>
  <c r="HQ7" i="36"/>
  <c r="HR7" i="36"/>
  <c r="HS7" i="36"/>
  <c r="HT7" i="36"/>
  <c r="HU7" i="36"/>
  <c r="HV7" i="36"/>
  <c r="HW7" i="36"/>
  <c r="HX7" i="36"/>
  <c r="HY7" i="36"/>
  <c r="HZ7" i="36"/>
  <c r="IA7" i="36"/>
  <c r="IB7" i="36"/>
  <c r="IC7" i="36"/>
  <c r="ID7" i="36"/>
  <c r="IE7" i="36"/>
  <c r="IF7" i="36"/>
  <c r="IG7" i="36"/>
  <c r="IH7" i="36"/>
  <c r="II7" i="36"/>
  <c r="IJ7" i="36"/>
  <c r="IK7" i="36"/>
  <c r="IL7" i="36"/>
  <c r="IM7" i="36"/>
  <c r="IN7" i="36"/>
  <c r="IO7" i="36"/>
  <c r="IP7" i="36"/>
  <c r="IQ7" i="36"/>
  <c r="IR7" i="36"/>
  <c r="IS7" i="36"/>
  <c r="IT7" i="36"/>
  <c r="IU7" i="36"/>
  <c r="IV7" i="36"/>
  <c r="B10" i="36"/>
  <c r="B20" i="36"/>
  <c r="B22" i="36"/>
  <c r="B28" i="36"/>
  <c r="B29" i="36"/>
  <c r="B30" i="36"/>
  <c r="B31" i="36"/>
  <c r="B33" i="36"/>
  <c r="B42" i="36"/>
  <c r="C42" i="36"/>
  <c r="D42" i="36"/>
  <c r="B54" i="36"/>
  <c r="C54" i="36"/>
  <c r="C53" i="36"/>
  <c r="D53" i="36"/>
  <c r="D54" i="36"/>
  <c r="C55" i="36"/>
  <c r="D55" i="36"/>
  <c r="B59" i="36"/>
  <c r="B60" i="36"/>
  <c r="C59" i="36"/>
  <c r="B61" i="36"/>
  <c r="B63" i="36"/>
  <c r="B64" i="36"/>
  <c r="C63" i="36"/>
  <c r="B65" i="36"/>
  <c r="B83" i="36"/>
  <c r="C83" i="36"/>
  <c r="D83" i="36"/>
  <c r="E83" i="36"/>
  <c r="B84" i="36"/>
  <c r="C84" i="36"/>
  <c r="D84" i="36"/>
  <c r="E84" i="36"/>
  <c r="B85" i="36"/>
  <c r="C85" i="36"/>
  <c r="D85" i="36"/>
  <c r="E85" i="36"/>
  <c r="B13" i="35"/>
  <c r="J13" i="35"/>
  <c r="C14" i="35"/>
  <c r="D14" i="35"/>
  <c r="E14" i="35"/>
  <c r="F14" i="35"/>
  <c r="G14" i="35"/>
  <c r="H14" i="35"/>
  <c r="I14" i="35"/>
  <c r="J14" i="35"/>
  <c r="C15" i="35"/>
  <c r="J15" i="35"/>
  <c r="C19" i="35"/>
  <c r="C16" i="35"/>
  <c r="D19" i="35"/>
  <c r="D16" i="35"/>
  <c r="E19" i="35"/>
  <c r="E16" i="35"/>
  <c r="F19" i="35"/>
  <c r="F16" i="35"/>
  <c r="G19" i="35"/>
  <c r="G16" i="35"/>
  <c r="H16" i="35"/>
  <c r="I16" i="35"/>
  <c r="J16" i="35"/>
  <c r="B17" i="35"/>
  <c r="C17" i="35"/>
  <c r="D17" i="35"/>
  <c r="E17" i="35"/>
  <c r="F17" i="35"/>
  <c r="G17" i="35"/>
  <c r="H17" i="35"/>
  <c r="I17" i="35"/>
  <c r="J17" i="35"/>
  <c r="B23" i="35"/>
  <c r="B27" i="35"/>
  <c r="C46" i="35"/>
  <c r="D46" i="35"/>
  <c r="E46" i="35"/>
  <c r="F46" i="35"/>
  <c r="G46" i="35"/>
  <c r="B47" i="35"/>
  <c r="G47" i="35"/>
  <c r="B54" i="35"/>
  <c r="B48" i="35"/>
  <c r="C49" i="35"/>
  <c r="D49" i="35"/>
  <c r="E49" i="35"/>
  <c r="F49" i="35"/>
  <c r="G49" i="35"/>
  <c r="C55" i="35"/>
  <c r="C50" i="35"/>
  <c r="D55" i="35"/>
  <c r="D50" i="35"/>
  <c r="E55" i="35"/>
  <c r="E50" i="35"/>
  <c r="F55" i="35"/>
  <c r="F50" i="35"/>
  <c r="G55" i="35"/>
  <c r="G50" i="35"/>
  <c r="B51" i="35"/>
  <c r="B52" i="35"/>
  <c r="C52" i="35"/>
  <c r="D52" i="35"/>
  <c r="E52" i="35"/>
  <c r="F52" i="35"/>
  <c r="G52" i="35"/>
  <c r="B57" i="35"/>
  <c r="C64" i="35"/>
  <c r="D64" i="35"/>
  <c r="E64" i="35"/>
  <c r="F64" i="35"/>
  <c r="G64" i="35"/>
  <c r="B67" i="35"/>
  <c r="C67" i="35"/>
  <c r="D67" i="35"/>
  <c r="E67" i="35"/>
  <c r="F67" i="35"/>
  <c r="G67" i="35"/>
  <c r="B69" i="35"/>
  <c r="C73" i="35"/>
  <c r="D73" i="35"/>
  <c r="E73" i="35"/>
  <c r="F73" i="35"/>
  <c r="G73" i="35"/>
  <c r="B76" i="35"/>
  <c r="C76" i="35"/>
  <c r="D76" i="35"/>
  <c r="E76" i="35"/>
  <c r="F76" i="35"/>
  <c r="G76" i="35"/>
  <c r="B79" i="35"/>
  <c r="B81" i="35"/>
  <c r="C90" i="35"/>
  <c r="D90" i="35"/>
  <c r="E90" i="35"/>
  <c r="F90" i="35"/>
  <c r="G90" i="35"/>
  <c r="H90" i="35"/>
  <c r="I90" i="35"/>
  <c r="J90" i="35"/>
  <c r="K90" i="35"/>
  <c r="L90" i="35"/>
  <c r="B91" i="35"/>
  <c r="B92" i="35"/>
  <c r="C93" i="35"/>
  <c r="D93" i="35"/>
  <c r="E93" i="35"/>
  <c r="F93" i="35"/>
  <c r="G93" i="35"/>
  <c r="H93" i="35"/>
  <c r="I93" i="35"/>
  <c r="J93" i="35"/>
  <c r="K93" i="35"/>
  <c r="L93" i="35"/>
  <c r="B94" i="35"/>
  <c r="C94" i="35"/>
  <c r="D94" i="35"/>
  <c r="E94" i="35"/>
  <c r="F94" i="35"/>
  <c r="G94" i="35"/>
  <c r="H94" i="35"/>
  <c r="I94" i="35"/>
  <c r="J94" i="35"/>
  <c r="K94" i="35"/>
  <c r="L94" i="35"/>
  <c r="C96" i="35"/>
  <c r="D96" i="35"/>
  <c r="E96" i="35"/>
  <c r="F96" i="35"/>
  <c r="G96" i="35"/>
  <c r="B97" i="35"/>
  <c r="C97" i="35"/>
  <c r="D97" i="35"/>
  <c r="E97" i="35"/>
  <c r="F97" i="35"/>
  <c r="G97" i="35"/>
  <c r="C121" i="35"/>
  <c r="D121" i="35"/>
  <c r="E121" i="35"/>
  <c r="F121" i="35"/>
  <c r="G121" i="35"/>
  <c r="H121" i="35"/>
  <c r="I121" i="35"/>
  <c r="J121" i="35"/>
  <c r="K121" i="35"/>
  <c r="L121" i="35"/>
  <c r="B122" i="35"/>
  <c r="C123" i="35"/>
  <c r="D123" i="35"/>
  <c r="E123" i="35"/>
  <c r="F123" i="35"/>
  <c r="G123" i="35"/>
  <c r="H123" i="35"/>
  <c r="I123" i="35"/>
  <c r="J123" i="35"/>
  <c r="K123" i="35"/>
  <c r="L123" i="35"/>
  <c r="C127" i="35"/>
  <c r="C124" i="35"/>
  <c r="D127" i="35"/>
  <c r="D124" i="35"/>
  <c r="E127" i="35"/>
  <c r="E124" i="35"/>
  <c r="F127" i="35"/>
  <c r="F124" i="35"/>
  <c r="G127" i="35"/>
  <c r="G124" i="35"/>
  <c r="H127" i="35"/>
  <c r="H124" i="35"/>
  <c r="I127" i="35"/>
  <c r="I124" i="35"/>
  <c r="J127" i="35"/>
  <c r="J124" i="35"/>
  <c r="K127" i="35"/>
  <c r="K124" i="35"/>
  <c r="L127" i="35"/>
  <c r="L124" i="35"/>
  <c r="B125" i="35"/>
  <c r="C125" i="35"/>
  <c r="D125" i="35"/>
  <c r="E125" i="35"/>
  <c r="F125" i="35"/>
  <c r="G125" i="35"/>
  <c r="H125" i="35"/>
  <c r="I125" i="35"/>
  <c r="J125" i="35"/>
  <c r="K125" i="35"/>
  <c r="L125" i="35"/>
  <c r="B129" i="35"/>
  <c r="B155" i="35"/>
  <c r="D158" i="35"/>
  <c r="E158" i="35"/>
  <c r="F158" i="35"/>
  <c r="G158" i="35"/>
  <c r="H158" i="35"/>
  <c r="I158" i="35"/>
  <c r="J158" i="35"/>
  <c r="K158" i="35"/>
  <c r="L158" i="35"/>
  <c r="M158" i="35"/>
  <c r="N158" i="35"/>
  <c r="O158" i="35"/>
  <c r="P158" i="35"/>
  <c r="Q158" i="35"/>
  <c r="R158" i="35"/>
  <c r="S158" i="35"/>
  <c r="T158" i="35"/>
  <c r="U158" i="35"/>
  <c r="V158" i="35"/>
  <c r="W158" i="35"/>
  <c r="X158" i="35"/>
  <c r="Y158" i="35"/>
  <c r="Z158" i="35"/>
  <c r="AA158" i="35"/>
  <c r="AB158" i="35"/>
  <c r="AC158" i="35"/>
  <c r="AD158" i="35"/>
  <c r="AE158" i="35"/>
  <c r="AF158" i="35"/>
  <c r="A159" i="35"/>
  <c r="B159" i="35"/>
  <c r="C160" i="35"/>
  <c r="D160" i="35"/>
  <c r="E160" i="35"/>
  <c r="F160" i="35"/>
  <c r="G160" i="35"/>
  <c r="H160" i="35"/>
  <c r="I160" i="35"/>
  <c r="J160" i="35"/>
  <c r="K160" i="35"/>
  <c r="L160" i="35"/>
  <c r="M160" i="35"/>
  <c r="N160" i="35"/>
  <c r="O160" i="35"/>
  <c r="P160" i="35"/>
  <c r="Q160" i="35"/>
  <c r="R160" i="35"/>
  <c r="S160" i="35"/>
  <c r="T160" i="35"/>
  <c r="U160" i="35"/>
  <c r="V160" i="35"/>
  <c r="W160" i="35"/>
  <c r="X160" i="35"/>
  <c r="Y160" i="35"/>
  <c r="Z160" i="35"/>
  <c r="AA160" i="35"/>
  <c r="AB160" i="35"/>
  <c r="AC160" i="35"/>
  <c r="AD160" i="35"/>
  <c r="AE160" i="35"/>
  <c r="AF160" i="35"/>
  <c r="C161" i="35"/>
  <c r="D161" i="35"/>
  <c r="E161" i="35"/>
  <c r="F161" i="35"/>
  <c r="G161" i="35"/>
  <c r="H161" i="35"/>
  <c r="I161" i="35"/>
  <c r="J161" i="35"/>
  <c r="K161" i="35"/>
  <c r="L161" i="35"/>
  <c r="M161" i="35"/>
  <c r="N161" i="35"/>
  <c r="O161" i="35"/>
  <c r="P161" i="35"/>
  <c r="Q161" i="35"/>
  <c r="R161" i="35"/>
  <c r="S161" i="35"/>
  <c r="T161" i="35"/>
  <c r="U161" i="35"/>
  <c r="V161" i="35"/>
  <c r="W161" i="35"/>
  <c r="X161" i="35"/>
  <c r="Y161" i="35"/>
  <c r="Z161" i="35"/>
  <c r="AA161" i="35"/>
  <c r="AB161" i="35"/>
  <c r="AC161" i="35"/>
  <c r="AD161" i="35"/>
  <c r="AE161" i="35"/>
  <c r="AF161" i="35"/>
  <c r="B162" i="35"/>
  <c r="C162" i="35"/>
  <c r="D162" i="35"/>
  <c r="E162" i="35"/>
  <c r="F162" i="35"/>
  <c r="G162" i="35"/>
  <c r="H162" i="35"/>
  <c r="I162" i="35"/>
  <c r="J162" i="35"/>
  <c r="K162" i="35"/>
  <c r="L162" i="35"/>
  <c r="M162" i="35"/>
  <c r="N162" i="35"/>
  <c r="O162" i="35"/>
  <c r="P162" i="35"/>
  <c r="Q162" i="35"/>
  <c r="R162" i="35"/>
  <c r="S162" i="35"/>
  <c r="T162" i="35"/>
  <c r="U162" i="35"/>
  <c r="V162" i="35"/>
  <c r="W162" i="35"/>
  <c r="X162" i="35"/>
  <c r="Y162" i="35"/>
  <c r="Z162" i="35"/>
  <c r="AA162" i="35"/>
  <c r="AB162" i="35"/>
  <c r="AC162" i="35"/>
  <c r="AD162" i="35"/>
  <c r="AE162" i="35"/>
  <c r="AF162" i="35"/>
  <c r="C165" i="35"/>
  <c r="D165" i="35"/>
  <c r="E165" i="35"/>
  <c r="F165" i="35"/>
  <c r="G165" i="35"/>
  <c r="H165" i="35"/>
  <c r="I165" i="35"/>
  <c r="J165" i="35"/>
  <c r="K165" i="35"/>
  <c r="L165" i="35"/>
  <c r="M165" i="35"/>
  <c r="N165" i="35"/>
  <c r="O165" i="35"/>
  <c r="P165" i="35"/>
  <c r="Q165" i="35"/>
  <c r="R165" i="35"/>
  <c r="S165" i="35"/>
  <c r="T165" i="35"/>
  <c r="U165" i="35"/>
  <c r="V165" i="35"/>
  <c r="W165" i="35"/>
  <c r="X165" i="35"/>
  <c r="Y165" i="35"/>
  <c r="Z165" i="35"/>
  <c r="AA165" i="35"/>
  <c r="AB165" i="35"/>
  <c r="AC165" i="35"/>
  <c r="AD165" i="35"/>
  <c r="AE165" i="35"/>
  <c r="AF165" i="35"/>
  <c r="C166" i="35"/>
  <c r="D166" i="35"/>
  <c r="E166" i="35"/>
  <c r="F166" i="35"/>
  <c r="G166" i="35"/>
  <c r="H166" i="35"/>
  <c r="I166" i="35"/>
  <c r="J166" i="35"/>
  <c r="K166" i="35"/>
  <c r="L166" i="35"/>
  <c r="M166" i="35"/>
  <c r="N166" i="35"/>
  <c r="O166" i="35"/>
  <c r="P166" i="35"/>
  <c r="Q166" i="35"/>
  <c r="R166" i="35"/>
  <c r="S166" i="35"/>
  <c r="T166" i="35"/>
  <c r="U166" i="35"/>
  <c r="V166" i="35"/>
  <c r="W166" i="35"/>
  <c r="X166" i="35"/>
  <c r="Y166" i="35"/>
  <c r="Z166" i="35"/>
  <c r="AA166" i="35"/>
  <c r="AB166" i="35"/>
  <c r="AC166" i="35"/>
  <c r="AD166" i="35"/>
  <c r="AE166" i="35"/>
  <c r="AF166" i="35"/>
  <c r="D167" i="35"/>
  <c r="E167" i="35"/>
  <c r="F167" i="35"/>
  <c r="G167" i="35"/>
  <c r="H167" i="35"/>
  <c r="I167" i="35"/>
  <c r="J167" i="35"/>
  <c r="K167" i="35"/>
  <c r="L167" i="35"/>
  <c r="M167" i="35"/>
  <c r="N167" i="35"/>
  <c r="O167" i="35"/>
  <c r="P167" i="35"/>
  <c r="Q167" i="35"/>
  <c r="R167" i="35"/>
  <c r="S167" i="35"/>
  <c r="T167" i="35"/>
  <c r="U167" i="35"/>
  <c r="V167" i="35"/>
  <c r="W167" i="35"/>
  <c r="X167" i="35"/>
  <c r="Y167" i="35"/>
  <c r="Z167" i="35"/>
  <c r="AA167" i="35"/>
  <c r="AB167" i="35"/>
  <c r="AC167" i="35"/>
  <c r="AD167" i="35"/>
  <c r="AE167" i="35"/>
  <c r="AF167" i="35"/>
  <c r="C168" i="35"/>
  <c r="D168" i="35"/>
  <c r="E168" i="35"/>
  <c r="F168" i="35"/>
  <c r="G168" i="35"/>
  <c r="H168" i="35"/>
  <c r="I168" i="35"/>
  <c r="J168" i="35"/>
  <c r="K168" i="35"/>
  <c r="L168" i="35"/>
  <c r="M168" i="35"/>
  <c r="N168" i="35"/>
  <c r="O168" i="35"/>
  <c r="P168" i="35"/>
  <c r="Q168" i="35"/>
  <c r="R168" i="35"/>
  <c r="S168" i="35"/>
  <c r="T168" i="35"/>
  <c r="U168" i="35"/>
  <c r="V168" i="35"/>
  <c r="W168" i="35"/>
  <c r="X168" i="35"/>
  <c r="Y168" i="35"/>
  <c r="Z168" i="35"/>
  <c r="AA168" i="35"/>
  <c r="AB168" i="35"/>
  <c r="AC168" i="35"/>
  <c r="AD168" i="35"/>
  <c r="AE168" i="35"/>
  <c r="AF168" i="35"/>
  <c r="B170" i="35"/>
  <c r="B171" i="35"/>
  <c r="B175" i="35"/>
  <c r="C175" i="35"/>
  <c r="D175" i="35"/>
  <c r="E175" i="35"/>
  <c r="F175" i="35"/>
  <c r="G175" i="35"/>
  <c r="H175" i="35"/>
  <c r="I175" i="35"/>
  <c r="J175" i="35"/>
  <c r="K175" i="35"/>
  <c r="L175" i="35"/>
  <c r="M175" i="35"/>
  <c r="N175" i="35"/>
  <c r="O175" i="35"/>
  <c r="P175" i="35"/>
  <c r="Q175" i="35"/>
  <c r="R175" i="35"/>
  <c r="S175" i="35"/>
  <c r="T175" i="35"/>
  <c r="U175" i="35"/>
  <c r="V175" i="35"/>
  <c r="W175" i="35"/>
  <c r="X175" i="35"/>
  <c r="Y175" i="35"/>
  <c r="Z175" i="35"/>
  <c r="AA175" i="35"/>
  <c r="AB175" i="35"/>
  <c r="AC175" i="35"/>
  <c r="AD175" i="35"/>
  <c r="AE175" i="35"/>
  <c r="AF175" i="35"/>
  <c r="B189" i="35"/>
  <c r="B190" i="35"/>
  <c r="B194" i="35"/>
  <c r="B200" i="35"/>
  <c r="B202" i="35"/>
  <c r="B209" i="35"/>
  <c r="B216" i="35"/>
  <c r="B213" i="35"/>
  <c r="C219" i="35"/>
  <c r="D219" i="35"/>
  <c r="E219" i="35"/>
  <c r="F219" i="35"/>
  <c r="G219" i="35"/>
  <c r="H219" i="35"/>
  <c r="I219" i="35"/>
  <c r="D221" i="35"/>
  <c r="E221" i="35"/>
  <c r="F221" i="35"/>
  <c r="G221" i="35"/>
  <c r="H221" i="35"/>
  <c r="I221" i="35"/>
  <c r="J223" i="35"/>
  <c r="C224" i="35"/>
  <c r="D224" i="35"/>
  <c r="E224" i="35"/>
  <c r="F224" i="35"/>
  <c r="G224" i="35"/>
  <c r="H224" i="35"/>
  <c r="I224" i="35"/>
  <c r="C225" i="35"/>
  <c r="D225" i="35"/>
  <c r="E225" i="35"/>
  <c r="F225" i="35"/>
  <c r="G225" i="35"/>
  <c r="H225" i="35"/>
  <c r="I225" i="35"/>
  <c r="B226" i="35"/>
  <c r="B227" i="35"/>
  <c r="C227" i="35"/>
  <c r="D227" i="35"/>
  <c r="E227" i="35"/>
  <c r="F227" i="35"/>
  <c r="G227" i="35"/>
  <c r="H227" i="35"/>
  <c r="I227" i="35"/>
  <c r="J227" i="35"/>
  <c r="B230" i="35"/>
  <c r="B232" i="35"/>
  <c r="C232" i="35"/>
  <c r="D232" i="35"/>
  <c r="E232" i="35"/>
  <c r="F232" i="35"/>
  <c r="G232" i="35"/>
  <c r="H232" i="35"/>
  <c r="I232" i="35"/>
  <c r="J232" i="35"/>
  <c r="B233" i="35"/>
  <c r="C233" i="35"/>
  <c r="D233" i="35"/>
  <c r="E233" i="35"/>
  <c r="F233" i="35"/>
  <c r="G233" i="35"/>
  <c r="H233" i="35"/>
  <c r="I233" i="35"/>
  <c r="B248" i="35"/>
  <c r="D261" i="35"/>
  <c r="E261" i="35"/>
  <c r="F261" i="35"/>
  <c r="G261" i="35"/>
  <c r="B262" i="35"/>
  <c r="B263" i="35"/>
  <c r="G263" i="35"/>
  <c r="C264" i="35"/>
  <c r="D264" i="35"/>
  <c r="E264" i="35"/>
  <c r="F264" i="35"/>
  <c r="G264" i="35"/>
  <c r="C265" i="35"/>
  <c r="D265" i="35"/>
  <c r="E265" i="35"/>
  <c r="F265" i="35"/>
  <c r="G265" i="35"/>
  <c r="C266" i="35"/>
  <c r="D266" i="35"/>
  <c r="E266" i="35"/>
  <c r="F266" i="35"/>
  <c r="G266" i="35"/>
  <c r="C267" i="35"/>
  <c r="D267" i="35"/>
  <c r="E267" i="35"/>
  <c r="F267" i="35"/>
  <c r="G267" i="35"/>
  <c r="B268" i="35"/>
  <c r="C268" i="35"/>
  <c r="D268" i="35"/>
  <c r="E268" i="35"/>
  <c r="F268" i="35"/>
  <c r="G268" i="35"/>
  <c r="B270" i="35"/>
  <c r="B271" i="35"/>
  <c r="C271" i="35"/>
  <c r="D271" i="35"/>
  <c r="E271" i="35"/>
  <c r="F271" i="35"/>
  <c r="G271" i="35"/>
  <c r="C272" i="35"/>
  <c r="D272" i="35"/>
  <c r="E272" i="35"/>
  <c r="F272" i="35"/>
  <c r="G272" i="35"/>
  <c r="H272" i="35"/>
  <c r="D277" i="35"/>
  <c r="E277" i="35"/>
  <c r="F277" i="35"/>
  <c r="G277" i="35"/>
  <c r="B278" i="35"/>
  <c r="B279" i="35"/>
  <c r="G279" i="35"/>
  <c r="C280" i="35"/>
  <c r="D280" i="35"/>
  <c r="E280" i="35"/>
  <c r="F280" i="35"/>
  <c r="G280" i="35"/>
  <c r="C281" i="35"/>
  <c r="D281" i="35"/>
  <c r="E281" i="35"/>
  <c r="F281" i="35"/>
  <c r="G281" i="35"/>
  <c r="C282" i="35"/>
  <c r="D282" i="35"/>
  <c r="E282" i="35"/>
  <c r="F282" i="35"/>
  <c r="G282" i="35"/>
  <c r="C283" i="35"/>
  <c r="D283" i="35"/>
  <c r="E283" i="35"/>
  <c r="F283" i="35"/>
  <c r="G283" i="35"/>
  <c r="B284" i="35"/>
  <c r="C284" i="35"/>
  <c r="D284" i="35"/>
  <c r="E284" i="35"/>
  <c r="F284" i="35"/>
  <c r="G284" i="35"/>
  <c r="B286" i="35"/>
  <c r="B287" i="35"/>
  <c r="C287" i="35"/>
  <c r="D287" i="35"/>
  <c r="E287" i="35"/>
  <c r="F287" i="35"/>
  <c r="G287" i="35"/>
  <c r="C288" i="35"/>
  <c r="D288" i="35"/>
  <c r="E288" i="35"/>
  <c r="F288" i="35"/>
  <c r="G288" i="35"/>
  <c r="H288" i="35"/>
  <c r="B4" i="52"/>
  <c r="C5" i="52"/>
  <c r="B7" i="52"/>
  <c r="C7" i="52"/>
  <c r="B9" i="52"/>
  <c r="B10" i="52"/>
  <c r="B11" i="52"/>
  <c r="B12" i="52"/>
  <c r="B14" i="52"/>
  <c r="B15" i="52"/>
  <c r="B16" i="52"/>
  <c r="B31" i="52"/>
  <c r="B4" i="31"/>
  <c r="B12" i="31"/>
  <c r="C12" i="31"/>
  <c r="B33" i="31"/>
  <c r="C33" i="31"/>
  <c r="C36" i="31"/>
  <c r="B37" i="31"/>
  <c r="C37" i="31"/>
  <c r="B38" i="31"/>
  <c r="C38" i="31"/>
  <c r="B39" i="31"/>
  <c r="C39" i="31"/>
  <c r="B40" i="31"/>
  <c r="C40" i="31"/>
  <c r="B41" i="31"/>
  <c r="C41" i="31"/>
  <c r="B42" i="31"/>
  <c r="C42" i="31"/>
  <c r="B43" i="31"/>
  <c r="C43" i="31"/>
  <c r="D43" i="31"/>
  <c r="C46" i="31"/>
  <c r="B47" i="31"/>
  <c r="C47" i="31"/>
  <c r="B48" i="31"/>
  <c r="C48" i="31"/>
  <c r="B49" i="31"/>
  <c r="C49" i="31"/>
  <c r="B50" i="31"/>
  <c r="C50" i="31"/>
  <c r="B51" i="31"/>
  <c r="C51" i="31"/>
  <c r="B52" i="31"/>
  <c r="C52" i="31"/>
  <c r="B53" i="31"/>
  <c r="C53" i="31"/>
  <c r="D53" i="31"/>
  <c r="C56" i="31"/>
  <c r="B57" i="31"/>
  <c r="C57" i="31"/>
  <c r="B58" i="31"/>
  <c r="C58" i="31"/>
  <c r="B59" i="31"/>
  <c r="C59" i="31"/>
  <c r="B60" i="31"/>
  <c r="C60" i="31"/>
  <c r="B61" i="31"/>
  <c r="C61" i="31"/>
  <c r="B62" i="31"/>
  <c r="C62" i="31"/>
  <c r="B63" i="31"/>
  <c r="C63" i="31"/>
  <c r="D63" i="31"/>
  <c r="B10" i="51"/>
  <c r="B12" i="51"/>
  <c r="B16" i="51"/>
  <c r="D12" i="51"/>
  <c r="B14" i="51"/>
  <c r="D14" i="51"/>
  <c r="B19" i="51"/>
  <c r="F19" i="51"/>
  <c r="B20" i="51"/>
  <c r="F20" i="51"/>
  <c r="B21" i="51"/>
  <c r="F21" i="51"/>
  <c r="B27" i="51"/>
  <c r="C27" i="51"/>
  <c r="B33" i="51"/>
  <c r="C33" i="51"/>
  <c r="A37" i="51"/>
  <c r="B37" i="51"/>
  <c r="C37" i="51"/>
  <c r="A43" i="51"/>
  <c r="B43" i="51"/>
  <c r="C43" i="51"/>
  <c r="C45" i="51"/>
  <c r="C47" i="51"/>
  <c r="B3" i="41"/>
  <c r="C3" i="41"/>
  <c r="D3" i="41"/>
  <c r="C4" i="41"/>
  <c r="D4" i="41"/>
  <c r="C5" i="41"/>
  <c r="D5" i="41"/>
  <c r="B6" i="41"/>
  <c r="C6" i="41"/>
  <c r="D6" i="41"/>
  <c r="C7" i="41"/>
  <c r="D7" i="41"/>
  <c r="C8" i="41"/>
  <c r="D8" i="41"/>
  <c r="C9" i="41"/>
  <c r="D9" i="41"/>
  <c r="D10" i="41"/>
  <c r="D11" i="41"/>
  <c r="C13" i="41"/>
  <c r="D13" i="41"/>
  <c r="C14" i="41"/>
  <c r="D14" i="41"/>
  <c r="B16" i="41"/>
  <c r="C16" i="41"/>
  <c r="D16" i="41"/>
  <c r="D19" i="41"/>
  <c r="C21" i="41"/>
  <c r="D21" i="41"/>
  <c r="C22" i="41"/>
  <c r="D22" i="41"/>
  <c r="C23" i="41"/>
  <c r="D23" i="41"/>
  <c r="C15" i="30"/>
  <c r="B18" i="30"/>
  <c r="C18" i="30"/>
  <c r="B19" i="30"/>
  <c r="B20" i="30"/>
  <c r="B21" i="30"/>
  <c r="B23" i="30"/>
  <c r="C19" i="30"/>
  <c r="C29" i="30"/>
  <c r="C20" i="30"/>
  <c r="C21" i="30"/>
  <c r="C23" i="30"/>
  <c r="B27" i="30"/>
  <c r="C27" i="30"/>
  <c r="B40" i="30"/>
  <c r="C40" i="30"/>
  <c r="B41" i="30"/>
  <c r="B51" i="30"/>
  <c r="B42" i="30"/>
  <c r="B43" i="30"/>
  <c r="B45" i="30"/>
  <c r="C41" i="30"/>
  <c r="C51" i="30"/>
  <c r="C42" i="30"/>
  <c r="C43" i="30"/>
  <c r="C45" i="30"/>
  <c r="B49" i="30"/>
  <c r="C49" i="30"/>
  <c r="B9" i="29"/>
  <c r="C9" i="29"/>
  <c r="D9" i="29"/>
  <c r="E9" i="29"/>
  <c r="F9" i="29"/>
  <c r="B11" i="29"/>
  <c r="C11" i="29"/>
  <c r="D11" i="29"/>
  <c r="E11" i="29"/>
  <c r="F11" i="29"/>
  <c r="B12" i="29"/>
  <c r="B15" i="29"/>
  <c r="B16" i="29"/>
  <c r="A30" i="29"/>
  <c r="E30" i="29"/>
  <c r="A31" i="29"/>
  <c r="E31" i="29"/>
  <c r="G31" i="29"/>
  <c r="H31" i="29"/>
  <c r="A32" i="29"/>
  <c r="E32" i="29"/>
  <c r="H32" i="29"/>
  <c r="D41" i="29"/>
  <c r="C42" i="29"/>
  <c r="B44" i="29"/>
  <c r="C44" i="29"/>
  <c r="D44" i="29"/>
  <c r="E44" i="29"/>
  <c r="B45" i="29"/>
  <c r="C45" i="29"/>
  <c r="D45" i="29"/>
  <c r="E45" i="29"/>
  <c r="E50" i="29"/>
  <c r="E51" i="29"/>
  <c r="E52" i="29"/>
  <c r="B55" i="29"/>
  <c r="C55" i="29"/>
  <c r="E55" i="29"/>
  <c r="B12" i="60"/>
  <c r="C12" i="60"/>
  <c r="D12" i="60"/>
  <c r="E12" i="60"/>
  <c r="F12" i="60"/>
  <c r="G12" i="60"/>
  <c r="H12" i="60"/>
  <c r="I12" i="60"/>
  <c r="B13" i="60"/>
  <c r="C13" i="60"/>
  <c r="D13" i="60"/>
  <c r="E13" i="60"/>
  <c r="F13" i="60"/>
  <c r="G13" i="60"/>
  <c r="H13" i="60"/>
  <c r="I13" i="60"/>
  <c r="B15" i="60"/>
  <c r="B16" i="60"/>
  <c r="B18" i="60"/>
  <c r="C18" i="60"/>
  <c r="D18" i="60"/>
  <c r="E18" i="60"/>
  <c r="F18" i="60"/>
  <c r="G18" i="60"/>
  <c r="H18" i="60"/>
  <c r="I18" i="60"/>
  <c r="B19" i="60"/>
  <c r="B21" i="60"/>
  <c r="C21" i="60"/>
  <c r="D21" i="60"/>
  <c r="E21" i="60"/>
  <c r="F21" i="60"/>
  <c r="G21" i="60"/>
  <c r="H21" i="60"/>
  <c r="I21" i="60"/>
  <c r="B22" i="60"/>
  <c r="B23" i="60"/>
  <c r="D26" i="60"/>
  <c r="E26" i="60"/>
  <c r="F26" i="60"/>
  <c r="G26" i="60"/>
  <c r="H26" i="60"/>
  <c r="I26" i="60"/>
  <c r="B28" i="60"/>
  <c r="C30" i="60"/>
  <c r="D30" i="60"/>
  <c r="E30" i="60"/>
  <c r="F30" i="60"/>
  <c r="G30" i="60"/>
  <c r="H30" i="60"/>
  <c r="I30" i="60"/>
  <c r="B31" i="60"/>
  <c r="C33" i="60"/>
  <c r="D33" i="60"/>
  <c r="E33" i="60"/>
  <c r="F33" i="60"/>
  <c r="G33" i="60"/>
  <c r="H33" i="60"/>
  <c r="I33" i="60"/>
  <c r="B34" i="60"/>
  <c r="B35" i="60"/>
  <c r="B44" i="60"/>
  <c r="C44" i="60"/>
  <c r="D44" i="60"/>
  <c r="E44" i="60"/>
  <c r="F44" i="60"/>
  <c r="G44" i="60"/>
  <c r="H44" i="60"/>
  <c r="I44" i="60"/>
  <c r="J44" i="60"/>
  <c r="B47" i="60"/>
  <c r="C47" i="60"/>
  <c r="D47" i="60"/>
  <c r="E47" i="60"/>
  <c r="F47" i="60"/>
  <c r="G47" i="60"/>
  <c r="H47" i="60"/>
  <c r="I47" i="60"/>
  <c r="J47" i="60"/>
  <c r="E62" i="60"/>
  <c r="F62" i="60"/>
  <c r="A63" i="60"/>
  <c r="B63" i="60"/>
  <c r="E63" i="60"/>
  <c r="F63" i="60"/>
  <c r="A64" i="60"/>
  <c r="B64" i="60"/>
  <c r="E64" i="60"/>
  <c r="F64" i="60"/>
  <c r="A65" i="60"/>
  <c r="B65" i="60"/>
  <c r="E65" i="60"/>
  <c r="F65" i="60"/>
  <c r="A66" i="60"/>
  <c r="B66" i="60"/>
  <c r="E66" i="60"/>
  <c r="F66" i="60"/>
  <c r="A67" i="60"/>
  <c r="B67" i="60"/>
  <c r="E67" i="60"/>
  <c r="F67" i="60"/>
  <c r="A68" i="60"/>
  <c r="B68" i="60"/>
  <c r="E68" i="60"/>
  <c r="F68" i="60"/>
  <c r="B73" i="60"/>
  <c r="C73" i="60"/>
  <c r="D73" i="60"/>
  <c r="E73" i="60"/>
  <c r="F73" i="60"/>
  <c r="G73" i="60"/>
  <c r="H73" i="60"/>
  <c r="I73" i="60"/>
  <c r="C74" i="60"/>
  <c r="D74" i="60"/>
  <c r="E74" i="60"/>
  <c r="F74" i="60"/>
  <c r="G74" i="60"/>
  <c r="H74" i="60"/>
  <c r="I74" i="60"/>
  <c r="C75" i="60"/>
  <c r="D75" i="60"/>
  <c r="E75" i="60"/>
  <c r="F75" i="60"/>
  <c r="G75" i="60"/>
  <c r="H75" i="60"/>
  <c r="I75" i="60"/>
  <c r="B76" i="60"/>
  <c r="B7" i="26"/>
  <c r="B16" i="26"/>
  <c r="C16" i="26"/>
  <c r="D16" i="26"/>
  <c r="E16" i="26"/>
  <c r="F16" i="26"/>
  <c r="B24" i="26"/>
  <c r="B25" i="26"/>
  <c r="B33" i="26"/>
  <c r="C33" i="26"/>
  <c r="B35" i="26"/>
  <c r="C35" i="26"/>
  <c r="B36" i="26"/>
  <c r="C36" i="26"/>
  <c r="E45" i="26"/>
  <c r="F45" i="26"/>
  <c r="E46" i="26"/>
  <c r="F46" i="26"/>
  <c r="E47" i="26"/>
  <c r="F47" i="26"/>
  <c r="E48" i="26"/>
  <c r="F48" i="26"/>
  <c r="E49" i="26"/>
  <c r="F49" i="26"/>
  <c r="B7" i="25"/>
  <c r="B9" i="25"/>
  <c r="B13" i="25"/>
  <c r="B15" i="25"/>
  <c r="B29" i="25"/>
  <c r="B30" i="25"/>
  <c r="D24" i="25"/>
  <c r="B25" i="25"/>
  <c r="C25" i="25"/>
  <c r="D25" i="25"/>
  <c r="E25" i="25"/>
  <c r="F25" i="25"/>
  <c r="G25" i="25"/>
  <c r="H25" i="25"/>
  <c r="I25" i="25"/>
  <c r="J25" i="25"/>
  <c r="K25" i="25"/>
  <c r="L25" i="25"/>
  <c r="B26" i="25"/>
  <c r="C26" i="25"/>
  <c r="D26" i="25"/>
  <c r="E26" i="25"/>
  <c r="F26" i="25"/>
  <c r="G26" i="25"/>
  <c r="H26" i="25"/>
  <c r="I26" i="25"/>
  <c r="J26" i="25"/>
  <c r="K26" i="25"/>
  <c r="L26" i="25"/>
  <c r="B27" i="25"/>
  <c r="C27" i="25"/>
  <c r="D27" i="25"/>
  <c r="E27" i="25"/>
  <c r="F27" i="25"/>
  <c r="G27" i="25"/>
  <c r="H27" i="25"/>
  <c r="I27" i="25"/>
  <c r="J27" i="25"/>
  <c r="K27" i="25"/>
  <c r="L27" i="25"/>
  <c r="D53" i="25"/>
  <c r="B54" i="25"/>
  <c r="C54" i="25"/>
  <c r="D54" i="25"/>
  <c r="E54" i="25"/>
  <c r="F54" i="25"/>
  <c r="G54" i="25"/>
  <c r="H54" i="25"/>
  <c r="B55" i="25"/>
  <c r="C55" i="25"/>
  <c r="D55" i="25"/>
  <c r="E55" i="25"/>
  <c r="F55" i="25"/>
  <c r="G55" i="25"/>
  <c r="H55" i="25"/>
  <c r="B56" i="25"/>
  <c r="C56" i="25"/>
  <c r="D56" i="25"/>
  <c r="E56" i="25"/>
  <c r="F56" i="25"/>
  <c r="G56" i="25"/>
  <c r="H56" i="25"/>
  <c r="B7" i="24"/>
  <c r="C10" i="24"/>
  <c r="D10" i="24"/>
  <c r="E10" i="24"/>
  <c r="F10" i="24"/>
  <c r="G10" i="24"/>
  <c r="H10" i="24"/>
  <c r="I10" i="24"/>
  <c r="J10" i="24"/>
  <c r="K10" i="24"/>
  <c r="L10" i="24"/>
  <c r="M10" i="24"/>
  <c r="N10" i="24"/>
  <c r="C11" i="24"/>
  <c r="D11" i="24"/>
  <c r="E11" i="24"/>
  <c r="F11" i="24"/>
  <c r="G11" i="24"/>
  <c r="H11" i="24"/>
  <c r="I11" i="24"/>
  <c r="J11" i="24"/>
  <c r="K11" i="24"/>
  <c r="L11" i="24"/>
  <c r="M11" i="24"/>
  <c r="N11" i="24"/>
  <c r="B13" i="24"/>
  <c r="B14" i="24"/>
  <c r="C16" i="24"/>
  <c r="D16" i="24"/>
  <c r="E16" i="24"/>
  <c r="F16" i="24"/>
  <c r="G16" i="24"/>
  <c r="H16" i="24"/>
  <c r="I16" i="24"/>
  <c r="J16" i="24"/>
  <c r="K16" i="24"/>
  <c r="L16" i="24"/>
  <c r="M16" i="24"/>
  <c r="N16" i="24"/>
  <c r="C17" i="24"/>
  <c r="D17" i="24"/>
  <c r="E17" i="24"/>
  <c r="F17" i="24"/>
  <c r="G17" i="24"/>
  <c r="H17" i="24"/>
  <c r="I17" i="24"/>
  <c r="J17" i="24"/>
  <c r="K17" i="24"/>
  <c r="L17" i="24"/>
  <c r="M17" i="24"/>
  <c r="N17" i="24"/>
  <c r="B18" i="24"/>
  <c r="B20" i="24"/>
  <c r="B22" i="24"/>
  <c r="B23" i="24"/>
  <c r="B25" i="24"/>
  <c r="C29" i="24"/>
  <c r="D29" i="24"/>
  <c r="E29" i="24"/>
  <c r="F29" i="24"/>
  <c r="G29" i="24"/>
  <c r="H29" i="24"/>
  <c r="I29" i="24"/>
  <c r="J29" i="24"/>
  <c r="K29" i="24"/>
  <c r="L29" i="24"/>
  <c r="B35" i="24"/>
  <c r="C35" i="24"/>
  <c r="D35" i="24"/>
  <c r="E35" i="24"/>
  <c r="F35" i="24"/>
  <c r="G35" i="24"/>
  <c r="H35" i="24"/>
  <c r="I35" i="24"/>
  <c r="J35" i="24"/>
  <c r="K35" i="24"/>
  <c r="L35" i="24"/>
  <c r="B36" i="24"/>
  <c r="C36" i="24"/>
  <c r="D36" i="24"/>
  <c r="E36" i="24"/>
  <c r="F36" i="24"/>
  <c r="G36" i="24"/>
  <c r="H36" i="24"/>
  <c r="I36" i="24"/>
  <c r="J36" i="24"/>
  <c r="K36" i="24"/>
  <c r="L36" i="24"/>
  <c r="B37" i="24"/>
  <c r="C37" i="24"/>
  <c r="D37" i="24"/>
  <c r="E37" i="24"/>
  <c r="F37" i="24"/>
  <c r="G37" i="24"/>
  <c r="H37" i="24"/>
  <c r="I37" i="24"/>
  <c r="J37" i="24"/>
  <c r="K37" i="24"/>
  <c r="L37" i="24"/>
  <c r="B40" i="24"/>
  <c r="B41" i="24"/>
  <c r="B42" i="24"/>
  <c r="B4" i="23"/>
  <c r="B5" i="23"/>
  <c r="B6" i="23"/>
  <c r="B13" i="23"/>
  <c r="B20" i="23"/>
  <c r="B28" i="23"/>
  <c r="B29" i="23"/>
  <c r="C46" i="23"/>
  <c r="D46" i="23"/>
  <c r="E46" i="23"/>
  <c r="F46" i="23"/>
  <c r="G46" i="23"/>
  <c r="H46" i="23"/>
  <c r="I46" i="23"/>
  <c r="J46" i="23"/>
  <c r="K46" i="23"/>
  <c r="L46" i="23"/>
  <c r="M46" i="23"/>
  <c r="N46" i="23"/>
  <c r="B47" i="23"/>
  <c r="C47" i="23"/>
  <c r="D47" i="23"/>
  <c r="E47" i="23"/>
  <c r="F47" i="23"/>
  <c r="G47" i="23"/>
  <c r="H47" i="23"/>
  <c r="I47" i="23"/>
  <c r="J47" i="23"/>
  <c r="K47" i="23"/>
  <c r="L47" i="23"/>
  <c r="M47" i="23"/>
  <c r="N47" i="23"/>
  <c r="B48" i="23"/>
  <c r="C48" i="23"/>
  <c r="D48" i="23"/>
  <c r="E48" i="23"/>
  <c r="F48" i="23"/>
  <c r="G48" i="23"/>
  <c r="H48" i="23"/>
  <c r="I48" i="23"/>
  <c r="J48" i="23"/>
  <c r="K48" i="23"/>
  <c r="L48" i="23"/>
  <c r="M48" i="23"/>
  <c r="N48" i="23"/>
  <c r="B65" i="23"/>
  <c r="B70" i="23"/>
  <c r="B77" i="23"/>
  <c r="B78" i="23"/>
  <c r="B87" i="23"/>
  <c r="E87" i="23"/>
  <c r="D87" i="23"/>
  <c r="A88" i="23"/>
  <c r="B88" i="23"/>
  <c r="C88" i="23"/>
  <c r="E88" i="23"/>
  <c r="D88" i="23"/>
  <c r="A89" i="23"/>
  <c r="B89" i="23"/>
  <c r="C89" i="23"/>
  <c r="E89" i="23"/>
  <c r="D89" i="23"/>
  <c r="A90" i="23"/>
  <c r="B90" i="23"/>
  <c r="C90" i="23"/>
  <c r="E90" i="23"/>
  <c r="D90" i="23"/>
  <c r="D91" i="23"/>
  <c r="B96" i="23"/>
  <c r="E96" i="23"/>
  <c r="C96" i="23"/>
  <c r="A97" i="23"/>
  <c r="B97" i="23"/>
  <c r="D97" i="23"/>
  <c r="E97" i="23"/>
  <c r="C97" i="23"/>
  <c r="A98" i="23"/>
  <c r="B98" i="23"/>
  <c r="D98" i="23"/>
  <c r="E98" i="23"/>
  <c r="C98" i="23"/>
  <c r="A99" i="23"/>
  <c r="B99" i="23"/>
  <c r="D99" i="23"/>
  <c r="E99" i="23"/>
  <c r="C99" i="23"/>
  <c r="D100" i="23"/>
  <c r="B111" i="23"/>
  <c r="D111" i="23"/>
  <c r="F111" i="23"/>
  <c r="A112" i="23"/>
  <c r="B112" i="23"/>
  <c r="D112" i="23"/>
  <c r="F112" i="23"/>
  <c r="A113" i="23"/>
  <c r="B113" i="23"/>
  <c r="F113" i="23"/>
  <c r="E113" i="23"/>
  <c r="D113" i="23"/>
  <c r="A114" i="23"/>
  <c r="B114" i="23"/>
  <c r="C114" i="23"/>
  <c r="F114" i="23"/>
  <c r="E114" i="23"/>
  <c r="D114" i="23"/>
  <c r="A115" i="23"/>
  <c r="B115" i="23"/>
  <c r="C115" i="23"/>
  <c r="F115" i="23"/>
  <c r="E115" i="23"/>
  <c r="D115" i="23"/>
  <c r="A116" i="23"/>
  <c r="B116" i="23"/>
  <c r="C116" i="23"/>
  <c r="F116" i="23"/>
  <c r="E116" i="23"/>
  <c r="D116" i="23"/>
  <c r="A117" i="23"/>
  <c r="B117" i="23"/>
  <c r="C117" i="23"/>
  <c r="F117" i="23"/>
  <c r="E117" i="23"/>
  <c r="D117" i="23"/>
  <c r="D118" i="23"/>
  <c r="B119" i="23"/>
  <c r="B126" i="23"/>
  <c r="C126" i="23"/>
  <c r="F126" i="23"/>
  <c r="A127" i="23"/>
  <c r="B127" i="23"/>
  <c r="C127" i="23"/>
  <c r="F127" i="23"/>
  <c r="A128" i="23"/>
  <c r="B128" i="23"/>
  <c r="D128" i="23"/>
  <c r="F128" i="23"/>
  <c r="E128" i="23"/>
  <c r="C128" i="23"/>
  <c r="A129" i="23"/>
  <c r="B129" i="23"/>
  <c r="D129" i="23"/>
  <c r="F129" i="23"/>
  <c r="E129" i="23"/>
  <c r="C129" i="23"/>
  <c r="A130" i="23"/>
  <c r="B130" i="23"/>
  <c r="D130" i="23"/>
  <c r="F130" i="23"/>
  <c r="E130" i="23"/>
  <c r="C130" i="23"/>
  <c r="A131" i="23"/>
  <c r="B131" i="23"/>
  <c r="D131" i="23"/>
  <c r="F131" i="23"/>
  <c r="E131" i="23"/>
  <c r="C131" i="23"/>
  <c r="A132" i="23"/>
  <c r="B132" i="23"/>
  <c r="D132" i="23"/>
  <c r="F132" i="23"/>
  <c r="E132" i="23"/>
  <c r="C132" i="23"/>
  <c r="D133" i="23"/>
  <c r="B134" i="23"/>
  <c r="B143" i="23"/>
  <c r="C143" i="23"/>
  <c r="B144" i="23"/>
  <c r="C144" i="23"/>
  <c r="A145" i="23"/>
  <c r="B145" i="23"/>
  <c r="C145" i="23"/>
  <c r="A146" i="23"/>
  <c r="B146" i="23"/>
  <c r="C146" i="23"/>
  <c r="A147" i="23"/>
  <c r="B147" i="23"/>
  <c r="C147" i="23"/>
  <c r="A148" i="23"/>
  <c r="B148" i="23"/>
  <c r="C148" i="23"/>
  <c r="A149" i="23"/>
  <c r="B149" i="23"/>
  <c r="C149" i="23"/>
  <c r="A150" i="23"/>
  <c r="B150" i="23"/>
  <c r="C150" i="23"/>
  <c r="A151" i="23"/>
  <c r="B151" i="23"/>
  <c r="C151" i="23"/>
  <c r="A152" i="23"/>
  <c r="B152" i="23"/>
  <c r="C152" i="23"/>
  <c r="A153" i="23"/>
  <c r="B153" i="23"/>
  <c r="C153" i="23"/>
  <c r="B156" i="23"/>
  <c r="C156" i="23"/>
  <c r="B165" i="23"/>
  <c r="C165" i="23"/>
  <c r="B166" i="23"/>
  <c r="C166" i="23"/>
  <c r="A167" i="23"/>
  <c r="B167" i="23"/>
  <c r="C167" i="23"/>
  <c r="A168" i="23"/>
  <c r="B168" i="23"/>
  <c r="C168" i="23"/>
  <c r="A169" i="23"/>
  <c r="B169" i="23"/>
  <c r="C169" i="23"/>
  <c r="A170" i="23"/>
  <c r="B170" i="23"/>
  <c r="C170" i="23"/>
  <c r="A171" i="23"/>
  <c r="B171" i="23"/>
  <c r="C171" i="23"/>
  <c r="A172" i="23"/>
  <c r="B172" i="23"/>
  <c r="C172" i="23"/>
  <c r="A173" i="23"/>
  <c r="B173" i="23"/>
  <c r="C173" i="23"/>
  <c r="A174" i="23"/>
  <c r="B174" i="23"/>
  <c r="C174" i="23"/>
  <c r="A175" i="23"/>
  <c r="B175" i="23"/>
  <c r="C175" i="23"/>
  <c r="B178" i="23"/>
  <c r="C178" i="23"/>
  <c r="B187" i="23"/>
  <c r="A188" i="23"/>
  <c r="B188" i="23"/>
  <c r="C188" i="23"/>
  <c r="A189" i="23"/>
  <c r="B189" i="23"/>
  <c r="C189" i="23"/>
  <c r="A190" i="23"/>
  <c r="B190" i="23"/>
  <c r="C190" i="23"/>
  <c r="A191" i="23"/>
  <c r="B191" i="23"/>
  <c r="C191" i="23"/>
  <c r="A192" i="23"/>
  <c r="B192" i="23"/>
  <c r="C192" i="23"/>
  <c r="A193" i="23"/>
  <c r="B193" i="23"/>
  <c r="C193" i="23"/>
  <c r="A194" i="23"/>
  <c r="B194" i="23"/>
  <c r="C194" i="23"/>
  <c r="A195" i="23"/>
  <c r="B195" i="23"/>
  <c r="C195" i="23"/>
  <c r="A196" i="23"/>
  <c r="B196" i="23"/>
  <c r="C196" i="23"/>
  <c r="A197" i="23"/>
  <c r="B197" i="23"/>
  <c r="C197" i="23"/>
  <c r="A198" i="23"/>
  <c r="B198" i="23"/>
  <c r="C198" i="23"/>
  <c r="A199" i="23"/>
  <c r="B199" i="23"/>
  <c r="C199" i="23"/>
  <c r="A200" i="23"/>
  <c r="B200" i="23"/>
  <c r="C200" i="23"/>
  <c r="A201" i="23"/>
  <c r="B201" i="23"/>
  <c r="C201" i="23"/>
  <c r="A202" i="23"/>
  <c r="B202" i="23"/>
  <c r="C202" i="23"/>
  <c r="A203" i="23"/>
  <c r="B203" i="23"/>
  <c r="C203" i="23"/>
  <c r="A204" i="23"/>
  <c r="B204" i="23"/>
  <c r="C204" i="23"/>
  <c r="A205" i="23"/>
  <c r="B205" i="23"/>
  <c r="C205" i="23"/>
  <c r="A206" i="23"/>
  <c r="B206" i="23"/>
  <c r="C206" i="23"/>
  <c r="A207" i="23"/>
  <c r="B207" i="23"/>
  <c r="C207" i="23"/>
  <c r="B210" i="23"/>
  <c r="B211" i="23"/>
  <c r="C215" i="23"/>
  <c r="D215" i="23"/>
  <c r="E215" i="23"/>
  <c r="F215" i="23"/>
  <c r="B220" i="23"/>
  <c r="C220" i="23"/>
  <c r="D225" i="23"/>
  <c r="E225" i="23"/>
  <c r="F225" i="23"/>
  <c r="G225" i="23"/>
  <c r="B228" i="23"/>
  <c r="B226" i="23"/>
  <c r="C227" i="23"/>
  <c r="D227" i="23"/>
  <c r="E227" i="23"/>
  <c r="F227" i="23"/>
  <c r="G227" i="23"/>
  <c r="G228" i="23"/>
  <c r="B232" i="23"/>
  <c r="B233" i="23"/>
  <c r="B8" i="22"/>
  <c r="B9" i="22"/>
  <c r="B10" i="22"/>
  <c r="B11" i="22"/>
  <c r="B12" i="22"/>
  <c r="B27" i="22"/>
  <c r="B31" i="22"/>
  <c r="B37" i="22"/>
  <c r="B41" i="22"/>
  <c r="C45" i="22"/>
  <c r="D45" i="22"/>
  <c r="E45" i="22"/>
  <c r="B48" i="22"/>
  <c r="B52" i="22"/>
  <c r="B55" i="22"/>
  <c r="B60" i="22"/>
  <c r="C60" i="22"/>
  <c r="B63" i="22"/>
  <c r="C63" i="22"/>
  <c r="B65" i="22"/>
  <c r="C65" i="22"/>
  <c r="B73" i="22"/>
  <c r="B78" i="22"/>
  <c r="B81" i="22"/>
  <c r="B82" i="22"/>
  <c r="B89" i="22"/>
  <c r="B103" i="22"/>
  <c r="B104" i="22"/>
  <c r="B105" i="22"/>
  <c r="C113" i="22"/>
  <c r="D113" i="22"/>
  <c r="E113" i="22"/>
  <c r="F113" i="22"/>
  <c r="G113" i="22"/>
  <c r="H113" i="22"/>
  <c r="I113" i="22"/>
  <c r="J113" i="22"/>
  <c r="K113" i="22"/>
  <c r="L113" i="22"/>
  <c r="M113" i="22"/>
  <c r="N113" i="22"/>
  <c r="O113" i="22"/>
  <c r="P113" i="22"/>
  <c r="Q113" i="22"/>
  <c r="R113" i="22"/>
  <c r="S113" i="22"/>
  <c r="T113" i="22"/>
  <c r="U113" i="22"/>
  <c r="V113" i="22"/>
  <c r="W113" i="22"/>
  <c r="X113" i="22"/>
  <c r="Y113" i="22"/>
  <c r="Z113" i="22"/>
  <c r="AA113" i="22"/>
  <c r="AB113" i="22"/>
  <c r="AC113" i="22"/>
  <c r="AD113" i="22"/>
  <c r="AE113" i="22"/>
  <c r="AF113" i="22"/>
  <c r="AG113" i="22"/>
  <c r="AH113" i="22"/>
  <c r="AI113" i="22"/>
  <c r="AJ113" i="22"/>
  <c r="AK113" i="22"/>
  <c r="AL113" i="22"/>
  <c r="AM113" i="22"/>
  <c r="AN113" i="22"/>
  <c r="AO113" i="22"/>
  <c r="AP113" i="22"/>
  <c r="B114" i="22"/>
  <c r="C114" i="22"/>
  <c r="D114" i="22"/>
  <c r="E114" i="22"/>
  <c r="F114" i="22"/>
  <c r="G114" i="22"/>
  <c r="H114" i="22"/>
  <c r="I114" i="22"/>
  <c r="J114" i="22"/>
  <c r="K114" i="22"/>
  <c r="L114" i="22"/>
  <c r="M114" i="22"/>
  <c r="N114" i="22"/>
  <c r="O114" i="22"/>
  <c r="P114" i="22"/>
  <c r="Q114" i="22"/>
  <c r="R114" i="22"/>
  <c r="S114" i="22"/>
  <c r="T114" i="22"/>
  <c r="U114" i="22"/>
  <c r="V114" i="22"/>
  <c r="W114" i="22"/>
  <c r="X114" i="22"/>
  <c r="Y114" i="22"/>
  <c r="Z114" i="22"/>
  <c r="AA114" i="22"/>
  <c r="AB114" i="22"/>
  <c r="AC114" i="22"/>
  <c r="AD114" i="22"/>
  <c r="AE114" i="22"/>
  <c r="AF114" i="22"/>
  <c r="AG114" i="22"/>
  <c r="AH114" i="22"/>
  <c r="AI114" i="22"/>
  <c r="AJ114" i="22"/>
  <c r="AK114" i="22"/>
  <c r="AL114" i="22"/>
  <c r="AM114" i="22"/>
  <c r="AN114" i="22"/>
  <c r="AO114" i="22"/>
  <c r="AP114" i="22"/>
  <c r="B115" i="22"/>
  <c r="C115" i="22"/>
  <c r="D115" i="22"/>
  <c r="E115" i="22"/>
  <c r="F115" i="22"/>
  <c r="G115" i="22"/>
  <c r="H115" i="22"/>
  <c r="I115" i="22"/>
  <c r="J115" i="22"/>
  <c r="K115" i="22"/>
  <c r="L115" i="22"/>
  <c r="M115" i="22"/>
  <c r="N115" i="22"/>
  <c r="O115" i="22"/>
  <c r="P115" i="22"/>
  <c r="Q115" i="22"/>
  <c r="R115" i="22"/>
  <c r="S115" i="22"/>
  <c r="T115" i="22"/>
  <c r="U115" i="22"/>
  <c r="V115" i="22"/>
  <c r="W115" i="22"/>
  <c r="X115" i="22"/>
  <c r="Y115" i="22"/>
  <c r="Z115" i="22"/>
  <c r="AA115" i="22"/>
  <c r="AB115" i="22"/>
  <c r="AC115" i="22"/>
  <c r="AD115" i="22"/>
  <c r="AE115" i="22"/>
  <c r="AF115" i="22"/>
  <c r="AG115" i="22"/>
  <c r="AH115" i="22"/>
  <c r="AI115" i="22"/>
  <c r="AJ115" i="22"/>
  <c r="AK115" i="22"/>
  <c r="AL115" i="22"/>
  <c r="AM115" i="22"/>
  <c r="AN115" i="22"/>
  <c r="AO115" i="22"/>
  <c r="AP115" i="22"/>
  <c r="B116" i="22"/>
  <c r="C116" i="22"/>
  <c r="D116" i="22"/>
  <c r="E116" i="22"/>
  <c r="F116" i="22"/>
  <c r="G116" i="22"/>
  <c r="H116" i="22"/>
  <c r="I116" i="22"/>
  <c r="J116" i="22"/>
  <c r="K116" i="22"/>
  <c r="L116" i="22"/>
  <c r="M116" i="22"/>
  <c r="N116" i="22"/>
  <c r="O116" i="22"/>
  <c r="P116" i="22"/>
  <c r="Q116" i="22"/>
  <c r="R116" i="22"/>
  <c r="S116" i="22"/>
  <c r="T116" i="22"/>
  <c r="U116" i="22"/>
  <c r="V116" i="22"/>
  <c r="W116" i="22"/>
  <c r="X116" i="22"/>
  <c r="Y116" i="22"/>
  <c r="Z116" i="22"/>
  <c r="AA116" i="22"/>
  <c r="AB116" i="22"/>
  <c r="AC116" i="22"/>
  <c r="AD116" i="22"/>
  <c r="AE116" i="22"/>
  <c r="AF116" i="22"/>
  <c r="AG116" i="22"/>
  <c r="AH116" i="22"/>
  <c r="AI116" i="22"/>
  <c r="AJ116" i="22"/>
  <c r="AK116" i="22"/>
  <c r="AL116" i="22"/>
  <c r="AM116" i="22"/>
  <c r="AN116" i="22"/>
  <c r="AO116" i="22"/>
  <c r="AP116" i="22"/>
  <c r="B119" i="22"/>
  <c r="F122" i="22"/>
  <c r="C128" i="22"/>
  <c r="D128" i="22"/>
  <c r="E128" i="22"/>
  <c r="F128" i="22"/>
  <c r="G128" i="22"/>
  <c r="H128" i="22"/>
  <c r="I128" i="22"/>
  <c r="J128" i="22"/>
  <c r="K128" i="22"/>
  <c r="L128" i="22"/>
  <c r="M128" i="22"/>
  <c r="N128" i="22"/>
  <c r="O128" i="22"/>
  <c r="P128" i="22"/>
  <c r="Q128" i="22"/>
  <c r="R128" i="22"/>
  <c r="S128" i="22"/>
  <c r="T128" i="22"/>
  <c r="U128" i="22"/>
  <c r="V128" i="22"/>
  <c r="W128" i="22"/>
  <c r="X128" i="22"/>
  <c r="Y128" i="22"/>
  <c r="Z128" i="22"/>
  <c r="AA128" i="22"/>
  <c r="AB128" i="22"/>
  <c r="AC128" i="22"/>
  <c r="AD128" i="22"/>
  <c r="AE128" i="22"/>
  <c r="AF128" i="22"/>
  <c r="AG128" i="22"/>
  <c r="AH128" i="22"/>
  <c r="AI128" i="22"/>
  <c r="AJ128" i="22"/>
  <c r="AK128" i="22"/>
  <c r="AL128" i="22"/>
  <c r="AM128" i="22"/>
  <c r="AN128" i="22"/>
  <c r="AO128" i="22"/>
  <c r="AP128" i="22"/>
  <c r="B129" i="22"/>
  <c r="C129" i="22"/>
  <c r="D129" i="22"/>
  <c r="E129" i="22"/>
  <c r="F129" i="22"/>
  <c r="G129" i="22"/>
  <c r="H129" i="22"/>
  <c r="I129" i="22"/>
  <c r="J129" i="22"/>
  <c r="K129" i="22"/>
  <c r="L129" i="22"/>
  <c r="M129" i="22"/>
  <c r="N129" i="22"/>
  <c r="O129" i="22"/>
  <c r="P129" i="22"/>
  <c r="Q129" i="22"/>
  <c r="R129" i="22"/>
  <c r="S129" i="22"/>
  <c r="T129" i="22"/>
  <c r="U129" i="22"/>
  <c r="V129" i="22"/>
  <c r="W129" i="22"/>
  <c r="X129" i="22"/>
  <c r="Y129" i="22"/>
  <c r="Z129" i="22"/>
  <c r="AA129" i="22"/>
  <c r="AB129" i="22"/>
  <c r="AC129" i="22"/>
  <c r="AD129" i="22"/>
  <c r="AE129" i="22"/>
  <c r="AF129" i="22"/>
  <c r="AG129" i="22"/>
  <c r="AH129" i="22"/>
  <c r="AI129" i="22"/>
  <c r="AJ129" i="22"/>
  <c r="AK129" i="22"/>
  <c r="AL129" i="22"/>
  <c r="AM129" i="22"/>
  <c r="AN129" i="22"/>
  <c r="AO129" i="22"/>
  <c r="AP129" i="22"/>
  <c r="B130" i="22"/>
  <c r="C130" i="22"/>
  <c r="D130" i="22"/>
  <c r="E130" i="22"/>
  <c r="F130" i="22"/>
  <c r="G130" i="22"/>
  <c r="H130" i="22"/>
  <c r="I130" i="22"/>
  <c r="J130" i="22"/>
  <c r="K130" i="22"/>
  <c r="L130" i="22"/>
  <c r="M130" i="22"/>
  <c r="N130" i="22"/>
  <c r="O130" i="22"/>
  <c r="P130" i="22"/>
  <c r="Q130" i="22"/>
  <c r="R130" i="22"/>
  <c r="S130" i="22"/>
  <c r="T130" i="22"/>
  <c r="U130" i="22"/>
  <c r="V130" i="22"/>
  <c r="W130" i="22"/>
  <c r="X130" i="22"/>
  <c r="Y130" i="22"/>
  <c r="Z130" i="22"/>
  <c r="AA130" i="22"/>
  <c r="AB130" i="22"/>
  <c r="AC130" i="22"/>
  <c r="AD130" i="22"/>
  <c r="AE130" i="22"/>
  <c r="AF130" i="22"/>
  <c r="AG130" i="22"/>
  <c r="AH130" i="22"/>
  <c r="AI130" i="22"/>
  <c r="AJ130" i="22"/>
  <c r="AK130" i="22"/>
  <c r="AL130" i="22"/>
  <c r="AM130" i="22"/>
  <c r="AN130" i="22"/>
  <c r="AO130" i="22"/>
  <c r="AP130" i="22"/>
  <c r="B131" i="22"/>
  <c r="C131" i="22"/>
  <c r="D131" i="22"/>
  <c r="E131" i="22"/>
  <c r="F131" i="22"/>
  <c r="G131" i="22"/>
  <c r="H131" i="22"/>
  <c r="I131" i="22"/>
  <c r="J131" i="22"/>
  <c r="K131" i="22"/>
  <c r="L131" i="22"/>
  <c r="M131" i="22"/>
  <c r="N131" i="22"/>
  <c r="O131" i="22"/>
  <c r="P131" i="22"/>
  <c r="Q131" i="22"/>
  <c r="R131" i="22"/>
  <c r="S131" i="22"/>
  <c r="T131" i="22"/>
  <c r="U131" i="22"/>
  <c r="V131" i="22"/>
  <c r="W131" i="22"/>
  <c r="X131" i="22"/>
  <c r="Y131" i="22"/>
  <c r="Z131" i="22"/>
  <c r="AA131" i="22"/>
  <c r="AB131" i="22"/>
  <c r="AC131" i="22"/>
  <c r="AD131" i="22"/>
  <c r="AE131" i="22"/>
  <c r="AF131" i="22"/>
  <c r="AG131" i="22"/>
  <c r="AH131" i="22"/>
  <c r="AI131" i="22"/>
  <c r="AJ131" i="22"/>
  <c r="AK131" i="22"/>
  <c r="AL131" i="22"/>
  <c r="AM131" i="22"/>
  <c r="AN131" i="22"/>
  <c r="AO131" i="22"/>
  <c r="AP131" i="22"/>
  <c r="B134" i="22"/>
  <c r="B5" i="21"/>
  <c r="C5" i="21"/>
  <c r="D5" i="21"/>
  <c r="B11" i="21"/>
  <c r="C11" i="21"/>
  <c r="D11" i="21"/>
  <c r="B12" i="21"/>
  <c r="C12" i="21"/>
  <c r="D12" i="21"/>
  <c r="B18" i="21"/>
  <c r="C18" i="21"/>
  <c r="D18" i="21"/>
  <c r="B24" i="21"/>
  <c r="C24" i="21"/>
  <c r="D24" i="21"/>
  <c r="B29" i="21"/>
  <c r="B31" i="21"/>
  <c r="C31" i="21"/>
  <c r="B32" i="21"/>
  <c r="D29" i="21"/>
  <c r="E29" i="21"/>
  <c r="F29" i="21"/>
  <c r="D30" i="21"/>
  <c r="E30" i="21"/>
  <c r="F30" i="21"/>
  <c r="B35" i="21"/>
  <c r="B36" i="21"/>
  <c r="B42" i="21"/>
  <c r="B45" i="21"/>
  <c r="D50" i="21"/>
  <c r="E50" i="21"/>
  <c r="F50" i="21"/>
  <c r="D51" i="21"/>
  <c r="E51" i="21"/>
  <c r="F51" i="21"/>
  <c r="B58" i="21"/>
  <c r="C58" i="21"/>
  <c r="D58" i="21"/>
  <c r="E58" i="21"/>
  <c r="F58" i="21"/>
  <c r="G58" i="21"/>
  <c r="B59" i="21"/>
  <c r="C59" i="21"/>
  <c r="D59" i="21"/>
  <c r="E59" i="21"/>
  <c r="F59" i="21"/>
  <c r="G59" i="21"/>
  <c r="B64" i="21"/>
  <c r="C64" i="21"/>
  <c r="D64" i="21"/>
  <c r="E64" i="21"/>
  <c r="F64" i="21"/>
  <c r="G64" i="21"/>
  <c r="B65" i="21"/>
  <c r="C65" i="21"/>
  <c r="D65" i="21"/>
  <c r="E65" i="21"/>
  <c r="F65" i="21"/>
  <c r="G65" i="21"/>
  <c r="B71" i="21"/>
  <c r="C71" i="21"/>
  <c r="F76" i="21"/>
  <c r="B78" i="21"/>
  <c r="B84" i="21"/>
  <c r="B90" i="21"/>
  <c r="B9" i="57"/>
  <c r="C9" i="57"/>
  <c r="D9" i="57"/>
  <c r="E9" i="57"/>
  <c r="F9" i="57"/>
  <c r="B12" i="57"/>
  <c r="C12" i="57"/>
  <c r="D12" i="57"/>
  <c r="E12" i="57"/>
  <c r="F12" i="57"/>
  <c r="B14" i="57"/>
  <c r="C14" i="57"/>
  <c r="D14" i="57"/>
  <c r="E14" i="57"/>
  <c r="F14" i="57"/>
  <c r="B16" i="57"/>
  <c r="C16" i="57"/>
  <c r="D16" i="57"/>
  <c r="E16" i="57"/>
  <c r="F16" i="57"/>
  <c r="B18" i="57"/>
  <c r="C18" i="57"/>
  <c r="D18" i="57"/>
  <c r="E18" i="57"/>
  <c r="F18" i="57"/>
  <c r="B31" i="57"/>
  <c r="C31" i="57"/>
  <c r="D31" i="57"/>
  <c r="E31" i="57"/>
  <c r="F31" i="57"/>
  <c r="B39" i="57"/>
  <c r="C39" i="57"/>
  <c r="D39" i="57"/>
  <c r="E39" i="57"/>
  <c r="F39" i="57"/>
  <c r="B43" i="57"/>
  <c r="C43" i="57"/>
  <c r="D43" i="57"/>
  <c r="E43" i="57"/>
  <c r="F43" i="57"/>
  <c r="B44" i="57"/>
  <c r="C44" i="57"/>
  <c r="D44" i="57"/>
  <c r="E44" i="57"/>
  <c r="F44" i="57"/>
  <c r="B45" i="57"/>
  <c r="C45" i="57"/>
  <c r="D45" i="57"/>
  <c r="E45" i="57"/>
  <c r="F45" i="57"/>
  <c r="C46" i="57"/>
  <c r="D46" i="57"/>
  <c r="E46" i="57"/>
  <c r="F46" i="57"/>
  <c r="B47" i="57"/>
  <c r="C47" i="57"/>
  <c r="D47" i="57"/>
  <c r="E47" i="57"/>
  <c r="F47" i="57"/>
  <c r="B50" i="57"/>
  <c r="C50" i="57"/>
  <c r="D50" i="57"/>
  <c r="E50" i="57"/>
  <c r="F50" i="57"/>
  <c r="B51" i="57"/>
  <c r="C51" i="57"/>
  <c r="E51" i="57"/>
  <c r="F51" i="57"/>
  <c r="B54" i="57"/>
  <c r="C54" i="57"/>
  <c r="D54" i="57"/>
  <c r="E54" i="57"/>
  <c r="F54" i="57"/>
  <c r="B58" i="57"/>
  <c r="C58" i="57"/>
  <c r="D58" i="57"/>
  <c r="E58" i="57"/>
  <c r="F58" i="57"/>
  <c r="B61" i="57"/>
  <c r="C61" i="57"/>
  <c r="D61" i="57"/>
  <c r="E61" i="57"/>
  <c r="F61" i="57"/>
  <c r="B62" i="57"/>
  <c r="C62" i="57"/>
  <c r="D62" i="57"/>
  <c r="E62" i="57"/>
  <c r="F62" i="57"/>
  <c r="B63" i="57"/>
  <c r="C63" i="57"/>
  <c r="D63" i="57"/>
  <c r="E63" i="57"/>
  <c r="F63" i="57"/>
  <c r="B65" i="57"/>
  <c r="C65" i="57"/>
  <c r="D65" i="57"/>
  <c r="E65" i="57"/>
  <c r="F65" i="57"/>
  <c r="B66" i="57"/>
  <c r="C66" i="57"/>
  <c r="D66" i="57"/>
  <c r="E66" i="57"/>
  <c r="F66" i="57"/>
  <c r="B68" i="57"/>
  <c r="C68" i="57"/>
  <c r="D68" i="57"/>
  <c r="E68" i="57"/>
  <c r="F68" i="57"/>
  <c r="B69" i="57"/>
  <c r="C69" i="57"/>
  <c r="D69" i="57"/>
  <c r="E69" i="57"/>
  <c r="F69" i="57"/>
  <c r="B70" i="57"/>
  <c r="C70" i="57"/>
  <c r="D70" i="57"/>
  <c r="E70" i="57"/>
  <c r="F70" i="57"/>
  <c r="B71" i="57"/>
  <c r="C71" i="57"/>
  <c r="D71" i="57"/>
  <c r="E71" i="57"/>
  <c r="F71" i="57"/>
  <c r="B72" i="57"/>
  <c r="C72" i="57"/>
  <c r="D72" i="57"/>
  <c r="E72" i="57"/>
  <c r="F72" i="57"/>
  <c r="B73" i="57"/>
  <c r="C73" i="57"/>
  <c r="D73" i="57"/>
  <c r="E73" i="57"/>
  <c r="F73" i="57"/>
  <c r="B74" i="57"/>
  <c r="C74" i="57"/>
  <c r="D74" i="57"/>
  <c r="E74" i="57"/>
  <c r="F74" i="57"/>
  <c r="B75" i="57"/>
  <c r="C75" i="57"/>
  <c r="D75" i="57"/>
  <c r="E75" i="57"/>
  <c r="F75" i="57"/>
  <c r="B76" i="57"/>
  <c r="C76" i="57"/>
  <c r="D76" i="57"/>
  <c r="E76" i="57"/>
  <c r="F76" i="57"/>
  <c r="B78" i="57"/>
  <c r="C78" i="57"/>
  <c r="D78" i="57"/>
  <c r="E78" i="57"/>
  <c r="F78" i="57"/>
  <c r="B83" i="57"/>
  <c r="C83" i="57"/>
  <c r="D83" i="57"/>
  <c r="E83" i="57"/>
  <c r="F83" i="57"/>
  <c r="B85" i="57"/>
  <c r="C85" i="57"/>
  <c r="D85" i="57"/>
  <c r="E85" i="57"/>
  <c r="F85" i="57"/>
  <c r="B87" i="57"/>
  <c r="C87" i="57"/>
  <c r="D87" i="57"/>
  <c r="E87" i="57"/>
  <c r="F87" i="57"/>
  <c r="B89" i="57"/>
  <c r="C89" i="57"/>
  <c r="D89" i="57"/>
  <c r="E89" i="57"/>
  <c r="F89" i="57"/>
  <c r="B90" i="57"/>
  <c r="C90" i="57"/>
  <c r="D90" i="57"/>
  <c r="E90" i="57"/>
  <c r="F90" i="57"/>
  <c r="B91" i="57"/>
  <c r="C91" i="57"/>
  <c r="D91" i="57"/>
  <c r="E91" i="57"/>
  <c r="F91" i="57"/>
  <c r="B92" i="57"/>
  <c r="C92" i="57"/>
  <c r="D92" i="57"/>
  <c r="E92" i="57"/>
  <c r="F92" i="57"/>
  <c r="B93" i="57"/>
  <c r="C93" i="57"/>
  <c r="D93" i="57"/>
  <c r="E93" i="57"/>
  <c r="F93" i="57"/>
  <c r="C95" i="57"/>
  <c r="D95" i="57"/>
  <c r="E95" i="57"/>
  <c r="C99" i="57"/>
  <c r="D99" i="57"/>
  <c r="E99" i="57"/>
  <c r="F99" i="57"/>
  <c r="F100" i="57"/>
  <c r="F101" i="57"/>
  <c r="F102" i="57"/>
  <c r="B104" i="57"/>
  <c r="C104" i="57"/>
  <c r="D104" i="57"/>
  <c r="E104" i="57"/>
  <c r="F104" i="57"/>
  <c r="B105" i="57"/>
  <c r="C105" i="57"/>
  <c r="D105" i="57"/>
  <c r="E105" i="57"/>
  <c r="F105" i="57"/>
  <c r="B107" i="57"/>
  <c r="C107" i="57"/>
  <c r="D107" i="57"/>
  <c r="E107" i="57"/>
  <c r="F107" i="57"/>
  <c r="B108" i="57"/>
  <c r="C108" i="57"/>
  <c r="D108" i="57"/>
  <c r="E108" i="57"/>
  <c r="F108" i="57"/>
  <c r="B109" i="57"/>
  <c r="C109" i="57"/>
  <c r="D109" i="57"/>
  <c r="E109" i="57"/>
  <c r="F109" i="57"/>
  <c r="B112" i="57"/>
  <c r="C112" i="57"/>
  <c r="D112" i="57"/>
  <c r="E112" i="57"/>
  <c r="F112" i="57"/>
  <c r="B113" i="57"/>
  <c r="C113" i="57"/>
  <c r="D113" i="57"/>
  <c r="E113" i="57"/>
  <c r="F113" i="57"/>
  <c r="B114" i="57"/>
  <c r="C114" i="57"/>
  <c r="D114" i="57"/>
  <c r="E114" i="57"/>
  <c r="F114" i="57"/>
  <c r="C117" i="57"/>
  <c r="D117" i="57"/>
  <c r="E117" i="57"/>
  <c r="F117" i="57"/>
  <c r="C118" i="57"/>
  <c r="D118" i="57"/>
  <c r="E118" i="57"/>
  <c r="F118" i="57"/>
  <c r="B120" i="57"/>
  <c r="C120" i="57"/>
  <c r="D120" i="57"/>
  <c r="E120" i="57"/>
  <c r="F120" i="57"/>
  <c r="B122" i="57"/>
  <c r="C122" i="57"/>
  <c r="D122" i="57"/>
  <c r="E122" i="57"/>
  <c r="F122" i="57"/>
  <c r="C123" i="57"/>
  <c r="D123" i="57"/>
  <c r="E123" i="57"/>
  <c r="F123" i="57"/>
  <c r="B125" i="57"/>
  <c r="B126" i="57"/>
  <c r="B130" i="57"/>
  <c r="C130" i="57"/>
  <c r="D130" i="57"/>
  <c r="E130" i="57"/>
  <c r="F130" i="57"/>
  <c r="B131" i="57"/>
  <c r="C131" i="57"/>
  <c r="D131" i="57"/>
  <c r="E131" i="57"/>
  <c r="F131" i="57"/>
  <c r="B134" i="57"/>
  <c r="C134" i="57"/>
  <c r="D134" i="57"/>
  <c r="E134" i="57"/>
  <c r="F134" i="57"/>
  <c r="B136" i="57"/>
  <c r="C136" i="57"/>
  <c r="D136" i="57"/>
  <c r="E136" i="57"/>
  <c r="F136" i="57"/>
  <c r="B137" i="57"/>
  <c r="C137" i="57"/>
  <c r="D137" i="57"/>
  <c r="E137" i="57"/>
  <c r="F137" i="57"/>
  <c r="B138" i="57"/>
  <c r="C138" i="57"/>
  <c r="D138" i="57"/>
  <c r="E138" i="57"/>
  <c r="F138" i="57"/>
  <c r="B140" i="57"/>
  <c r="C140" i="57"/>
  <c r="D140" i="57"/>
  <c r="E140" i="57"/>
  <c r="F140" i="57"/>
  <c r="B141" i="57"/>
  <c r="C141" i="57"/>
  <c r="D141" i="57"/>
  <c r="E141" i="57"/>
  <c r="F141" i="57"/>
  <c r="B142" i="57"/>
  <c r="C142" i="57"/>
  <c r="D142" i="57"/>
  <c r="E142" i="57"/>
  <c r="F142" i="57"/>
  <c r="B143" i="57"/>
  <c r="C143" i="57"/>
  <c r="D143" i="57"/>
  <c r="E143" i="57"/>
  <c r="F143" i="57"/>
  <c r="B144" i="57"/>
  <c r="C144" i="57"/>
  <c r="D144" i="57"/>
  <c r="E144" i="57"/>
  <c r="F144" i="57"/>
  <c r="B146" i="57"/>
  <c r="C146" i="57"/>
  <c r="D146" i="57"/>
  <c r="E146" i="57"/>
  <c r="F146" i="57"/>
  <c r="B147" i="57"/>
  <c r="C147" i="57"/>
  <c r="D147" i="57"/>
  <c r="E147" i="57"/>
  <c r="F147" i="57"/>
  <c r="B148" i="57"/>
  <c r="C148" i="57"/>
  <c r="D148" i="57"/>
  <c r="E148" i="57"/>
  <c r="F148" i="57"/>
  <c r="B149" i="57"/>
  <c r="C149" i="57"/>
  <c r="D149" i="57"/>
  <c r="E149" i="57"/>
  <c r="F149" i="57"/>
  <c r="C156" i="57"/>
  <c r="D156" i="57"/>
  <c r="E156" i="57"/>
  <c r="F156" i="57"/>
  <c r="G156" i="57"/>
  <c r="H156" i="57"/>
  <c r="B159" i="57"/>
  <c r="C159" i="57"/>
  <c r="D159" i="57"/>
  <c r="E159" i="57"/>
  <c r="F159" i="57"/>
  <c r="B160" i="57"/>
  <c r="C160" i="57"/>
  <c r="D160" i="57"/>
  <c r="E160" i="57"/>
  <c r="F160" i="57"/>
  <c r="G160" i="57"/>
  <c r="H160" i="57"/>
  <c r="B163" i="57"/>
  <c r="C163" i="57"/>
  <c r="D163" i="57"/>
  <c r="E163" i="57"/>
  <c r="F163" i="57"/>
  <c r="G163" i="57"/>
  <c r="H163" i="57"/>
  <c r="B165" i="57"/>
  <c r="C165" i="57"/>
  <c r="D165" i="57"/>
  <c r="E165" i="57"/>
  <c r="F165" i="57"/>
  <c r="G165" i="57"/>
  <c r="H165" i="57"/>
  <c r="B166" i="57"/>
  <c r="C166" i="57"/>
  <c r="D166" i="57"/>
  <c r="E166" i="57"/>
  <c r="F166" i="57"/>
  <c r="B167" i="57"/>
  <c r="C167" i="57"/>
  <c r="D167" i="57"/>
  <c r="E167" i="57"/>
  <c r="F167" i="57"/>
  <c r="G167" i="57"/>
  <c r="H167" i="57"/>
  <c r="B171" i="57"/>
  <c r="C171" i="57"/>
  <c r="D171" i="57"/>
  <c r="E171" i="57"/>
  <c r="F171" i="57"/>
  <c r="G171" i="57"/>
  <c r="H171" i="57"/>
  <c r="B174" i="57"/>
  <c r="C174" i="57"/>
  <c r="D174" i="57"/>
  <c r="E174" i="57"/>
  <c r="F174" i="57"/>
  <c r="G174" i="57"/>
  <c r="H174" i="57"/>
  <c r="B176" i="57"/>
  <c r="C176" i="57"/>
  <c r="D176" i="57"/>
  <c r="E176" i="57"/>
  <c r="F176" i="57"/>
  <c r="G176" i="57"/>
  <c r="H176" i="57"/>
  <c r="B179" i="57"/>
  <c r="C179" i="57"/>
  <c r="D179" i="57"/>
  <c r="E179" i="57"/>
  <c r="F179" i="57"/>
  <c r="B180" i="57"/>
  <c r="C180" i="57"/>
  <c r="D180" i="57"/>
  <c r="E180" i="57"/>
  <c r="F180" i="57"/>
  <c r="G180" i="57"/>
  <c r="H180" i="57"/>
  <c r="B184" i="57"/>
  <c r="C184" i="57"/>
  <c r="D184" i="57"/>
  <c r="E184" i="57"/>
  <c r="F184" i="57"/>
  <c r="G184" i="57"/>
  <c r="H184" i="57"/>
  <c r="B185" i="57"/>
  <c r="C185" i="57"/>
  <c r="D185" i="57"/>
  <c r="E185" i="57"/>
  <c r="F185" i="57"/>
  <c r="G185" i="57"/>
  <c r="H185" i="57"/>
  <c r="B191" i="57"/>
  <c r="C191" i="57"/>
  <c r="D191" i="57"/>
  <c r="E191" i="57"/>
  <c r="F191" i="57"/>
  <c r="G191" i="57"/>
  <c r="B192" i="57"/>
  <c r="C192" i="57"/>
  <c r="D192" i="57"/>
  <c r="E192" i="57"/>
  <c r="F192" i="57"/>
  <c r="G192" i="57"/>
  <c r="H192" i="57"/>
  <c r="C194" i="57"/>
  <c r="D194" i="57"/>
  <c r="E194" i="57"/>
  <c r="F194" i="57"/>
  <c r="G194" i="57"/>
  <c r="H194" i="57"/>
  <c r="B196" i="57"/>
  <c r="C196" i="57"/>
  <c r="D196" i="57"/>
  <c r="E196" i="57"/>
  <c r="F196" i="57"/>
  <c r="G196" i="57"/>
  <c r="B197" i="57"/>
  <c r="C197" i="57"/>
  <c r="D197" i="57"/>
  <c r="E197" i="57"/>
  <c r="F197" i="57"/>
  <c r="G197" i="57"/>
  <c r="E198" i="57"/>
  <c r="F198" i="57"/>
  <c r="H198" i="57"/>
  <c r="B199" i="57"/>
  <c r="C199" i="57"/>
  <c r="D199" i="57"/>
  <c r="E199" i="57"/>
  <c r="F199" i="57"/>
  <c r="G199" i="57"/>
  <c r="H199" i="57"/>
  <c r="C200" i="57"/>
  <c r="D200" i="57"/>
  <c r="E200" i="57"/>
  <c r="F200" i="57"/>
  <c r="B201" i="57"/>
  <c r="C201" i="57"/>
  <c r="D201" i="57"/>
  <c r="E201" i="57"/>
  <c r="F201" i="57"/>
  <c r="G201" i="57"/>
  <c r="H201" i="57"/>
  <c r="B205" i="57"/>
  <c r="C205" i="57"/>
  <c r="D205" i="57"/>
  <c r="E205" i="57"/>
  <c r="F205" i="57"/>
  <c r="G205" i="57"/>
  <c r="H205" i="57"/>
  <c r="C207" i="57"/>
  <c r="D207" i="57"/>
  <c r="E207" i="57"/>
  <c r="F207" i="57"/>
  <c r="G207" i="57"/>
  <c r="H207" i="57"/>
  <c r="B209" i="57"/>
  <c r="C209" i="57"/>
  <c r="D209" i="57"/>
  <c r="E209" i="57"/>
  <c r="F209" i="57"/>
  <c r="G209" i="57"/>
  <c r="H209" i="57"/>
  <c r="B210" i="57"/>
  <c r="C210" i="57"/>
  <c r="D210" i="57"/>
  <c r="E210" i="57"/>
  <c r="F210" i="57"/>
  <c r="G210" i="57"/>
  <c r="H210" i="57"/>
  <c r="B211" i="57"/>
  <c r="C211" i="57"/>
  <c r="D211" i="57"/>
  <c r="E211" i="57"/>
  <c r="F211" i="57"/>
  <c r="G211" i="57"/>
  <c r="H211" i="57"/>
  <c r="B213" i="57"/>
  <c r="C213" i="57"/>
  <c r="D213" i="57"/>
  <c r="E213" i="57"/>
  <c r="F213" i="57"/>
  <c r="G213" i="57"/>
  <c r="H213" i="57"/>
  <c r="B214" i="57"/>
  <c r="C214" i="57"/>
  <c r="D214" i="57"/>
  <c r="E214" i="57"/>
  <c r="F214" i="57"/>
  <c r="G214" i="57"/>
  <c r="H214" i="57"/>
  <c r="B215" i="57"/>
  <c r="C215" i="57"/>
  <c r="D215" i="57"/>
  <c r="E215" i="57"/>
  <c r="F215" i="57"/>
  <c r="G215" i="57"/>
  <c r="H215" i="57"/>
  <c r="C217" i="57"/>
  <c r="D217" i="57"/>
  <c r="E217" i="57"/>
  <c r="F217" i="57"/>
  <c r="G217" i="57"/>
  <c r="H217" i="57"/>
  <c r="B218" i="57"/>
  <c r="C218" i="57"/>
  <c r="D218" i="57"/>
  <c r="E218" i="57"/>
  <c r="F218" i="57"/>
  <c r="G218" i="57"/>
  <c r="H218" i="57"/>
  <c r="B219" i="57"/>
  <c r="C219" i="57"/>
  <c r="D219" i="57"/>
  <c r="E219" i="57"/>
  <c r="F219" i="57"/>
  <c r="G219" i="57"/>
  <c r="H219" i="57"/>
  <c r="B220" i="57"/>
  <c r="C220" i="57"/>
  <c r="D220" i="57"/>
  <c r="E220" i="57"/>
  <c r="F220" i="57"/>
  <c r="G220" i="57"/>
  <c r="H220" i="57"/>
  <c r="C222" i="57"/>
  <c r="D222" i="57"/>
  <c r="E222" i="57"/>
  <c r="F222" i="57"/>
  <c r="G222" i="57"/>
  <c r="H222" i="57"/>
  <c r="B226" i="57"/>
  <c r="C226" i="57"/>
  <c r="D226" i="57"/>
  <c r="E226" i="57"/>
  <c r="F226" i="57"/>
  <c r="G226" i="57"/>
  <c r="H226" i="57"/>
  <c r="B227" i="57"/>
  <c r="C227" i="57"/>
  <c r="D227" i="57"/>
  <c r="E227" i="57"/>
  <c r="F227" i="57"/>
  <c r="G227" i="57"/>
  <c r="H227" i="57"/>
  <c r="B228" i="57"/>
  <c r="C228" i="57"/>
  <c r="D228" i="57"/>
  <c r="E228" i="57"/>
  <c r="F228" i="57"/>
  <c r="G228" i="57"/>
  <c r="H228" i="57"/>
  <c r="C230" i="57"/>
  <c r="D230" i="57"/>
  <c r="E230" i="57"/>
  <c r="F230" i="57"/>
  <c r="G230" i="57"/>
  <c r="H230" i="57"/>
  <c r="B232" i="57"/>
  <c r="C232" i="57"/>
  <c r="D232" i="57"/>
  <c r="E232" i="57"/>
  <c r="F232" i="57"/>
  <c r="G232" i="57"/>
  <c r="H232" i="57"/>
  <c r="B233" i="57"/>
  <c r="C233" i="57"/>
  <c r="D233" i="57"/>
  <c r="E233" i="57"/>
  <c r="F233" i="57"/>
  <c r="G233" i="57"/>
  <c r="H233" i="57"/>
  <c r="C235" i="57"/>
  <c r="D235" i="57"/>
  <c r="E235" i="57"/>
  <c r="F235" i="57"/>
  <c r="G235" i="57"/>
  <c r="H235" i="57"/>
  <c r="B236" i="57"/>
  <c r="C236" i="57"/>
  <c r="D236" i="57"/>
  <c r="E236" i="57"/>
  <c r="F236" i="57"/>
  <c r="G236" i="57"/>
  <c r="H236" i="57"/>
  <c r="B239" i="57"/>
  <c r="B240" i="57"/>
  <c r="B238" i="57"/>
  <c r="C239" i="57"/>
  <c r="C240" i="57"/>
  <c r="C238" i="57"/>
  <c r="D239" i="57"/>
  <c r="D240" i="57"/>
  <c r="D238" i="57"/>
  <c r="E239" i="57"/>
  <c r="E240" i="57"/>
  <c r="E238" i="57"/>
  <c r="F239" i="57"/>
  <c r="F240" i="57"/>
  <c r="F238" i="57"/>
  <c r="G239" i="57"/>
  <c r="G240" i="57"/>
  <c r="G238" i="57"/>
  <c r="H239" i="57"/>
  <c r="H240" i="57"/>
  <c r="H238" i="57"/>
  <c r="B242" i="57"/>
  <c r="C242" i="57"/>
  <c r="D242" i="57"/>
  <c r="E242" i="57"/>
  <c r="F242" i="57"/>
  <c r="G242" i="57"/>
  <c r="H242" i="57"/>
  <c r="B243" i="57"/>
  <c r="C243" i="57"/>
  <c r="D243" i="57"/>
  <c r="E243" i="57"/>
  <c r="F243" i="57"/>
  <c r="G243" i="57"/>
  <c r="H243" i="57"/>
  <c r="B244" i="57"/>
  <c r="C244" i="57"/>
  <c r="D244" i="57"/>
  <c r="E244" i="57"/>
  <c r="F244" i="57"/>
  <c r="G244" i="57"/>
  <c r="H244" i="57"/>
  <c r="B245" i="57"/>
  <c r="C245" i="57"/>
  <c r="D245" i="57"/>
  <c r="E245" i="57"/>
  <c r="F245" i="57"/>
  <c r="G245" i="57"/>
  <c r="H245" i="57"/>
  <c r="B246" i="57"/>
  <c r="C246" i="57"/>
  <c r="D246" i="57"/>
  <c r="E246" i="57"/>
  <c r="F246" i="57"/>
  <c r="G246" i="57"/>
  <c r="H246" i="57"/>
  <c r="B248" i="57"/>
  <c r="C248" i="57"/>
  <c r="D248" i="57"/>
  <c r="E248" i="57"/>
  <c r="F248" i="57"/>
  <c r="G248" i="57"/>
  <c r="H248" i="57"/>
  <c r="B249" i="57"/>
  <c r="C249" i="57"/>
  <c r="D249" i="57"/>
  <c r="E249" i="57"/>
  <c r="F249" i="57"/>
  <c r="G249" i="57"/>
  <c r="H249" i="57"/>
  <c r="B250" i="57"/>
  <c r="C250" i="57"/>
  <c r="D250" i="57"/>
  <c r="E250" i="57"/>
  <c r="F250" i="57"/>
  <c r="G250" i="57"/>
  <c r="H250" i="57"/>
  <c r="B251" i="57"/>
  <c r="C251" i="57"/>
  <c r="D251" i="57"/>
  <c r="E251" i="57"/>
  <c r="F251" i="57"/>
  <c r="G251" i="57"/>
  <c r="H251" i="57"/>
  <c r="B253" i="57"/>
  <c r="C253" i="57"/>
  <c r="D253" i="57"/>
  <c r="E253" i="57"/>
  <c r="F253" i="57"/>
  <c r="G253" i="57"/>
  <c r="H253" i="57"/>
  <c r="B254" i="57"/>
  <c r="C254" i="57"/>
  <c r="D254" i="57"/>
  <c r="E254" i="57"/>
  <c r="F254" i="57"/>
  <c r="G254" i="57"/>
  <c r="H254" i="57"/>
  <c r="B255" i="57"/>
  <c r="C255" i="57"/>
  <c r="D255" i="57"/>
  <c r="E255" i="57"/>
  <c r="F255" i="57"/>
  <c r="G255" i="57"/>
  <c r="H255" i="57"/>
  <c r="C60" i="18"/>
  <c r="C30" i="18"/>
  <c r="C36" i="18"/>
  <c r="C38" i="18"/>
  <c r="B44" i="18"/>
  <c r="C44" i="18"/>
  <c r="B48" i="18"/>
  <c r="C48" i="18"/>
  <c r="B49" i="18"/>
  <c r="C49" i="18"/>
  <c r="B82" i="18"/>
  <c r="B84" i="18"/>
  <c r="B83" i="18"/>
  <c r="B87" i="18"/>
  <c r="B89" i="18"/>
  <c r="B88" i="18"/>
  <c r="B86" i="18"/>
  <c r="B85" i="18"/>
  <c r="B90" i="18"/>
  <c r="C99" i="18"/>
  <c r="D99" i="18"/>
  <c r="E99" i="18"/>
  <c r="F99" i="18"/>
  <c r="B101" i="18"/>
  <c r="C101" i="18"/>
  <c r="D101" i="18"/>
  <c r="E101" i="18"/>
  <c r="F101" i="18"/>
  <c r="B102" i="18"/>
  <c r="C102" i="18"/>
  <c r="D102" i="18"/>
  <c r="E102" i="18"/>
  <c r="F102" i="18"/>
  <c r="B104" i="18"/>
  <c r="C104" i="18"/>
  <c r="D104" i="18"/>
  <c r="E104" i="18"/>
  <c r="F104" i="18"/>
  <c r="B105" i="18"/>
  <c r="C105" i="18"/>
  <c r="D105" i="18"/>
  <c r="E105" i="18"/>
  <c r="F105" i="18"/>
  <c r="B106" i="18"/>
  <c r="C106" i="18"/>
  <c r="D106" i="18"/>
  <c r="E106" i="18"/>
  <c r="F106" i="18"/>
  <c r="B107" i="18"/>
  <c r="C107" i="18"/>
  <c r="D107" i="18"/>
  <c r="E107" i="18"/>
  <c r="F107" i="18"/>
  <c r="B109" i="18"/>
  <c r="C109" i="18"/>
  <c r="D109" i="18"/>
  <c r="E109" i="18"/>
  <c r="F109" i="18"/>
  <c r="C11" i="17"/>
  <c r="D11" i="17"/>
  <c r="E11" i="17"/>
  <c r="F11" i="17"/>
  <c r="C12" i="17"/>
  <c r="D12" i="17"/>
  <c r="E12" i="17"/>
  <c r="F12" i="17"/>
  <c r="C13" i="17"/>
  <c r="D13" i="17"/>
  <c r="E13" i="17"/>
  <c r="F13" i="17"/>
  <c r="C14" i="17"/>
  <c r="D14" i="17"/>
  <c r="E14" i="17"/>
  <c r="F14" i="17"/>
  <c r="C15" i="17"/>
  <c r="D15" i="17"/>
  <c r="E15" i="17"/>
  <c r="F15" i="17"/>
  <c r="C17" i="17"/>
  <c r="D17" i="17"/>
  <c r="E17" i="17"/>
  <c r="F17" i="17"/>
  <c r="C19" i="17"/>
  <c r="D19" i="17"/>
  <c r="E19" i="17"/>
  <c r="F19" i="17"/>
  <c r="B21" i="16"/>
  <c r="C21" i="16"/>
  <c r="D21" i="16"/>
  <c r="B23" i="16"/>
  <c r="C23" i="16"/>
  <c r="D23" i="16"/>
  <c r="B24" i="16"/>
  <c r="C24" i="16"/>
  <c r="D24" i="16"/>
  <c r="B25" i="16"/>
  <c r="C25" i="16"/>
  <c r="D25" i="16"/>
  <c r="B26" i="16"/>
  <c r="C26" i="16"/>
  <c r="D26" i="16"/>
  <c r="B27" i="16"/>
  <c r="C27" i="16"/>
  <c r="D27" i="16"/>
  <c r="D28" i="16"/>
  <c r="B37" i="16"/>
  <c r="B52" i="16"/>
  <c r="C52" i="16"/>
  <c r="D52" i="16"/>
  <c r="E52" i="16"/>
  <c r="F52" i="16"/>
  <c r="B53" i="16"/>
  <c r="C53" i="16"/>
  <c r="D53" i="16"/>
  <c r="E53" i="16"/>
  <c r="F53" i="16"/>
  <c r="B54" i="16"/>
  <c r="C54" i="16"/>
  <c r="D54" i="16"/>
  <c r="E54" i="16"/>
  <c r="F54" i="16"/>
  <c r="B55" i="16"/>
  <c r="C55" i="16"/>
  <c r="D55" i="16"/>
  <c r="E55" i="16"/>
  <c r="F55" i="16"/>
  <c r="B56" i="16"/>
  <c r="C56" i="16"/>
  <c r="D56" i="16"/>
  <c r="E56" i="16"/>
  <c r="F56" i="16"/>
  <c r="B68" i="16"/>
  <c r="C68" i="16"/>
  <c r="D68" i="16"/>
  <c r="B69" i="16"/>
  <c r="D69" i="16"/>
  <c r="B70" i="16"/>
  <c r="C70" i="16"/>
  <c r="D70" i="16"/>
  <c r="C71" i="16"/>
  <c r="D71" i="16"/>
  <c r="B72" i="16"/>
  <c r="C72" i="16"/>
  <c r="D72" i="16"/>
  <c r="B73" i="16"/>
  <c r="C73" i="16"/>
  <c r="D73" i="16"/>
  <c r="D74" i="16"/>
  <c r="C86" i="16"/>
  <c r="D86" i="16"/>
  <c r="C87" i="16"/>
  <c r="D87" i="16"/>
  <c r="C88" i="16"/>
  <c r="D88" i="16"/>
  <c r="D89" i="16"/>
  <c r="B7" i="15"/>
  <c r="C7" i="15"/>
  <c r="D7" i="15"/>
  <c r="E7" i="15"/>
  <c r="B9" i="15"/>
  <c r="C9" i="15"/>
  <c r="D9" i="15"/>
  <c r="E9" i="15"/>
  <c r="B11" i="15"/>
  <c r="C11" i="15"/>
  <c r="D11" i="15"/>
  <c r="E11" i="15"/>
  <c r="B13" i="15"/>
  <c r="C13" i="15"/>
  <c r="D13" i="15"/>
  <c r="E13" i="15"/>
  <c r="B14" i="15"/>
  <c r="C14" i="15"/>
  <c r="D14" i="15"/>
  <c r="E14" i="15"/>
  <c r="B16" i="15"/>
  <c r="C16" i="15"/>
  <c r="D16" i="15"/>
  <c r="E16" i="15"/>
  <c r="B17" i="15"/>
  <c r="C17" i="15"/>
  <c r="D17" i="15"/>
  <c r="E17" i="15"/>
  <c r="B24" i="15"/>
  <c r="C24" i="15"/>
  <c r="D24" i="15"/>
  <c r="B32" i="15"/>
  <c r="C32" i="15"/>
  <c r="D32" i="15"/>
  <c r="B33" i="15"/>
  <c r="C33" i="15"/>
  <c r="D33" i="15"/>
  <c r="B36" i="15"/>
  <c r="C36" i="15"/>
  <c r="D36" i="15"/>
  <c r="B39" i="15"/>
  <c r="C39" i="15"/>
  <c r="D39" i="15"/>
  <c r="B43" i="15"/>
  <c r="C43" i="15"/>
  <c r="D43" i="15"/>
  <c r="F43" i="15"/>
  <c r="G43" i="15"/>
  <c r="B44" i="15"/>
  <c r="C44" i="15"/>
  <c r="D44" i="15"/>
  <c r="F44" i="15"/>
  <c r="G44" i="15"/>
  <c r="B45" i="15"/>
  <c r="C45" i="15"/>
  <c r="D45" i="15"/>
  <c r="F45" i="15"/>
  <c r="G45" i="15"/>
  <c r="B46" i="15"/>
  <c r="C46" i="15"/>
  <c r="D46" i="15"/>
  <c r="F46" i="15"/>
  <c r="G46" i="15"/>
  <c r="B47" i="15"/>
  <c r="C47" i="15"/>
  <c r="D47" i="15"/>
  <c r="F47" i="15"/>
  <c r="G47" i="15"/>
  <c r="B48" i="15"/>
  <c r="C48" i="15"/>
  <c r="D48" i="15"/>
  <c r="F48" i="15"/>
  <c r="G48" i="15"/>
  <c r="B49" i="15"/>
  <c r="C49" i="15"/>
  <c r="D49" i="15"/>
  <c r="F49" i="15"/>
  <c r="G49" i="15"/>
  <c r="B50" i="15"/>
  <c r="C50" i="15"/>
  <c r="D50" i="15"/>
  <c r="F50" i="15"/>
  <c r="G50" i="15"/>
  <c r="B51" i="15"/>
  <c r="C51" i="15"/>
  <c r="D51" i="15"/>
  <c r="F51" i="15"/>
  <c r="G51" i="15"/>
  <c r="B52" i="15"/>
  <c r="C52" i="15"/>
  <c r="D52" i="15"/>
  <c r="F52" i="15"/>
  <c r="G52" i="15"/>
  <c r="B53" i="15"/>
  <c r="C53" i="15"/>
  <c r="D53" i="15"/>
  <c r="F53" i="15"/>
  <c r="G53" i="15"/>
  <c r="B54" i="15"/>
  <c r="C54" i="15"/>
  <c r="D54" i="15"/>
  <c r="F54" i="15"/>
  <c r="G54" i="15"/>
  <c r="B55" i="15"/>
  <c r="C55" i="15"/>
  <c r="D55" i="15"/>
  <c r="F55" i="15"/>
  <c r="G55" i="15"/>
  <c r="B56" i="15"/>
  <c r="C56" i="15"/>
  <c r="D56" i="15"/>
  <c r="F56" i="15"/>
  <c r="G56" i="15"/>
  <c r="B60" i="15"/>
  <c r="C60" i="15"/>
  <c r="D60" i="15"/>
  <c r="B61" i="15"/>
  <c r="C61" i="15"/>
  <c r="D61" i="15"/>
  <c r="B62" i="15"/>
  <c r="C62" i="15"/>
  <c r="D62" i="15"/>
  <c r="B63" i="15"/>
  <c r="C63" i="15"/>
  <c r="D63" i="15"/>
  <c r="B64" i="15"/>
  <c r="C64" i="15"/>
  <c r="D64" i="15"/>
  <c r="B65" i="15"/>
  <c r="C65" i="15"/>
  <c r="D65" i="15"/>
  <c r="B66" i="15"/>
  <c r="C66" i="15"/>
  <c r="D66" i="15"/>
  <c r="B67" i="15"/>
  <c r="C67" i="15"/>
  <c r="D67" i="15"/>
  <c r="B68" i="15"/>
  <c r="C68" i="15"/>
  <c r="D68" i="15"/>
  <c r="B69" i="15"/>
  <c r="C69" i="15"/>
  <c r="D69" i="15"/>
  <c r="B70" i="15"/>
  <c r="C70" i="15"/>
  <c r="D70" i="15"/>
  <c r="B71" i="15"/>
  <c r="C71" i="15"/>
  <c r="D71" i="15"/>
  <c r="B72" i="15"/>
  <c r="C72" i="15"/>
  <c r="D72" i="15"/>
  <c r="B73" i="15"/>
  <c r="C73" i="15"/>
  <c r="D73" i="15"/>
  <c r="B88" i="15"/>
  <c r="B89" i="15"/>
  <c r="B90" i="15"/>
  <c r="B87" i="15"/>
  <c r="C88" i="15"/>
  <c r="C89" i="15"/>
  <c r="C90" i="15"/>
  <c r="C87" i="15"/>
  <c r="D88" i="15"/>
  <c r="D89" i="15"/>
  <c r="D90" i="15"/>
  <c r="D87" i="15"/>
  <c r="E88" i="15"/>
  <c r="E89" i="15"/>
  <c r="E90" i="15"/>
  <c r="E87" i="15"/>
  <c r="B92" i="15"/>
  <c r="B93" i="15"/>
  <c r="B94" i="15"/>
  <c r="B95" i="15"/>
  <c r="B91" i="15"/>
  <c r="C92" i="15"/>
  <c r="C93" i="15"/>
  <c r="C94" i="15"/>
  <c r="C95" i="15"/>
  <c r="C91" i="15"/>
  <c r="D92" i="15"/>
  <c r="D93" i="15"/>
  <c r="D94" i="15"/>
  <c r="D95" i="15"/>
  <c r="D91" i="15"/>
  <c r="E92" i="15"/>
  <c r="E93" i="15"/>
  <c r="E94" i="15"/>
  <c r="E95" i="15"/>
  <c r="E91" i="15"/>
  <c r="B97" i="15"/>
  <c r="C97" i="15"/>
  <c r="D97" i="15"/>
  <c r="E97" i="15"/>
  <c r="B98" i="15"/>
  <c r="C98" i="15"/>
  <c r="D98" i="15"/>
  <c r="E98" i="15"/>
  <c r="C100" i="15"/>
  <c r="D100" i="15"/>
  <c r="E100" i="15"/>
  <c r="B102" i="15"/>
  <c r="C102" i="15"/>
  <c r="D102" i="15"/>
  <c r="E102" i="15"/>
  <c r="B103" i="15"/>
  <c r="C103" i="15"/>
  <c r="D103" i="15"/>
  <c r="E103" i="15"/>
  <c r="C3" i="49"/>
  <c r="D3" i="49"/>
  <c r="E3" i="49"/>
  <c r="F3" i="49"/>
  <c r="B12" i="49"/>
  <c r="C21" i="49"/>
  <c r="D21" i="49"/>
  <c r="E21" i="49"/>
  <c r="F21" i="49"/>
  <c r="B27" i="49"/>
  <c r="C27" i="49"/>
  <c r="D27" i="49"/>
  <c r="E27" i="49"/>
  <c r="F27" i="49"/>
  <c r="B37" i="49"/>
  <c r="B39" i="49"/>
  <c r="B41" i="49"/>
  <c r="B42" i="49"/>
  <c r="B43" i="49"/>
  <c r="B44" i="49"/>
  <c r="B47" i="49"/>
  <c r="B48" i="49"/>
  <c r="B49" i="49"/>
  <c r="B50" i="49"/>
  <c r="B51" i="49"/>
  <c r="B53" i="49"/>
  <c r="B54" i="49"/>
  <c r="B56" i="49"/>
  <c r="B58" i="49"/>
  <c r="C13" i="14"/>
  <c r="D13" i="14"/>
  <c r="B14" i="14"/>
  <c r="C14" i="14"/>
  <c r="D14" i="14"/>
  <c r="B15" i="14"/>
  <c r="C15" i="14"/>
  <c r="D15" i="14"/>
  <c r="B16" i="14"/>
  <c r="C16" i="14"/>
  <c r="D16" i="14"/>
  <c r="B17" i="14"/>
  <c r="C17" i="14"/>
  <c r="D17" i="14"/>
  <c r="B18" i="14"/>
  <c r="C18" i="14"/>
  <c r="D18" i="14"/>
  <c r="B23" i="14"/>
  <c r="C23" i="14"/>
  <c r="D23" i="14"/>
  <c r="B24" i="14"/>
  <c r="C24" i="14"/>
  <c r="D24" i="14"/>
  <c r="B25" i="14"/>
  <c r="C25" i="14"/>
  <c r="D25" i="14"/>
  <c r="B36" i="14"/>
  <c r="C36" i="14"/>
  <c r="B37" i="14"/>
  <c r="C37" i="14"/>
  <c r="D37" i="14"/>
  <c r="B38" i="14"/>
  <c r="C38" i="14"/>
  <c r="D38" i="14"/>
  <c r="B39" i="14"/>
  <c r="C39" i="14"/>
  <c r="D39" i="14"/>
  <c r="B40" i="14"/>
  <c r="C40" i="14"/>
  <c r="D40" i="14"/>
  <c r="B43" i="14"/>
  <c r="C43" i="14"/>
  <c r="B44" i="14"/>
  <c r="C44" i="14"/>
  <c r="B45" i="14"/>
  <c r="C45" i="14"/>
  <c r="B46" i="14"/>
  <c r="C46" i="14"/>
  <c r="C51" i="14"/>
  <c r="D51" i="14"/>
  <c r="E51" i="14"/>
  <c r="F51" i="14"/>
  <c r="B56" i="14"/>
  <c r="C56" i="14"/>
  <c r="D56" i="14"/>
  <c r="E56" i="14"/>
  <c r="F56" i="14"/>
  <c r="B60" i="14"/>
  <c r="C60" i="14"/>
  <c r="D60" i="14"/>
  <c r="E60" i="14"/>
  <c r="F60" i="14"/>
  <c r="B8" i="8"/>
  <c r="C8" i="8"/>
  <c r="G8" i="8"/>
  <c r="H8" i="8"/>
  <c r="B21" i="8"/>
  <c r="C21" i="8"/>
  <c r="B26" i="8"/>
  <c r="C26" i="8"/>
  <c r="D26" i="8"/>
  <c r="G26" i="8"/>
  <c r="H26" i="8"/>
  <c r="I26" i="8"/>
  <c r="B29" i="8"/>
  <c r="B27" i="8"/>
  <c r="C29" i="8"/>
  <c r="C27" i="8"/>
  <c r="D28" i="8"/>
  <c r="D29" i="8"/>
  <c r="D27" i="8"/>
  <c r="G29" i="8"/>
  <c r="G28" i="8"/>
  <c r="H28" i="8"/>
  <c r="I28" i="8"/>
  <c r="B30" i="8"/>
  <c r="C30" i="8"/>
  <c r="D30" i="8"/>
  <c r="G31" i="8"/>
  <c r="H31" i="8"/>
  <c r="I31" i="8"/>
  <c r="G32" i="8"/>
  <c r="G33" i="8"/>
  <c r="H33" i="8"/>
  <c r="I33" i="8"/>
  <c r="B34" i="8"/>
  <c r="C34" i="8"/>
  <c r="D34" i="8"/>
  <c r="G34" i="8"/>
  <c r="H34" i="8"/>
  <c r="I34" i="8"/>
  <c r="B38" i="8"/>
  <c r="C38" i="8"/>
  <c r="D38" i="8"/>
  <c r="B39" i="8"/>
  <c r="C39" i="8"/>
  <c r="D39" i="8"/>
  <c r="B40" i="8"/>
  <c r="C40" i="8"/>
  <c r="D40" i="8"/>
  <c r="B41" i="8"/>
  <c r="C41" i="8"/>
  <c r="D41" i="8"/>
  <c r="B42" i="8"/>
  <c r="C42" i="8"/>
  <c r="D42" i="8"/>
  <c r="B43" i="8"/>
  <c r="C43" i="8"/>
  <c r="D43" i="8"/>
  <c r="B44" i="8"/>
  <c r="C44" i="8"/>
  <c r="D44" i="8"/>
  <c r="D45" i="8"/>
  <c r="B46" i="8"/>
  <c r="C46" i="8"/>
  <c r="D46" i="8"/>
  <c r="B47" i="8"/>
  <c r="C47" i="8"/>
  <c r="D47" i="8"/>
  <c r="B48" i="8"/>
  <c r="C48" i="8"/>
  <c r="D48" i="8"/>
  <c r="B49" i="8"/>
  <c r="C49" i="8"/>
  <c r="D49" i="8"/>
  <c r="B50" i="8"/>
  <c r="B51" i="8"/>
  <c r="B16" i="6"/>
  <c r="C16" i="6"/>
  <c r="D16" i="6"/>
  <c r="E16" i="6"/>
  <c r="F16" i="6"/>
  <c r="B32" i="6"/>
  <c r="C32" i="6"/>
  <c r="D32" i="6"/>
  <c r="E32" i="6"/>
  <c r="F32" i="6"/>
  <c r="B39" i="6"/>
  <c r="C39" i="6"/>
  <c r="D39" i="6"/>
  <c r="E39" i="6"/>
  <c r="F39" i="6"/>
  <c r="B44" i="6"/>
  <c r="C44" i="6"/>
  <c r="D44" i="6"/>
  <c r="E44" i="6"/>
  <c r="F44" i="6"/>
  <c r="B45" i="6"/>
  <c r="C45" i="6"/>
  <c r="D45" i="6"/>
  <c r="E45" i="6"/>
  <c r="F45" i="6"/>
  <c r="B46" i="6"/>
  <c r="C46" i="6"/>
  <c r="D46" i="6"/>
  <c r="E46" i="6"/>
  <c r="F46" i="6"/>
  <c r="B47" i="6"/>
  <c r="C47" i="6"/>
  <c r="D47" i="6"/>
  <c r="E47" i="6"/>
  <c r="F47" i="6"/>
  <c r="B48" i="6"/>
  <c r="C48" i="6"/>
  <c r="D48" i="6"/>
  <c r="E48" i="6"/>
  <c r="F48" i="6"/>
  <c r="B49" i="6"/>
  <c r="C49" i="6"/>
  <c r="D49" i="6"/>
  <c r="E49" i="6"/>
  <c r="F49" i="6"/>
  <c r="B50" i="6"/>
  <c r="C50" i="6"/>
  <c r="D50" i="6"/>
  <c r="E50" i="6"/>
  <c r="F50" i="6"/>
  <c r="B51" i="6"/>
  <c r="C51" i="6"/>
  <c r="D51" i="6"/>
  <c r="E51" i="6"/>
  <c r="F51" i="6"/>
  <c r="B52" i="6"/>
  <c r="C52" i="6"/>
  <c r="D52" i="6"/>
  <c r="E52" i="6"/>
  <c r="F52" i="6"/>
  <c r="B62" i="6"/>
  <c r="C62" i="6"/>
  <c r="J64" i="6"/>
  <c r="I64" i="6"/>
  <c r="J66" i="6"/>
  <c r="J67" i="6"/>
  <c r="B63" i="6"/>
  <c r="K64" i="6"/>
  <c r="K66" i="6"/>
  <c r="K67" i="6"/>
  <c r="C63" i="6"/>
  <c r="B64" i="6"/>
  <c r="C64" i="6"/>
  <c r="B68" i="6"/>
  <c r="C68" i="6"/>
  <c r="B71" i="6"/>
  <c r="C71" i="6"/>
  <c r="B68" i="4"/>
  <c r="B66" i="4"/>
  <c r="B70" i="4"/>
  <c r="B69" i="4"/>
  <c r="B73" i="4"/>
  <c r="B75" i="4"/>
  <c r="F13" i="1"/>
  <c r="F12" i="1"/>
  <c r="G13" i="1"/>
  <c r="G12" i="1"/>
  <c r="H13" i="1"/>
  <c r="H12" i="1"/>
  <c r="I13" i="1"/>
  <c r="I12" i="1"/>
  <c r="J13" i="1"/>
  <c r="J12" i="1"/>
  <c r="K13" i="1"/>
  <c r="K12" i="1"/>
  <c r="L13" i="1"/>
  <c r="L12" i="1"/>
  <c r="M13" i="1"/>
  <c r="M12" i="1"/>
  <c r="N13" i="1"/>
  <c r="N12" i="1"/>
  <c r="O13" i="1"/>
  <c r="O12" i="1"/>
  <c r="P13" i="1"/>
  <c r="P12" i="1"/>
  <c r="Q13" i="1"/>
  <c r="Q12" i="1"/>
  <c r="R13" i="1"/>
  <c r="R12" i="1"/>
  <c r="S13" i="1"/>
  <c r="S12" i="1"/>
  <c r="T13" i="1"/>
  <c r="T12" i="1"/>
  <c r="U13" i="1"/>
  <c r="U12" i="1"/>
  <c r="V13" i="1"/>
  <c r="V12" i="1"/>
  <c r="W13" i="1"/>
  <c r="W12" i="1"/>
  <c r="X13" i="1"/>
  <c r="X12" i="1"/>
  <c r="Y13" i="1"/>
  <c r="Y12" i="1"/>
  <c r="Z13" i="1"/>
  <c r="Z12" i="1"/>
  <c r="AA13" i="1"/>
  <c r="AA12" i="1"/>
  <c r="AB13" i="1"/>
  <c r="AB12" i="1"/>
  <c r="AC13" i="1"/>
  <c r="AC12" i="1"/>
  <c r="AD13" i="1"/>
  <c r="AD12" i="1"/>
  <c r="AE13" i="1"/>
  <c r="AE12" i="1"/>
  <c r="AF13" i="1"/>
  <c r="AF12" i="1"/>
  <c r="AG13" i="1"/>
  <c r="AG12" i="1"/>
  <c r="AH13" i="1"/>
  <c r="AH12" i="1"/>
  <c r="AI13" i="1"/>
  <c r="AI12" i="1"/>
  <c r="AJ13" i="1"/>
  <c r="AJ12" i="1"/>
  <c r="AK13" i="1"/>
  <c r="AK12" i="1"/>
  <c r="AL13" i="1"/>
  <c r="AL12" i="1"/>
  <c r="AM13" i="1"/>
  <c r="AM12" i="1"/>
  <c r="AN13" i="1"/>
  <c r="AN12" i="1"/>
  <c r="AO13" i="1"/>
  <c r="AO12" i="1"/>
  <c r="B76" i="4"/>
  <c r="B77" i="4"/>
  <c r="B79" i="4"/>
  <c r="B78" i="6"/>
  <c r="D28" i="1"/>
  <c r="C67" i="4"/>
  <c r="C66" i="4"/>
  <c r="C69" i="4"/>
  <c r="C73" i="4"/>
  <c r="C74" i="4"/>
  <c r="C75" i="4"/>
  <c r="C76" i="4"/>
  <c r="C77" i="4"/>
  <c r="C79" i="4"/>
  <c r="C78" i="6"/>
  <c r="E28" i="1"/>
  <c r="D67" i="4"/>
  <c r="D66" i="4"/>
  <c r="D69" i="4"/>
  <c r="D73" i="4"/>
  <c r="D74" i="4"/>
  <c r="D75" i="4"/>
  <c r="D76" i="4"/>
  <c r="D77" i="4"/>
  <c r="D79" i="4"/>
  <c r="D78" i="6"/>
  <c r="B79" i="6"/>
  <c r="C79" i="6"/>
  <c r="D79" i="6"/>
  <c r="B81" i="6"/>
  <c r="C81" i="6"/>
  <c r="D81" i="6"/>
  <c r="C5" i="5"/>
  <c r="C4" i="5"/>
  <c r="C30" i="1"/>
  <c r="C8" i="5"/>
  <c r="C9" i="5"/>
  <c r="B4" i="5"/>
  <c r="B9" i="5"/>
  <c r="B82" i="6"/>
  <c r="D5" i="5"/>
  <c r="D4" i="5"/>
  <c r="D7" i="5"/>
  <c r="D8" i="5"/>
  <c r="D9" i="5"/>
  <c r="C82" i="6"/>
  <c r="E5" i="5"/>
  <c r="E4" i="5"/>
  <c r="E7" i="5"/>
  <c r="E8" i="5"/>
  <c r="E9" i="5"/>
  <c r="D82" i="6"/>
  <c r="B83" i="6"/>
  <c r="C83" i="6"/>
  <c r="D83" i="6"/>
  <c r="C34" i="1"/>
  <c r="B84" i="6"/>
  <c r="D34" i="1"/>
  <c r="C84" i="6"/>
  <c r="E34" i="1"/>
  <c r="D84" i="6"/>
  <c r="B86" i="6"/>
  <c r="C86" i="6"/>
  <c r="D86" i="6"/>
  <c r="B88" i="6"/>
  <c r="C88" i="6"/>
  <c r="D88" i="6"/>
  <c r="B89" i="6"/>
  <c r="C89" i="6"/>
  <c r="D89" i="6"/>
  <c r="F23" i="1"/>
  <c r="C37" i="1"/>
  <c r="C16" i="5"/>
  <c r="B91" i="6"/>
  <c r="D37" i="1"/>
  <c r="D16" i="5"/>
  <c r="C91" i="6"/>
  <c r="E37" i="1"/>
  <c r="E16" i="5"/>
  <c r="D91" i="6"/>
  <c r="F15" i="1"/>
  <c r="F19" i="1"/>
  <c r="F21" i="1"/>
  <c r="F22" i="1"/>
  <c r="F25" i="1"/>
  <c r="G15" i="1"/>
  <c r="G19" i="1"/>
  <c r="G21" i="1"/>
  <c r="G22" i="1"/>
  <c r="G25" i="1"/>
  <c r="H15" i="1"/>
  <c r="H19" i="1"/>
  <c r="H21" i="1"/>
  <c r="H22" i="1"/>
  <c r="H25" i="1"/>
  <c r="I15" i="1"/>
  <c r="I19" i="1"/>
  <c r="I21" i="1"/>
  <c r="I22" i="1"/>
  <c r="I25" i="1"/>
  <c r="J15" i="1"/>
  <c r="J19" i="1"/>
  <c r="J21" i="1"/>
  <c r="J22" i="1"/>
  <c r="J25" i="1"/>
  <c r="K15" i="1"/>
  <c r="K19" i="1"/>
  <c r="K21" i="1"/>
  <c r="K22" i="1"/>
  <c r="K25" i="1"/>
  <c r="L15" i="1"/>
  <c r="L19" i="1"/>
  <c r="L21" i="1"/>
  <c r="L22" i="1"/>
  <c r="L25" i="1"/>
  <c r="M15" i="1"/>
  <c r="M19" i="1"/>
  <c r="M21" i="1"/>
  <c r="M22" i="1"/>
  <c r="M25" i="1"/>
  <c r="N15" i="1"/>
  <c r="N19" i="1"/>
  <c r="N21" i="1"/>
  <c r="N22" i="1"/>
  <c r="N25" i="1"/>
  <c r="O15" i="1"/>
  <c r="O19" i="1"/>
  <c r="O21" i="1"/>
  <c r="O22" i="1"/>
  <c r="O25" i="1"/>
  <c r="P15" i="1"/>
  <c r="P19" i="1"/>
  <c r="P21" i="1"/>
  <c r="P22" i="1"/>
  <c r="P25" i="1"/>
  <c r="Q15" i="1"/>
  <c r="Q19" i="1"/>
  <c r="Q21" i="1"/>
  <c r="Q22" i="1"/>
  <c r="Q25" i="1"/>
  <c r="R15" i="1"/>
  <c r="R19" i="1"/>
  <c r="R21" i="1"/>
  <c r="R22" i="1"/>
  <c r="R25" i="1"/>
  <c r="S15" i="1"/>
  <c r="S19" i="1"/>
  <c r="S21" i="1"/>
  <c r="S22" i="1"/>
  <c r="S25" i="1"/>
  <c r="T15" i="1"/>
  <c r="T19" i="1"/>
  <c r="T21" i="1"/>
  <c r="T22" i="1"/>
  <c r="T25" i="1"/>
  <c r="U15" i="1"/>
  <c r="U19" i="1"/>
  <c r="U21" i="1"/>
  <c r="U22" i="1"/>
  <c r="U25" i="1"/>
  <c r="V15" i="1"/>
  <c r="V19" i="1"/>
  <c r="V21" i="1"/>
  <c r="V22" i="1"/>
  <c r="V25" i="1"/>
  <c r="W15" i="1"/>
  <c r="W19" i="1"/>
  <c r="W21" i="1"/>
  <c r="W22" i="1"/>
  <c r="W25" i="1"/>
  <c r="X15" i="1"/>
  <c r="X19" i="1"/>
  <c r="X21" i="1"/>
  <c r="X22" i="1"/>
  <c r="X25" i="1"/>
  <c r="Y15" i="1"/>
  <c r="Y19" i="1"/>
  <c r="Y21" i="1"/>
  <c r="Y22" i="1"/>
  <c r="Y25" i="1"/>
  <c r="Z15" i="1"/>
  <c r="Z19" i="1"/>
  <c r="Z21" i="1"/>
  <c r="Z22" i="1"/>
  <c r="Z25" i="1"/>
  <c r="AA15" i="1"/>
  <c r="AA19" i="1"/>
  <c r="AA21" i="1"/>
  <c r="AA22" i="1"/>
  <c r="AA25" i="1"/>
  <c r="AB15" i="1"/>
  <c r="AB19" i="1"/>
  <c r="AB21" i="1"/>
  <c r="AB22" i="1"/>
  <c r="AB25" i="1"/>
  <c r="AC15" i="1"/>
  <c r="AC19" i="1"/>
  <c r="AC21" i="1"/>
  <c r="AC22" i="1"/>
  <c r="AC25" i="1"/>
  <c r="AD15" i="1"/>
  <c r="AD19" i="1"/>
  <c r="AD21" i="1"/>
  <c r="AD22" i="1"/>
  <c r="AD25" i="1"/>
  <c r="AE15" i="1"/>
  <c r="AE19" i="1"/>
  <c r="AE21" i="1"/>
  <c r="AE22" i="1"/>
  <c r="AE25" i="1"/>
  <c r="AF15" i="1"/>
  <c r="AF19" i="1"/>
  <c r="AF21" i="1"/>
  <c r="AF22" i="1"/>
  <c r="AF25" i="1"/>
  <c r="AG15" i="1"/>
  <c r="AG19" i="1"/>
  <c r="AG21" i="1"/>
  <c r="AG22" i="1"/>
  <c r="AG25" i="1"/>
  <c r="AH15" i="1"/>
  <c r="AH19" i="1"/>
  <c r="AH21" i="1"/>
  <c r="AH22" i="1"/>
  <c r="AH25" i="1"/>
  <c r="AI15" i="1"/>
  <c r="AI19" i="1"/>
  <c r="AI21" i="1"/>
  <c r="AI22" i="1"/>
  <c r="AI25" i="1"/>
  <c r="AJ15" i="1"/>
  <c r="AJ19" i="1"/>
  <c r="AJ21" i="1"/>
  <c r="AJ22" i="1"/>
  <c r="AJ25" i="1"/>
  <c r="AK15" i="1"/>
  <c r="AK19" i="1"/>
  <c r="AK21" i="1"/>
  <c r="AK22" i="1"/>
  <c r="AK25" i="1"/>
  <c r="AL15" i="1"/>
  <c r="AL19" i="1"/>
  <c r="AL21" i="1"/>
  <c r="AL22" i="1"/>
  <c r="AL25" i="1"/>
  <c r="AM15" i="1"/>
  <c r="AM19" i="1"/>
  <c r="AM21" i="1"/>
  <c r="AM22" i="1"/>
  <c r="AM25" i="1"/>
  <c r="AN15" i="1"/>
  <c r="AN19" i="1"/>
  <c r="AN21" i="1"/>
  <c r="AN22" i="1"/>
  <c r="AN25" i="1"/>
  <c r="AO15" i="1"/>
  <c r="AO19" i="1"/>
  <c r="AO21" i="1"/>
  <c r="AO22" i="1"/>
  <c r="AO25" i="1"/>
  <c r="C39" i="1"/>
  <c r="C18" i="5"/>
  <c r="B94" i="6"/>
  <c r="D39" i="1"/>
  <c r="D18" i="5"/>
  <c r="C94" i="6"/>
  <c r="E39" i="1"/>
  <c r="E18" i="5"/>
  <c r="D94" i="6"/>
  <c r="B95" i="6"/>
  <c r="C95" i="6"/>
  <c r="D95" i="6"/>
  <c r="C3" i="5"/>
  <c r="D3" i="5"/>
  <c r="E3" i="5"/>
  <c r="B11" i="5"/>
  <c r="C11" i="5"/>
  <c r="D11" i="5"/>
  <c r="E11" i="5"/>
  <c r="B12" i="5"/>
  <c r="C12" i="5"/>
  <c r="D12" i="5"/>
  <c r="E12" i="5"/>
  <c r="C14" i="5"/>
  <c r="D14" i="5"/>
  <c r="E14" i="5"/>
  <c r="B19" i="5"/>
  <c r="C19" i="5"/>
  <c r="D19" i="5"/>
  <c r="E19" i="5"/>
  <c r="B20" i="5"/>
  <c r="C20" i="5"/>
  <c r="D20" i="5"/>
  <c r="E20" i="5"/>
  <c r="I30" i="4"/>
  <c r="J30" i="4"/>
  <c r="B3" i="4"/>
  <c r="G3" i="4"/>
  <c r="G30" i="4"/>
  <c r="B30" i="4"/>
  <c r="B5" i="4"/>
  <c r="B46" i="4"/>
  <c r="B44" i="4"/>
  <c r="B6" i="4"/>
  <c r="B4" i="4"/>
  <c r="B7" i="4"/>
  <c r="B9" i="4"/>
  <c r="G32" i="4"/>
  <c r="I32" i="4"/>
  <c r="J32" i="4"/>
  <c r="G33" i="4"/>
  <c r="I33" i="4"/>
  <c r="J33" i="4"/>
  <c r="G34" i="4"/>
  <c r="I34" i="4"/>
  <c r="J34" i="4"/>
  <c r="G35" i="4"/>
  <c r="I35" i="4"/>
  <c r="J35" i="4"/>
  <c r="G36" i="4"/>
  <c r="I36" i="4"/>
  <c r="J36" i="4"/>
  <c r="G37" i="4"/>
  <c r="I37" i="4"/>
  <c r="J37" i="4"/>
  <c r="G38" i="4"/>
  <c r="I38" i="4"/>
  <c r="J38" i="4"/>
  <c r="G39" i="4"/>
  <c r="I39" i="4"/>
  <c r="J39" i="4"/>
  <c r="J31" i="4"/>
  <c r="B10" i="4"/>
  <c r="F32" i="4"/>
  <c r="F33" i="4"/>
  <c r="F34" i="4"/>
  <c r="F35" i="4"/>
  <c r="F36" i="4"/>
  <c r="F37" i="4"/>
  <c r="F38" i="4"/>
  <c r="F39" i="4"/>
  <c r="F31" i="4"/>
  <c r="D32" i="4"/>
  <c r="D33" i="4"/>
  <c r="D34" i="4"/>
  <c r="D35" i="4"/>
  <c r="D36" i="4"/>
  <c r="D37" i="4"/>
  <c r="D38" i="4"/>
  <c r="D39" i="4"/>
  <c r="D31" i="4"/>
  <c r="H31" i="4"/>
  <c r="B11" i="4"/>
  <c r="B8" i="4"/>
  <c r="G9" i="4"/>
  <c r="G10" i="4"/>
  <c r="B15" i="4"/>
  <c r="G11" i="4"/>
  <c r="G8" i="4"/>
  <c r="B13" i="4"/>
  <c r="B14" i="4"/>
  <c r="D17" i="4"/>
  <c r="D19" i="4"/>
  <c r="D18" i="4"/>
  <c r="D20" i="4"/>
  <c r="B49" i="4"/>
  <c r="B53" i="4"/>
  <c r="D22" i="4"/>
  <c r="D23" i="4"/>
  <c r="D24" i="4"/>
  <c r="D26" i="4"/>
  <c r="D30" i="4"/>
  <c r="F30" i="4"/>
  <c r="H30" i="4"/>
  <c r="H32" i="4"/>
  <c r="H33" i="4"/>
  <c r="H34" i="4"/>
  <c r="H35" i="4"/>
  <c r="H36" i="4"/>
  <c r="H37" i="4"/>
  <c r="H38" i="4"/>
  <c r="H39" i="4"/>
  <c r="B85" i="4"/>
  <c r="C85" i="4"/>
  <c r="D85" i="4"/>
  <c r="B86" i="4"/>
  <c r="C86" i="4"/>
  <c r="D86" i="4"/>
  <c r="B89" i="4"/>
  <c r="C89" i="4"/>
  <c r="D89" i="4"/>
  <c r="B90" i="4"/>
  <c r="C90" i="4"/>
  <c r="D90" i="4"/>
  <c r="B91" i="4"/>
  <c r="C91" i="4"/>
  <c r="D91" i="4"/>
  <c r="B93" i="4"/>
  <c r="C93" i="4"/>
  <c r="D93" i="4"/>
  <c r="B99" i="4"/>
  <c r="C99" i="4"/>
  <c r="B100" i="4"/>
  <c r="C100" i="4"/>
  <c r="B101" i="4"/>
  <c r="C101" i="4"/>
  <c r="B102" i="4"/>
  <c r="C102" i="4"/>
  <c r="B106" i="4"/>
  <c r="C106" i="4"/>
  <c r="B107" i="4"/>
  <c r="C107" i="4"/>
  <c r="B108" i="4"/>
  <c r="C108" i="4"/>
  <c r="B5" i="1"/>
  <c r="C5" i="1"/>
  <c r="D5" i="1"/>
  <c r="E5" i="1"/>
  <c r="F5" i="1"/>
  <c r="G5" i="1"/>
  <c r="B7" i="1"/>
  <c r="C7" i="1"/>
  <c r="D7" i="1"/>
  <c r="E7" i="1"/>
  <c r="F7" i="1"/>
  <c r="G7" i="1"/>
  <c r="B8" i="1"/>
  <c r="C8" i="1"/>
  <c r="D8" i="1"/>
  <c r="E8" i="1"/>
  <c r="F8" i="1"/>
  <c r="G8" i="1"/>
  <c r="H8" i="1"/>
  <c r="B9" i="1"/>
  <c r="C9" i="1"/>
  <c r="D9" i="1"/>
  <c r="E9" i="1"/>
  <c r="F9" i="1"/>
  <c r="G9" i="1"/>
  <c r="H9" i="1"/>
  <c r="B14" i="1"/>
  <c r="C14" i="1"/>
  <c r="D14" i="1"/>
  <c r="E14" i="1"/>
  <c r="B15" i="1"/>
  <c r="C15" i="1"/>
  <c r="D15" i="1"/>
  <c r="E15" i="1"/>
  <c r="B16" i="1"/>
  <c r="C16" i="1"/>
  <c r="D16" i="1"/>
  <c r="E16" i="1"/>
  <c r="B17" i="1"/>
  <c r="C17" i="1"/>
  <c r="D17" i="1"/>
  <c r="E17" i="1"/>
  <c r="B18" i="1"/>
  <c r="C18" i="1"/>
  <c r="D18" i="1"/>
  <c r="E18" i="1"/>
  <c r="B19" i="1"/>
  <c r="C19" i="1"/>
  <c r="D19" i="1"/>
  <c r="E19" i="1"/>
  <c r="B20" i="1"/>
  <c r="C20" i="1"/>
  <c r="D20" i="1"/>
  <c r="E20" i="1"/>
  <c r="B21" i="1"/>
  <c r="C21" i="1"/>
  <c r="D21" i="1"/>
  <c r="E21" i="1"/>
  <c r="B22" i="1"/>
  <c r="C22" i="1"/>
  <c r="D22" i="1"/>
  <c r="E22" i="1"/>
  <c r="B23" i="1"/>
  <c r="C23" i="1"/>
  <c r="D23" i="1"/>
  <c r="E23" i="1"/>
  <c r="B24" i="1"/>
  <c r="C24" i="1"/>
  <c r="D24" i="1"/>
  <c r="E24" i="1"/>
  <c r="B25" i="1"/>
  <c r="C25" i="1"/>
  <c r="D25" i="1"/>
  <c r="E25" i="1"/>
  <c r="C28" i="1"/>
  <c r="B28" i="1"/>
  <c r="C29" i="1"/>
  <c r="D29" i="1"/>
  <c r="E29" i="1"/>
  <c r="B29" i="1"/>
  <c r="D30" i="1"/>
  <c r="E30" i="1"/>
  <c r="C31" i="1"/>
  <c r="D31" i="1"/>
  <c r="E31" i="1"/>
  <c r="C32" i="1"/>
  <c r="D32" i="1"/>
  <c r="E32" i="1"/>
  <c r="C33" i="1"/>
  <c r="D33" i="1"/>
  <c r="E33" i="1"/>
  <c r="B33" i="1"/>
  <c r="B34" i="1"/>
  <c r="C35" i="1"/>
  <c r="D35" i="1"/>
  <c r="E35" i="1"/>
  <c r="B35" i="1"/>
  <c r="C36" i="1"/>
  <c r="D36" i="1"/>
  <c r="E36" i="1"/>
  <c r="B36" i="1"/>
  <c r="C38" i="1"/>
  <c r="D38" i="1"/>
  <c r="E38" i="1"/>
  <c r="B39" i="1"/>
  <c r="C46" i="30"/>
  <c r="C48" i="30"/>
  <c r="C47" i="30"/>
  <c r="C50" i="30"/>
  <c r="B47" i="30"/>
  <c r="B46" i="30"/>
  <c r="B48" i="30"/>
  <c r="B24" i="30"/>
  <c r="B26" i="30"/>
  <c r="B25" i="30"/>
  <c r="C25" i="30"/>
  <c r="C24" i="30"/>
  <c r="C26" i="30"/>
  <c r="B50" i="30"/>
  <c r="B28" i="30"/>
  <c r="C28" i="30"/>
  <c r="C53" i="30"/>
  <c r="B53" i="30"/>
  <c r="A55" i="39"/>
  <c r="A63" i="39"/>
  <c r="A45" i="39"/>
  <c r="E55" i="33"/>
  <c r="D63" i="33"/>
  <c r="B17" i="18"/>
  <c r="B20" i="18"/>
  <c r="B61" i="18"/>
  <c r="B62" i="18"/>
  <c r="C54" i="18"/>
  <c r="A46" i="39"/>
  <c r="A57" i="39"/>
  <c r="A65" i="39"/>
  <c r="A56" i="39"/>
  <c r="A64" i="39"/>
  <c r="E59" i="33"/>
  <c r="E63" i="33"/>
  <c r="E62" i="33"/>
  <c r="C57" i="18"/>
</calcChain>
</file>

<file path=xl/comments1.xml><?xml version="1.0" encoding="utf-8"?>
<comments xmlns="http://schemas.openxmlformats.org/spreadsheetml/2006/main">
  <authors>
    <author>user</author>
  </authors>
  <commentList>
    <comment ref="B37" authorId="0" shapeId="0">
      <text>
        <r>
          <rPr>
            <sz val="8"/>
            <color indexed="81"/>
            <rFont val="Tahoma"/>
            <family val="2"/>
          </rPr>
          <t>Escomptes accordés déduits du chiffre d'affaires.</t>
        </r>
      </text>
    </comment>
  </commentList>
</comments>
</file>

<file path=xl/sharedStrings.xml><?xml version="1.0" encoding="utf-8"?>
<sst xmlns="http://schemas.openxmlformats.org/spreadsheetml/2006/main" count="3118" uniqueCount="1773">
  <si>
    <t>Si le producteur achète le distributeur, il porte un besoin de trésorerie de 900 pendant 90 jours et de 100 pendant 30 jours, soit 933 en moyenne sur 90 jours contre 900 sur 60 jours. Son BFR a donc augmenté.</t>
  </si>
  <si>
    <t>EXERCICE  1</t>
  </si>
  <si>
    <t>EXERCICE  2</t>
  </si>
  <si>
    <t>EXERCICE  3</t>
  </si>
  <si>
    <t>aujourd hui</t>
  </si>
  <si>
    <t>dans</t>
  </si>
  <si>
    <t xml:space="preserve">dans </t>
  </si>
  <si>
    <t>taux d'intérêt</t>
  </si>
  <si>
    <t>EXERCICE  4</t>
  </si>
  <si>
    <t>encours avec 75 jours</t>
  </si>
  <si>
    <t>HT</t>
  </si>
  <si>
    <t>TVA</t>
  </si>
  <si>
    <t>encours avec 60 jours</t>
  </si>
  <si>
    <t>gain de trésorerie</t>
  </si>
  <si>
    <t>EXERCICE  5</t>
  </si>
  <si>
    <t>Marge mensuelle : 100 000 × 25 % = 25 000 €. Risque financier de l’entreprise : 100 000 × (1 – 25 %) × 3 mois = 225 000 €. 225 / 25 = 9 mois de marge encaissées. Délai 9 + 3 mois de marges non encaissé = 1 an. 2 mois de délais veut dire 3 mois de facturation car le client fait faillite juste avant une échéance et non juste après.</t>
  </si>
  <si>
    <t>subventions d'exploitation</t>
  </si>
  <si>
    <t>soldes des autres produits et charges d'exploitation (y.c. cessions d'exploitation)</t>
  </si>
  <si>
    <t>charges financières</t>
  </si>
  <si>
    <t>produits financiers</t>
  </si>
  <si>
    <t>Charges exceptionelles de gestion</t>
  </si>
  <si>
    <t>impôt sur les bénéfices</t>
  </si>
  <si>
    <t>dotations aux amortissements nettes des reprises</t>
  </si>
  <si>
    <t>Résultat d'exploitation (avant amortissement de la survaleur)</t>
  </si>
  <si>
    <t>Rentabilité des capitaux propres part du groupe</t>
  </si>
  <si>
    <t>- Autres consommations externes et autres</t>
  </si>
  <si>
    <t>- Dotations aux amortissements</t>
  </si>
  <si>
    <t>+ Résultat non récurrent</t>
  </si>
  <si>
    <t>- Impôts sur les bénéfices</t>
  </si>
  <si>
    <t>+ Part des sociétés mises en équivalence</t>
  </si>
  <si>
    <t>- Résultat financier</t>
  </si>
  <si>
    <t>Compte de résultat (en M€)</t>
  </si>
  <si>
    <t>Bilan (en M€)</t>
  </si>
  <si>
    <t>+ Immobilisations incorporelles</t>
  </si>
  <si>
    <t>- Immobilisations financières</t>
  </si>
  <si>
    <t>+ Clients</t>
  </si>
  <si>
    <t>Tableau des flux de trésorerie (en M€)</t>
  </si>
  <si>
    <t xml:space="preserve">+ Dotation aux amortissements </t>
  </si>
  <si>
    <t>+ Divers (dividendes reçus de SME,…)</t>
  </si>
  <si>
    <t>- Variation du besoin en fond de roulement</t>
  </si>
  <si>
    <t xml:space="preserve">3ans, 5 mois et 17 Jours = </t>
  </si>
  <si>
    <t>Résultat =</t>
  </si>
  <si>
    <t>Nbre PC produits</t>
  </si>
  <si>
    <t>Exercice 2:</t>
  </si>
  <si>
    <t>Valeur au 1er janvier</t>
  </si>
  <si>
    <t>Ecart Type</t>
  </si>
  <si>
    <t>Rentabilité moyenne</t>
  </si>
  <si>
    <t>σ E</t>
  </si>
  <si>
    <t>Rentabilité H</t>
  </si>
  <si>
    <t>σ H</t>
  </si>
  <si>
    <t>XH</t>
  </si>
  <si>
    <t>XH (Z)</t>
  </si>
  <si>
    <t>β Shell</t>
  </si>
  <si>
    <t>β Deutsche Telekom</t>
  </si>
  <si>
    <t>r Deutsche Telekom</t>
  </si>
  <si>
    <t>r Shell</t>
  </si>
  <si>
    <t>prix estimé Lapparent.com</t>
  </si>
  <si>
    <t>- Dettes hors exploitation courante</t>
  </si>
  <si>
    <t>= BFR hors exploitation (4)</t>
  </si>
  <si>
    <t>Actif économique (im)+(BFR)=(AE)</t>
  </si>
  <si>
    <t>+ Résultat de l'exercice</t>
  </si>
  <si>
    <t>+ Provisions à caractère de réserves</t>
  </si>
  <si>
    <t>+ Subventions d'investissement</t>
  </si>
  <si>
    <t>= Capitaux propres part du groupe (1)</t>
  </si>
  <si>
    <t>+ Autres capitaux propres (comptes courant d'associés, ORA…)</t>
  </si>
  <si>
    <t>= Capitaux propres totaux (1)+(2)=(CP)</t>
  </si>
  <si>
    <t>Provisions pour risques et charges (PRC)</t>
  </si>
  <si>
    <t>+ Engagement de crédit bail</t>
  </si>
  <si>
    <t>+ Concours bancaires courants (y compris effets escomptés non échus)</t>
  </si>
  <si>
    <t>- Valeurs mobilières de placement</t>
  </si>
  <si>
    <t>Société Boilevé</t>
  </si>
  <si>
    <t>Tableau des flux de trésorerie</t>
  </si>
  <si>
    <t>Capitaux investis=(CP)+(PRC)+(D)= Actif économique</t>
  </si>
  <si>
    <t>+ Intérêts minoritaires (2)</t>
  </si>
  <si>
    <t>+ Ecarts de réévaluation et de consolidation</t>
  </si>
  <si>
    <t>Dettes bancaires et financières à moyen long terme</t>
  </si>
  <si>
    <t>Bilan</t>
  </si>
  <si>
    <t>Jours de crédit client</t>
  </si>
  <si>
    <t>Jours de stocks</t>
  </si>
  <si>
    <t>Jours de fournisseurs</t>
  </si>
  <si>
    <t>Achats en % du chiffre d'affaires</t>
  </si>
  <si>
    <t>Concours bancaires courants</t>
  </si>
  <si>
    <t>Produits d'exploitation</t>
  </si>
  <si>
    <t>Achats de marchandises et de matières premières</t>
  </si>
  <si>
    <t>Variation de stocks</t>
  </si>
  <si>
    <t>Autres charges externes</t>
  </si>
  <si>
    <t>Charges de personnel</t>
  </si>
  <si>
    <t>Charges d'exploitation</t>
  </si>
  <si>
    <t>Résultat financier</t>
  </si>
  <si>
    <t>Résultat exceptionnel</t>
  </si>
  <si>
    <t>Immobilisations incorporelles &amp; corporelles</t>
  </si>
  <si>
    <t>Capital social et réserves</t>
  </si>
  <si>
    <t>OPERATIONS D'EXPLOITATION</t>
  </si>
  <si>
    <t>Dividendes versés (D)</t>
  </si>
  <si>
    <t>= Flux d'investissement (B)</t>
  </si>
  <si>
    <t>Effets remis à l'escompte et non échus</t>
  </si>
  <si>
    <t>Consommation de matières premières</t>
  </si>
  <si>
    <t>Endettement bancaire net</t>
  </si>
  <si>
    <t>Ratios</t>
  </si>
  <si>
    <t>Capitaux propres / Endettement net</t>
  </si>
  <si>
    <t>Entreprise</t>
  </si>
  <si>
    <t>a)</t>
  </si>
  <si>
    <t>b)</t>
  </si>
  <si>
    <t>Frais variables</t>
  </si>
  <si>
    <t>Frais fixes</t>
  </si>
  <si>
    <t>EBE</t>
  </si>
  <si>
    <t>Résutalt d'exploitation</t>
  </si>
  <si>
    <t>Résultat courant avant impôt</t>
  </si>
  <si>
    <t>A</t>
  </si>
  <si>
    <t>B</t>
  </si>
  <si>
    <t>C</t>
  </si>
  <si>
    <t>D</t>
  </si>
  <si>
    <t>Point mort après frais financiers</t>
  </si>
  <si>
    <t>Point mort avant frais financiers</t>
  </si>
  <si>
    <t>CA/Point mort</t>
  </si>
  <si>
    <t>Dotations aux provisions</t>
  </si>
  <si>
    <t>Impôts sur les sociétés</t>
  </si>
  <si>
    <t>Politique de distribution de SEB, voir le corrigé dans le livre</t>
  </si>
  <si>
    <t>Exercice 2 : entreprise Gassoumi</t>
  </si>
  <si>
    <t>créances douteuses</t>
  </si>
  <si>
    <t>4. Analyse des flux de trésorerie</t>
  </si>
  <si>
    <t>en % des flux d'exploitation</t>
  </si>
  <si>
    <t>Financement sur la totalité de la période</t>
  </si>
  <si>
    <t>Augmentation des capitaux propres</t>
  </si>
  <si>
    <t>Augmentation de la dette</t>
  </si>
  <si>
    <t>Dont croissance issue de la CAF</t>
  </si>
  <si>
    <t>Investissements / Dotations aux amortissements</t>
  </si>
  <si>
    <t>Taux d'impôt sur les sociétés</t>
  </si>
  <si>
    <t>Croissance des investissements plus rapide que celle des flux d'exploitation</t>
  </si>
  <si>
    <t>Recours à l'endettement pour les besoins de financement et le versement de dividendes</t>
  </si>
  <si>
    <t>Valeur percue dans 3 ans</t>
  </si>
  <si>
    <t>2. annuités égales</t>
  </si>
  <si>
    <t>1. paiement</t>
  </si>
  <si>
    <t>Multiplicateur</t>
  </si>
  <si>
    <t>Valeur actuelle de la rente sur 3 ans</t>
  </si>
  <si>
    <t>rente</t>
  </si>
  <si>
    <t>Différence</t>
  </si>
  <si>
    <t>Intérêts autrement calculés</t>
  </si>
  <si>
    <t>E*</t>
  </si>
  <si>
    <t>Air Liquide</t>
  </si>
  <si>
    <t>Carrefour</t>
  </si>
  <si>
    <t>Volkswagen</t>
  </si>
  <si>
    <t>ING</t>
  </si>
  <si>
    <t>Obligation</t>
  </si>
  <si>
    <t>Échéance (an)</t>
  </si>
  <si>
    <t>Coupon annuel</t>
  </si>
  <si>
    <t>- IS</t>
  </si>
  <si>
    <t>Structure financière "cible"</t>
  </si>
  <si>
    <t>Taux de croissance à l'infini</t>
  </si>
  <si>
    <t>Valeur terminale</t>
  </si>
  <si>
    <t>VD</t>
  </si>
  <si>
    <t>VCP</t>
  </si>
  <si>
    <t>- des flux sur l'horizon explicite</t>
  </si>
  <si>
    <t>- de la valeur terminale</t>
  </si>
  <si>
    <t>Multiple REX</t>
  </si>
  <si>
    <t>Flux normatif</t>
  </si>
  <si>
    <t>Nb de voix</t>
  </si>
  <si>
    <t>-&gt; En possédant 1/3 des actions +1, l'actionnaire contrôle l'AGO</t>
  </si>
  <si>
    <t>-&gt; En possédant 50% des actions +1, l'actionnaire contrôle l'AGE</t>
  </si>
  <si>
    <t>Droits de vote</t>
  </si>
  <si>
    <t>Droit de vote</t>
  </si>
  <si>
    <t>Cas 1/3 - 2/3</t>
  </si>
  <si>
    <t>Cas 50-50</t>
  </si>
  <si>
    <t>Part</t>
  </si>
  <si>
    <t>Actions à droit de vote double</t>
  </si>
  <si>
    <t>Actions "classiques"</t>
  </si>
  <si>
    <t>Rentabilité</t>
  </si>
  <si>
    <t>Taux zéro coupons</t>
  </si>
  <si>
    <t>Prévisionnel</t>
  </si>
  <si>
    <t>Consommation de matières</t>
  </si>
  <si>
    <t>Autres services externes</t>
  </si>
  <si>
    <t>Sous-traitance</t>
  </si>
  <si>
    <t>Autres services externes (50%)</t>
  </si>
  <si>
    <t>Point mort opérationnel</t>
  </si>
  <si>
    <t>Point mort total</t>
  </si>
  <si>
    <t>Frais directs de production</t>
  </si>
  <si>
    <t>Frais généraux</t>
  </si>
  <si>
    <t>Cycle d'exploitation</t>
  </si>
  <si>
    <t>Stocks de matière premières</t>
  </si>
  <si>
    <t>jours</t>
  </si>
  <si>
    <t>Durée du cycle de production</t>
  </si>
  <si>
    <t>Stocks de produits finis</t>
  </si>
  <si>
    <t>mois</t>
  </si>
  <si>
    <t>Termes de paiement</t>
  </si>
  <si>
    <t>Clients</t>
  </si>
  <si>
    <t>Matières premières</t>
  </si>
  <si>
    <t>Créance client</t>
  </si>
  <si>
    <t>M€</t>
  </si>
  <si>
    <t>Encours production</t>
  </si>
  <si>
    <t>Frais de production</t>
  </si>
  <si>
    <t>% du CA</t>
  </si>
  <si>
    <t>Délai de règlement ou d'écoulement</t>
  </si>
  <si>
    <t>Stock matières premières</t>
  </si>
  <si>
    <t>Jours par mois</t>
  </si>
  <si>
    <t>BFR permanent</t>
  </si>
  <si>
    <t>CA année 1</t>
  </si>
  <si>
    <t>CA année 2</t>
  </si>
  <si>
    <t>EBE année 2</t>
  </si>
  <si>
    <t>Excédent de Trésorie d'Exploitation année 2</t>
  </si>
  <si>
    <t>Stocks (produits finis)</t>
  </si>
  <si>
    <t>Clients et effet à recevoir</t>
  </si>
  <si>
    <t>Fournisseurs et effets à payer</t>
  </si>
  <si>
    <t>Compte de Résultat</t>
  </si>
  <si>
    <t>Chiffre d'affaires HT</t>
  </si>
  <si>
    <t>Chiffre d'affaires TTC</t>
  </si>
  <si>
    <t>Achats TTC</t>
  </si>
  <si>
    <t>Rotation des stocks</t>
  </si>
  <si>
    <t>BFR en jours de CA</t>
  </si>
  <si>
    <t>Exercice 4</t>
  </si>
  <si>
    <t>Rotation stocks</t>
  </si>
  <si>
    <t>fois par an</t>
  </si>
  <si>
    <t>Prix revient marchandises</t>
  </si>
  <si>
    <t>CA HT</t>
  </si>
  <si>
    <t>Clients paient</t>
  </si>
  <si>
    <t>jours fin de mois</t>
  </si>
  <si>
    <t>Fournisseurs payés</t>
  </si>
  <si>
    <t>Salaire payés fin de mois</t>
  </si>
  <si>
    <t>TVA 19,6</t>
  </si>
  <si>
    <t>du mois suivant</t>
  </si>
  <si>
    <t>salaires, payées au</t>
  </si>
  <si>
    <t>payée au</t>
  </si>
  <si>
    <t>Solde TVA</t>
  </si>
  <si>
    <t>Exercice 5</t>
  </si>
  <si>
    <t>Crédit clients</t>
  </si>
  <si>
    <t>Crédit fournisseurs</t>
  </si>
  <si>
    <t>No TAV</t>
  </si>
  <si>
    <t>Actif immobilisé net</t>
  </si>
  <si>
    <t>Besoin en fonds de roulement</t>
  </si>
  <si>
    <t>nd</t>
  </si>
  <si>
    <t>Tableau de flux</t>
  </si>
  <si>
    <t>Flux de trésorie provenant de l'exploitation (A)</t>
  </si>
  <si>
    <t>Flux d'investissement (B)</t>
  </si>
  <si>
    <t>Augmentations de capital (C)</t>
  </si>
  <si>
    <t>(A)-(B)+(C)-(D)=Désendettement net</t>
  </si>
  <si>
    <t>Δ BFR</t>
  </si>
  <si>
    <t>Marge sur CA après IS</t>
  </si>
  <si>
    <t>Coût d'endettement avant IS</t>
  </si>
  <si>
    <t>Taux IS</t>
  </si>
  <si>
    <t>Actif Economique</t>
  </si>
  <si>
    <t>Structure financière</t>
  </si>
  <si>
    <t>Dette</t>
  </si>
  <si>
    <t>Rentabilité sur capitaux propres</t>
  </si>
  <si>
    <t>Effet de levier</t>
  </si>
  <si>
    <t>Entrez les capitaux propres</t>
  </si>
  <si>
    <t>Exercice 3</t>
  </si>
  <si>
    <t>Frais financiers avant impôts</t>
  </si>
  <si>
    <t>Taux d'imposition</t>
  </si>
  <si>
    <t>Re</t>
  </si>
  <si>
    <t>i</t>
  </si>
  <si>
    <t>Levier financier</t>
  </si>
  <si>
    <t>Rentabilité des capitaux propres</t>
  </si>
  <si>
    <t>Impôts sur les bénéfices</t>
  </si>
  <si>
    <t>- Dotations nettes aux amortissements</t>
  </si>
  <si>
    <t>Flux de trésorerie disponible</t>
  </si>
  <si>
    <t>du chiffre d'affaires</t>
  </si>
  <si>
    <t>sur la pérode 1985-89</t>
  </si>
  <si>
    <t>1985-89 hors inflation</t>
  </si>
  <si>
    <t>Croissance :</t>
  </si>
  <si>
    <t>moyenne annuelle 85-89 hors infl.</t>
  </si>
  <si>
    <t>Frais de personnel/Production</t>
  </si>
  <si>
    <t>Croissance des flux d'exploitation</t>
  </si>
  <si>
    <t>BFR/CA</t>
  </si>
  <si>
    <t>Réduction du BFR</t>
  </si>
  <si>
    <t>Actif immobilisé</t>
  </si>
  <si>
    <t>Autres créances d'exploitation</t>
  </si>
  <si>
    <t>Capitaux propres part du groupe</t>
  </si>
  <si>
    <t>Dettes bancaires et financières LMT</t>
  </si>
  <si>
    <t>Rcp</t>
  </si>
  <si>
    <t>Total actif</t>
  </si>
  <si>
    <t>- Consommation matières</t>
  </si>
  <si>
    <t>Exercice 1: Société HIC</t>
  </si>
  <si>
    <t>Exercice 2: Société Boilevé - plan de trésorie</t>
  </si>
  <si>
    <t>- Coût d'achat des marchandises vendues</t>
  </si>
  <si>
    <t>Valeur ajoutée</t>
  </si>
  <si>
    <t>- Frais de personnel</t>
  </si>
  <si>
    <t>+ Subventions d'exploitation</t>
  </si>
  <si>
    <t>Bilan au 31 décembre après affectation des résultats</t>
  </si>
  <si>
    <t>Autres immobilisations</t>
  </si>
  <si>
    <t>Autres débiteurs hors exploitation</t>
  </si>
  <si>
    <t>Autres créanciers hors exploitation</t>
  </si>
  <si>
    <t>+ Dotation aux amortissements et variation de provision pour risque et charges</t>
  </si>
  <si>
    <t>pour la seconde obligation, on a 99 = 7/(1+t1) + 107/(1+t2)^2 ou t2 est la seule inconnue puisque maintenant on connait t1, on trouve alors t2</t>
  </si>
  <si>
    <t>on calcule d'abord le premier taux d'actualisation T1 qui ressort du calcul 99=107/(1+T1)</t>
  </si>
  <si>
    <t>pour les autres, on continue selon ce même raisonnement car à chaque fois on ajoute une année.</t>
  </si>
  <si>
    <t>- Variation du besoin en fond de roulement d'exploitation et hors exploitation</t>
  </si>
  <si>
    <t>Acquisitions d'immobilisations corporelles, incorporelles et financières</t>
  </si>
  <si>
    <t>- Cessions d'immobilisation corporelles, incorporelles et financières</t>
  </si>
  <si>
    <t>Flux d'investissement</t>
  </si>
  <si>
    <t>Valeur de l'emprunt</t>
  </si>
  <si>
    <t>+</t>
  </si>
  <si>
    <t>-</t>
  </si>
  <si>
    <t>++</t>
  </si>
  <si>
    <t>+++</t>
  </si>
  <si>
    <t>++++</t>
  </si>
  <si>
    <t>--</t>
  </si>
  <si>
    <t>---</t>
  </si>
  <si>
    <t>----</t>
  </si>
  <si>
    <t>En cas d'anticipation de hausse des taux d'intérêt, choisir la tranche A</t>
  </si>
  <si>
    <t>c)</t>
  </si>
  <si>
    <t>d)</t>
  </si>
  <si>
    <t>Syldaves a, en définitive, emprunté à un taux inférieur à celui du marché</t>
  </si>
  <si>
    <t>Taux sans risque</t>
  </si>
  <si>
    <t>Prime de risque du marché</t>
  </si>
  <si>
    <r>
      <t>r</t>
    </r>
    <r>
      <rPr>
        <vertAlign val="subscript"/>
        <sz val="10"/>
        <rFont val="Verdana"/>
        <family val="2"/>
      </rPr>
      <t>CP</t>
    </r>
  </si>
  <si>
    <r>
      <t>k</t>
    </r>
    <r>
      <rPr>
        <vertAlign val="subscript"/>
        <sz val="10"/>
        <rFont val="Verdana"/>
        <family val="2"/>
      </rPr>
      <t>CP</t>
    </r>
  </si>
  <si>
    <t>Risque</t>
  </si>
  <si>
    <t>forte</t>
  </si>
  <si>
    <t>Faible</t>
  </si>
  <si>
    <t>Création de valeur</t>
  </si>
  <si>
    <t>Croissance anticipée</t>
  </si>
  <si>
    <t>très fort</t>
  </si>
  <si>
    <t>très faible</t>
  </si>
  <si>
    <r>
      <t>r</t>
    </r>
    <r>
      <rPr>
        <vertAlign val="subscript"/>
        <sz val="10"/>
        <rFont val="Verdana"/>
        <family val="2"/>
      </rPr>
      <t>F</t>
    </r>
  </si>
  <si>
    <t>Valeur du sous-jacent</t>
  </si>
  <si>
    <r>
      <t>(r</t>
    </r>
    <r>
      <rPr>
        <vertAlign val="subscript"/>
        <sz val="10"/>
        <rFont val="Verdana"/>
        <family val="2"/>
      </rPr>
      <t>F</t>
    </r>
    <r>
      <rPr>
        <sz val="10"/>
        <rFont val="Verdana"/>
        <family val="2"/>
      </rPr>
      <t>+σ²/2)*T</t>
    </r>
  </si>
  <si>
    <t>Application de Black Scholes - recalcul de la valeur</t>
  </si>
  <si>
    <t>Actions nouvelles</t>
  </si>
  <si>
    <t>Actions existantes</t>
  </si>
  <si>
    <t>Prix avant émission</t>
  </si>
  <si>
    <t>DS</t>
  </si>
  <si>
    <t>Cap. bours. ap. augm.</t>
  </si>
  <si>
    <t>Cours théorique après émission</t>
  </si>
  <si>
    <t>=</t>
  </si>
  <si>
    <t>Patrimoine avant opération</t>
  </si>
  <si>
    <t>Patrimoine après opération</t>
  </si>
  <si>
    <t>Cash</t>
  </si>
  <si>
    <t>- Cession</t>
  </si>
  <si>
    <t>Opération</t>
  </si>
  <si>
    <t>Nombre</t>
  </si>
  <si>
    <t>- Cash issu de l'opération</t>
  </si>
  <si>
    <t>- Actions</t>
  </si>
  <si>
    <t>a) Taux éxigé</t>
  </si>
  <si>
    <t>b) &amp; c)</t>
  </si>
  <si>
    <t>Aucun impact sur la trésorerie d'entreprise</t>
  </si>
  <si>
    <t>e)</t>
  </si>
  <si>
    <t>rent. exigée</t>
  </si>
  <si>
    <t>rent. dégagée</t>
  </si>
  <si>
    <t>&gt;</t>
  </si>
  <si>
    <t>Destruction de valeur</t>
  </si>
  <si>
    <t>&lt;</t>
  </si>
  <si>
    <t>Bénéfice</t>
  </si>
  <si>
    <t>Valeur des capitaux propres</t>
  </si>
  <si>
    <t>Nouveau résultat net</t>
  </si>
  <si>
    <t>Croissance du BPA</t>
  </si>
  <si>
    <t>Synergies industrielles</t>
  </si>
  <si>
    <t>Résultat net D</t>
  </si>
  <si>
    <t>Résultat net C</t>
  </si>
  <si>
    <t>Augm. nb. actions</t>
  </si>
  <si>
    <t>Augm. bénéfice</t>
  </si>
  <si>
    <t>Prix (transaction)</t>
  </si>
  <si>
    <t>CMPC</t>
  </si>
  <si>
    <t>Taux d'IS</t>
  </si>
  <si>
    <t>MVA</t>
  </si>
  <si>
    <t>EVA</t>
  </si>
  <si>
    <t>Dette sous-jacente</t>
  </si>
  <si>
    <r>
      <t>V</t>
    </r>
    <r>
      <rPr>
        <vertAlign val="subscript"/>
        <sz val="10"/>
        <rFont val="Verdana"/>
        <family val="2"/>
      </rPr>
      <t>D</t>
    </r>
    <r>
      <rPr>
        <sz val="10"/>
        <rFont val="Verdana"/>
        <family val="2"/>
      </rPr>
      <t>/(V</t>
    </r>
    <r>
      <rPr>
        <vertAlign val="subscript"/>
        <sz val="10"/>
        <rFont val="Verdana"/>
        <family val="2"/>
      </rPr>
      <t>CP</t>
    </r>
    <r>
      <rPr>
        <sz val="10"/>
        <rFont val="Verdana"/>
        <family val="2"/>
      </rPr>
      <t>+V</t>
    </r>
    <r>
      <rPr>
        <vertAlign val="subscript"/>
        <sz val="10"/>
        <rFont val="Verdana"/>
        <family val="2"/>
      </rPr>
      <t>D</t>
    </r>
    <r>
      <rPr>
        <sz val="10"/>
        <rFont val="Verdana"/>
        <family val="2"/>
      </rPr>
      <t>)</t>
    </r>
  </si>
  <si>
    <t>Exercice 2: emprunt des Eaux Minérales Syldaves</t>
  </si>
  <si>
    <t>Les Eaux Minérales Syldaves ont emprunté au taux de 8%, anticipant une hausse des taux d'intérêt</t>
  </si>
  <si>
    <t>cours avant aug. de cap.</t>
  </si>
  <si>
    <t>valeur du DS</t>
  </si>
  <si>
    <t>ou</t>
  </si>
  <si>
    <r>
      <t>V</t>
    </r>
    <r>
      <rPr>
        <vertAlign val="subscript"/>
        <sz val="10"/>
        <rFont val="Verdana"/>
        <family val="2"/>
      </rPr>
      <t>D</t>
    </r>
  </si>
  <si>
    <r>
      <t>V</t>
    </r>
    <r>
      <rPr>
        <vertAlign val="subscript"/>
        <sz val="10"/>
        <rFont val="Verdana"/>
        <family val="2"/>
      </rPr>
      <t>CP</t>
    </r>
  </si>
  <si>
    <r>
      <t>k</t>
    </r>
    <r>
      <rPr>
        <vertAlign val="subscript"/>
        <sz val="8"/>
        <rFont val="Verdana"/>
        <family val="2"/>
      </rPr>
      <t>D</t>
    </r>
  </si>
  <si>
    <t>Vente des actions B</t>
  </si>
  <si>
    <t>Reproduction de structure financière</t>
  </si>
  <si>
    <t>Titres C</t>
  </si>
  <si>
    <t>Placement en cash</t>
  </si>
  <si>
    <t>Revenus sur les actions</t>
  </si>
  <si>
    <t>Revenus sur le cash</t>
  </si>
  <si>
    <t>Rentabilité du portefeuille</t>
  </si>
  <si>
    <t>Pour un même niveau de risque :</t>
  </si>
  <si>
    <t>Cash disponible</t>
  </si>
  <si>
    <t>% du portefeuille en cash</t>
  </si>
  <si>
    <t>L'arbitrage cesse lorsque les VAE des deux sociétés convergent.</t>
  </si>
  <si>
    <t>Exemple :</t>
  </si>
  <si>
    <t>PER implicite</t>
  </si>
  <si>
    <t>VAE1</t>
  </si>
  <si>
    <t>b. valorisation des CP et D</t>
  </si>
  <si>
    <t>c. augmentation val des CP</t>
  </si>
  <si>
    <t>-&gt; transfert de valeur du créancier vers l'actionnaire</t>
  </si>
  <si>
    <t>Option 3 : échange de tout ou partie des titres Uninet contre des titres plus risqués</t>
  </si>
  <si>
    <t>-&gt; transfert de valeur des créanciers vers les actionnaires</t>
  </si>
  <si>
    <t>VAE</t>
  </si>
  <si>
    <t>Volatilité AE</t>
  </si>
  <si>
    <t>Taux actuariel dette</t>
  </si>
  <si>
    <t>Actionnaires</t>
  </si>
  <si>
    <t>Avant</t>
  </si>
  <si>
    <t>Après</t>
  </si>
  <si>
    <t>Créanciers</t>
  </si>
  <si>
    <r>
      <t xml:space="preserve">c) </t>
    </r>
    <r>
      <rPr>
        <i/>
        <u/>
        <sz val="10"/>
        <rFont val="Verdana"/>
        <family val="2"/>
      </rPr>
      <t>Bilan de l'opération</t>
    </r>
  </si>
  <si>
    <t>Proposition sous-traitant</t>
  </si>
  <si>
    <t>Nbre de pièces/an</t>
  </si>
  <si>
    <t>Chronique de flux solution interne par rapport à solution sous-traitée</t>
  </si>
  <si>
    <t>-&gt; ça dépend effectivement du nbre de pièces produites ! (voir ci-dessous)</t>
  </si>
  <si>
    <t>Re moyen</t>
  </si>
  <si>
    <t>Moins-value de cession</t>
  </si>
  <si>
    <t>Exercice 4 : société Rowak</t>
  </si>
  <si>
    <t>Var. bén./var.CP</t>
  </si>
  <si>
    <t>-&gt; Politique de distribution cohérente</t>
  </si>
  <si>
    <t>nouveau % de contrôle</t>
  </si>
  <si>
    <t>% contrôle initial</t>
  </si>
  <si>
    <t>% de contrôle ap detenu par actionnaire X</t>
  </si>
  <si>
    <t>% de contrôle detenu par 1 actionnaire X</t>
  </si>
  <si>
    <t>Poids de la dette</t>
  </si>
  <si>
    <t>+ Augmentation de capital en numéraire</t>
  </si>
  <si>
    <t>Indice des prix</t>
  </si>
  <si>
    <t>Production/Frais de personnel</t>
  </si>
  <si>
    <t>Résultat/capital propre</t>
  </si>
  <si>
    <t>Taux de croissance</t>
  </si>
  <si>
    <t>Frais financier/EBE</t>
  </si>
  <si>
    <t>Soldes des plus ou moins-values de cession</t>
  </si>
  <si>
    <t>mis en équivalence</t>
  </si>
  <si>
    <t>+ Résultat des sociétés mise en équivalence</t>
  </si>
  <si>
    <t>= Résultat net part du groupe</t>
  </si>
  <si>
    <t>Créances clients</t>
  </si>
  <si>
    <t>= Capacité d'autofinancement</t>
  </si>
  <si>
    <t>Croissance du CA</t>
  </si>
  <si>
    <t>Marge d'exploitation</t>
  </si>
  <si>
    <t>Marge nette</t>
  </si>
  <si>
    <t>Rentabilité économique</t>
  </si>
  <si>
    <t>Rentabilité économique après impôts</t>
  </si>
  <si>
    <t>Charges d'exploitation non maîtrisées</t>
  </si>
  <si>
    <t>en % des charges d'exploitation totales</t>
  </si>
  <si>
    <t>en % du CA</t>
  </si>
  <si>
    <t>Exposition</t>
  </si>
  <si>
    <t>Augmentation des matières premières</t>
  </si>
  <si>
    <t>Augmentation du coût de la main d'œuvre</t>
  </si>
  <si>
    <t>Incidence</t>
  </si>
  <si>
    <t>Rentabilité financière</t>
  </si>
  <si>
    <t>Marge brute</t>
  </si>
  <si>
    <t>Bénéfice net attendu</t>
  </si>
  <si>
    <t>Charges financières nettes</t>
  </si>
  <si>
    <t>Marges</t>
  </si>
  <si>
    <t>Retraitements</t>
  </si>
  <si>
    <t>du CA</t>
  </si>
  <si>
    <t>Exercice 3: Société Moretti</t>
  </si>
  <si>
    <t>Dettes charges sociales</t>
  </si>
  <si>
    <t>Dettes personnel</t>
  </si>
  <si>
    <t>Variation du BFR</t>
  </si>
  <si>
    <t>Cf. l'ouvrage</t>
  </si>
  <si>
    <t>Rotation du crédit clients</t>
  </si>
  <si>
    <t>Rotation du crédit fournisseurs</t>
  </si>
  <si>
    <t>1. Bilan économique</t>
  </si>
  <si>
    <t>2. Analyse du compte de résultat</t>
  </si>
  <si>
    <t>3. Ratio d'analyse du BFR</t>
  </si>
  <si>
    <t>5. Analyse de l'investissement</t>
  </si>
  <si>
    <t>Flux d'investissement/Immo</t>
  </si>
  <si>
    <t>6. Effet de levier</t>
  </si>
  <si>
    <t>Résultat d'exp après IS/AE</t>
  </si>
  <si>
    <t>Résultat d'exp après IS/CA</t>
  </si>
  <si>
    <t>CA/AE</t>
  </si>
  <si>
    <t>Taux de l'impôt sur les sociétés</t>
  </si>
  <si>
    <t>Marge nette corrigée (1)</t>
  </si>
  <si>
    <t>Rotation de l'actif économique (2)</t>
  </si>
  <si>
    <t>1+levier financier (3)</t>
  </si>
  <si>
    <t>+ Variation des provisions d'exploitation</t>
  </si>
  <si>
    <t>- Intérêts minoritaires</t>
  </si>
  <si>
    <t xml:space="preserve"> </t>
  </si>
  <si>
    <t>= Immobilisations</t>
  </si>
  <si>
    <t>- Fournisseurs</t>
  </si>
  <si>
    <t>= BFR</t>
  </si>
  <si>
    <t>Dettes bancaires et financières à LMT</t>
  </si>
  <si>
    <t>Dettes bancaires et financières à court terme</t>
  </si>
  <si>
    <t>= Endettement bancaire et financier net</t>
  </si>
  <si>
    <t>+ Augmentation/réduction de capital</t>
  </si>
  <si>
    <t>1. Analyse du compte de résultat</t>
  </si>
  <si>
    <t>2. Ratio d'analyse du BFR</t>
  </si>
  <si>
    <t>3. Analyse des flux de trésorie</t>
  </si>
  <si>
    <t>4. Analyse de l'investissement</t>
  </si>
  <si>
    <t>Nouveaux actionnaires</t>
  </si>
  <si>
    <t>Anciens actionnaires</t>
  </si>
  <si>
    <t>part dans le capital</t>
  </si>
  <si>
    <t>part dans les capitaux propres</t>
  </si>
  <si>
    <t>5. Effet de levier</t>
  </si>
  <si>
    <t>Marge économique (RE/CA)</t>
  </si>
  <si>
    <t>(1-IS)</t>
  </si>
  <si>
    <t>Rotation AE (CA/AE)</t>
  </si>
  <si>
    <t>(Re - i)</t>
  </si>
  <si>
    <t>Taux</t>
  </si>
  <si>
    <t>Valeur actuelle</t>
  </si>
  <si>
    <t>Valeur percue</t>
  </si>
  <si>
    <t>Durée</t>
  </si>
  <si>
    <t>Coefficient d'actualisation</t>
  </si>
  <si>
    <t>Valeur placée aujourd'hui</t>
  </si>
  <si>
    <t>Alternative</t>
  </si>
  <si>
    <t>Date (année)</t>
  </si>
  <si>
    <t>Taux d'actualisation</t>
  </si>
  <si>
    <t>Paiements actualisés</t>
  </si>
  <si>
    <t>Paiements bruts</t>
  </si>
  <si>
    <t>Exercice 6</t>
  </si>
  <si>
    <t>Valeur aujourd'hui</t>
  </si>
  <si>
    <t>Exercice 7</t>
  </si>
  <si>
    <t>Coefficient de capitalisation</t>
  </si>
  <si>
    <t>Durée (ans)</t>
  </si>
  <si>
    <t>Somme capitalisée</t>
  </si>
  <si>
    <t>Somme placée</t>
  </si>
  <si>
    <t>Exercice 8</t>
  </si>
  <si>
    <t>Aujourd'hui</t>
  </si>
  <si>
    <t>Dans 4 ans</t>
  </si>
  <si>
    <t>Exercice 9</t>
  </si>
  <si>
    <t>75%/n</t>
  </si>
  <si>
    <t>Exercice 10</t>
  </si>
  <si>
    <t>125%/n</t>
  </si>
  <si>
    <t>Exercice 11</t>
  </si>
  <si>
    <t>Valeur capitalisée</t>
  </si>
  <si>
    <t>Taux mini</t>
  </si>
  <si>
    <t>Exercice 12</t>
  </si>
  <si>
    <t>Capital initial</t>
  </si>
  <si>
    <t>Date de placement</t>
  </si>
  <si>
    <t>deniers</t>
  </si>
  <si>
    <t>Exercice 13</t>
  </si>
  <si>
    <t>K€</t>
  </si>
  <si>
    <t>Exercice 14</t>
  </si>
  <si>
    <t>Taux exigé</t>
  </si>
  <si>
    <t>$</t>
  </si>
  <si>
    <t>Prix maxi aujourd'hui</t>
  </si>
  <si>
    <t>Vo</t>
  </si>
  <si>
    <t>Flux</t>
  </si>
  <si>
    <t>VAN</t>
  </si>
  <si>
    <t>Rente annuelle</t>
  </si>
  <si>
    <t>Valeur actuelle de la rente perpétuelle</t>
  </si>
  <si>
    <t>Valeur actuelle de la rente perpétuelle revalorisée</t>
  </si>
  <si>
    <t>Taux de revalorisation</t>
  </si>
  <si>
    <t>Date</t>
  </si>
  <si>
    <t>Taux éxigé</t>
  </si>
  <si>
    <t>Prix maxi</t>
  </si>
  <si>
    <t>Prix marché</t>
  </si>
  <si>
    <t>-&gt; acheter car:</t>
  </si>
  <si>
    <t>Taux de rentabilité obtenu</t>
  </si>
  <si>
    <t>Valeur rente perpetuelle</t>
  </si>
  <si>
    <t>Années</t>
  </si>
  <si>
    <t>Valeur titre</t>
  </si>
  <si>
    <t>Prix annuel</t>
  </si>
  <si>
    <t>Croissance</t>
  </si>
  <si>
    <t>Coût d'opportunité</t>
  </si>
  <si>
    <t>Valeur offre location annuelle</t>
  </si>
  <si>
    <t>Droit TV</t>
  </si>
  <si>
    <t>0t7</t>
  </si>
  <si>
    <t>Valeur 30 ans</t>
  </si>
  <si>
    <t>Valeur infini</t>
  </si>
  <si>
    <t>Nbre de parutions</t>
  </si>
  <si>
    <t>Loyer</t>
  </si>
  <si>
    <t>Prix achat</t>
  </si>
  <si>
    <t>Revenu annuel</t>
  </si>
  <si>
    <t>Revenu avec MBA</t>
  </si>
  <si>
    <t>Interruption (an)</t>
  </si>
  <si>
    <t>Taux actualisation</t>
  </si>
  <si>
    <t>VA sans MBA</t>
  </si>
  <si>
    <t>VA avec MBA</t>
  </si>
  <si>
    <t>Coût du MBA</t>
  </si>
  <si>
    <t>VA nette du MBA</t>
  </si>
  <si>
    <t>Taux tous les 2 ans</t>
  </si>
  <si>
    <t>Taux actuariel</t>
  </si>
  <si>
    <t>Taux proportionnel sur 3 mois</t>
  </si>
  <si>
    <t>V0</t>
  </si>
  <si>
    <t>V2</t>
  </si>
  <si>
    <t>V7</t>
  </si>
  <si>
    <t>Durée (an)</t>
  </si>
  <si>
    <t>Vf</t>
  </si>
  <si>
    <t>Fréquence versement</t>
  </si>
  <si>
    <t>an</t>
  </si>
  <si>
    <t>TRA</t>
  </si>
  <si>
    <t>Titre 1</t>
  </si>
  <si>
    <t>Titre 2</t>
  </si>
  <si>
    <t>VAN Titre 1</t>
  </si>
  <si>
    <t>VAN Titre 2</t>
  </si>
  <si>
    <t>€</t>
  </si>
  <si>
    <t>Durée (Jours)</t>
  </si>
  <si>
    <t>Taux rentabilité</t>
  </si>
  <si>
    <t>Banquier 1</t>
  </si>
  <si>
    <t>Banquier 2</t>
  </si>
  <si>
    <t>Fréquence (mois)</t>
  </si>
  <si>
    <t>Taux actuariel eq</t>
  </si>
  <si>
    <t>Remboursement par annuité constante</t>
  </si>
  <si>
    <t>Remboursement par amortissement constant</t>
  </si>
  <si>
    <t>Capital restant dû</t>
  </si>
  <si>
    <t>Intérêts</t>
  </si>
  <si>
    <t>Annuité</t>
  </si>
  <si>
    <t>Amort. du capital</t>
  </si>
  <si>
    <t>Différé (an)</t>
  </si>
  <si>
    <t>Taux émission</t>
  </si>
  <si>
    <t>Taux remboursement</t>
  </si>
  <si>
    <t>Taux des intérêts</t>
  </si>
  <si>
    <t>Flux acheteur</t>
  </si>
  <si>
    <t>Flux émetteur</t>
  </si>
  <si>
    <t>Com placement</t>
  </si>
  <si>
    <t>Gestion annuelle</t>
  </si>
  <si>
    <t>Coût final</t>
  </si>
  <si>
    <t>Mensualité</t>
  </si>
  <si>
    <t>Valeur</t>
  </si>
  <si>
    <t>Nbre mensualités</t>
  </si>
  <si>
    <t>Date (mois)</t>
  </si>
  <si>
    <t>TRA (annuel)</t>
  </si>
  <si>
    <t>Taux d'intérêt mensuel</t>
  </si>
  <si>
    <t>Valeur marché</t>
  </si>
  <si>
    <t>Taux sur 2 périodes</t>
  </si>
  <si>
    <t>Rentabilité indice</t>
  </si>
  <si>
    <t>Rentabilités périodiques</t>
  </si>
  <si>
    <t>ou de manière plus détaillée</t>
  </si>
  <si>
    <t>Taux de rentabilité</t>
  </si>
  <si>
    <t>Ecart type</t>
  </si>
  <si>
    <t>Titres</t>
  </si>
  <si>
    <t>Rentabilité attendue</t>
  </si>
  <si>
    <t>Ecart-type</t>
  </si>
  <si>
    <t>ρ C,D</t>
  </si>
  <si>
    <t>Portefeuille</t>
  </si>
  <si>
    <t>β</t>
  </si>
  <si>
    <t>% d'actif sans risque ajouté</t>
  </si>
  <si>
    <t>% d'actif sans risque endetté</t>
  </si>
  <si>
    <t>r sans risque</t>
  </si>
  <si>
    <t>Action</t>
  </si>
  <si>
    <t>r observé</t>
  </si>
  <si>
    <t>prime risque marché</t>
  </si>
  <si>
    <t>évaluation</t>
  </si>
  <si>
    <t>EUR</t>
  </si>
  <si>
    <t>β Alboni.com</t>
  </si>
  <si>
    <t>prix max aujourd'hui</t>
  </si>
  <si>
    <t>r attendue</t>
  </si>
  <si>
    <t>bj1</t>
  </si>
  <si>
    <t>rj</t>
  </si>
  <si>
    <t>bj2</t>
  </si>
  <si>
    <t>rj - r medaf</t>
  </si>
  <si>
    <t>r medaf</t>
  </si>
  <si>
    <t>r marché</t>
  </si>
  <si>
    <t>valeur des capitaux propres</t>
  </si>
  <si>
    <t>valeur de l'endettement net</t>
  </si>
  <si>
    <t>résultat d'exploitation</t>
  </si>
  <si>
    <t>taux de croissance à 5 ans</t>
  </si>
  <si>
    <t>valeur mini actif economique</t>
  </si>
  <si>
    <t>valeur maxi actif economique</t>
  </si>
  <si>
    <t>multiple du résultat d'expl.</t>
  </si>
  <si>
    <t>valeur affinée de l'actif économique</t>
  </si>
  <si>
    <t>Montant</t>
  </si>
  <si>
    <t>MEUR</t>
  </si>
  <si>
    <t>Prix d'émission</t>
  </si>
  <si>
    <t>Date de jouissance</t>
  </si>
  <si>
    <t>Date de règlement</t>
  </si>
  <si>
    <t>ans</t>
  </si>
  <si>
    <t>Intérêt annuel</t>
  </si>
  <si>
    <t>Chronique des flux</t>
  </si>
  <si>
    <t>Flux actualisés</t>
  </si>
  <si>
    <t>Taux rendement actuariel</t>
  </si>
  <si>
    <t>Sensibilité</t>
  </si>
  <si>
    <t>Duration</t>
  </si>
  <si>
    <t>VA</t>
  </si>
  <si>
    <t>Taux requis</t>
  </si>
  <si>
    <t xml:space="preserve">flux </t>
  </si>
  <si>
    <t>durée</t>
  </si>
  <si>
    <t>TMO</t>
  </si>
  <si>
    <t>Taux emprunt TA</t>
  </si>
  <si>
    <t>Taux emprunt TB</t>
  </si>
  <si>
    <t>Date d'échéance</t>
  </si>
  <si>
    <t>Cours</t>
  </si>
  <si>
    <t>Taux actuariels</t>
  </si>
  <si>
    <t>0t1</t>
  </si>
  <si>
    <t>0t2</t>
  </si>
  <si>
    <t>0t3</t>
  </si>
  <si>
    <t>0t4</t>
  </si>
  <si>
    <t>0t5</t>
  </si>
  <si>
    <t>0t6</t>
  </si>
  <si>
    <t>g</t>
  </si>
  <si>
    <t>V</t>
  </si>
  <si>
    <t>Cours action</t>
  </si>
  <si>
    <t>BPA</t>
  </si>
  <si>
    <t>Taux distribution</t>
  </si>
  <si>
    <t>PER</t>
  </si>
  <si>
    <t>PER (année 3)</t>
  </si>
  <si>
    <t>Bénéfice net par action (année 3)</t>
  </si>
  <si>
    <t>Valeur action (année 3)</t>
  </si>
  <si>
    <t>Dettes/CP</t>
  </si>
  <si>
    <t>Exercice 2: Ouragan</t>
  </si>
  <si>
    <t>Exercice 3: Norne</t>
  </si>
  <si>
    <t>Exercice 1: emprunt Sanzot</t>
  </si>
  <si>
    <t>Exercice 2 : Nestor SA</t>
  </si>
  <si>
    <t>Nbre d'actions de Séraphin</t>
  </si>
  <si>
    <t>rCP</t>
  </si>
  <si>
    <t>PBR</t>
  </si>
  <si>
    <t>(opérateur de marcher)</t>
  </si>
  <si>
    <t>Alternative 1: par l'opérateur</t>
  </si>
  <si>
    <t>J'emprunte dans 3 mois</t>
  </si>
  <si>
    <t>Je rends dans 6 mois</t>
  </si>
  <si>
    <t>Alternative 2: par l'arbitrage suivant</t>
  </si>
  <si>
    <t>je place aujourd'hui pour 3 mois</t>
  </si>
  <si>
    <t>Recapitalisation</t>
  </si>
  <si>
    <t>On me rends 3 mois plus tard</t>
  </si>
  <si>
    <t>Je rends au terme des 6 mois</t>
  </si>
  <si>
    <t>Gain alternative 2 sur 1</t>
  </si>
  <si>
    <t>d</t>
  </si>
  <si>
    <t>Option d'achat</t>
  </si>
  <si>
    <t>Échéance</t>
  </si>
  <si>
    <t>N(d2)</t>
  </si>
  <si>
    <t>N(d1)</t>
  </si>
  <si>
    <t>V act sj</t>
  </si>
  <si>
    <t>T</t>
  </si>
  <si>
    <t>d1</t>
  </si>
  <si>
    <t>d2</t>
  </si>
  <si>
    <t>ln(V/K)</t>
  </si>
  <si>
    <t>Exercice K</t>
  </si>
  <si>
    <t>(rF+σ²/2)*T</t>
  </si>
  <si>
    <t>σ*√T</t>
  </si>
  <si>
    <t>exp(-T*rF)</t>
  </si>
  <si>
    <t>Vol σ</t>
  </si>
  <si>
    <t>Valeur option</t>
  </si>
  <si>
    <t>option 1</t>
  </si>
  <si>
    <t>option 2</t>
  </si>
  <si>
    <t>Option d'achat (option 1)</t>
  </si>
  <si>
    <t>CP + endettement net = AE</t>
  </si>
  <si>
    <t>Valeur en jours de CA</t>
  </si>
  <si>
    <t>Part du risque total dû au marché</t>
  </si>
  <si>
    <t>Question 2</t>
  </si>
  <si>
    <t>Montant investissement</t>
  </si>
  <si>
    <t>Bénéfices annuels inf.</t>
  </si>
  <si>
    <t>Valeur action</t>
  </si>
  <si>
    <t>Bénéfice net</t>
  </si>
  <si>
    <t>Division</t>
  </si>
  <si>
    <t>Taux de rentabilité éxigé par le marché</t>
  </si>
  <si>
    <t>Résultat économique après impôt</t>
  </si>
  <si>
    <t>Distribution</t>
  </si>
  <si>
    <t>Investissement dans …</t>
  </si>
  <si>
    <t>Valeur créée</t>
  </si>
  <si>
    <t>Valeur de marché</t>
  </si>
  <si>
    <t>Résultat d'exp. sur nouvel investissement</t>
  </si>
  <si>
    <t>Résultat d'exp. actu</t>
  </si>
  <si>
    <t>Valeur de la division</t>
  </si>
  <si>
    <t>Valeur éxigée</t>
  </si>
  <si>
    <t>Vcp/V</t>
  </si>
  <si>
    <t>kcp</t>
  </si>
  <si>
    <t>Vd/V</t>
  </si>
  <si>
    <t>kd</t>
  </si>
  <si>
    <t>k</t>
  </si>
  <si>
    <t>Société</t>
  </si>
  <si>
    <t>Résultat d'exp.</t>
  </si>
  <si>
    <t>Vcp</t>
  </si>
  <si>
    <t>Vd</t>
  </si>
  <si>
    <t>Vd/(Vcp+Vd)</t>
  </si>
  <si>
    <t>Taux de distribution</t>
  </si>
  <si>
    <t>dividendes annuels</t>
  </si>
  <si>
    <t>dette</t>
  </si>
  <si>
    <t>Portefeuille perso</t>
  </si>
  <si>
    <t>valeur des actions</t>
  </si>
  <si>
    <t>% d'actions initial</t>
  </si>
  <si>
    <t>montant</t>
  </si>
  <si>
    <t>placement</t>
  </si>
  <si>
    <t>revenus totaux</t>
  </si>
  <si>
    <t>Arbitrage</t>
  </si>
  <si>
    <t>Dette sousjacente</t>
  </si>
  <si>
    <t>kcp0</t>
  </si>
  <si>
    <t>kd1</t>
  </si>
  <si>
    <t>k0</t>
  </si>
  <si>
    <t>AE0</t>
  </si>
  <si>
    <t>Vd1</t>
  </si>
  <si>
    <t>Vcp1</t>
  </si>
  <si>
    <t>AE1</t>
  </si>
  <si>
    <t>kcp1</t>
  </si>
  <si>
    <t>β0</t>
  </si>
  <si>
    <t>k1</t>
  </si>
  <si>
    <t>β1</t>
  </si>
  <si>
    <t>βcp0</t>
  </si>
  <si>
    <t>βcp1</t>
  </si>
  <si>
    <t>βd1</t>
  </si>
  <si>
    <t>IS</t>
  </si>
  <si>
    <t>Vcp0</t>
  </si>
  <si>
    <t>V eco impôt</t>
  </si>
  <si>
    <t>Vd total</t>
  </si>
  <si>
    <t>Nouvelle dette</t>
  </si>
  <si>
    <t>Δ Vd1</t>
  </si>
  <si>
    <t>Δ Vd2</t>
  </si>
  <si>
    <t>La banque m'achète mes USD</t>
  </si>
  <si>
    <t>Je place mes EUR</t>
  </si>
  <si>
    <t>La banque me vends des USD</t>
  </si>
  <si>
    <t>Je place mes USD</t>
  </si>
  <si>
    <t>J'emprunte mes EUR</t>
  </si>
  <si>
    <t>V eco impôt non reçue &gt; 4 ans</t>
  </si>
  <si>
    <t>Résultat d'expl.</t>
  </si>
  <si>
    <t>Résultat av impôt</t>
  </si>
  <si>
    <t>Impôt sur le revenu</t>
  </si>
  <si>
    <t>sur les dividendes/+ values</t>
  </si>
  <si>
    <t>sur les intérêts</t>
  </si>
  <si>
    <t>Revenu net pour l'investisseur</t>
  </si>
  <si>
    <t>Impôts totaux</t>
  </si>
  <si>
    <t>Verfinance</t>
  </si>
  <si>
    <t>Années avant décès</t>
  </si>
  <si>
    <t>V actions Uninet</t>
  </si>
  <si>
    <t>n actions Uninet</t>
  </si>
  <si>
    <t>Options d'achat Uninet</t>
  </si>
  <si>
    <t>Prix exercice</t>
  </si>
  <si>
    <t>Option à 5 ans</t>
  </si>
  <si>
    <t>Options à 7 ans</t>
  </si>
  <si>
    <t>Vcp verfinance</t>
  </si>
  <si>
    <t>Vd verfinance</t>
  </si>
  <si>
    <t>Vd verfinance/n actions</t>
  </si>
  <si>
    <t>Option 1: Repousser la date d'échéance de la dette à 7 ans, alors:</t>
  </si>
  <si>
    <t>nbre actions cédées</t>
  </si>
  <si>
    <t>Option 2: Céder une partie des actions</t>
  </si>
  <si>
    <t>Vae</t>
  </si>
  <si>
    <t>avant</t>
  </si>
  <si>
    <t>après</t>
  </si>
  <si>
    <t>Augmentation de capital</t>
  </si>
  <si>
    <t>Δ Vcp</t>
  </si>
  <si>
    <t>Δ Vd</t>
  </si>
  <si>
    <t>Holding SA</t>
  </si>
  <si>
    <t>Options d'achat Fille SA</t>
  </si>
  <si>
    <t>V actions Fille SA</t>
  </si>
  <si>
    <t>Option à 3 ans</t>
  </si>
  <si>
    <t>Valeur unit.</t>
  </si>
  <si>
    <t>nbre</t>
  </si>
  <si>
    <t>V actions Holding SA</t>
  </si>
  <si>
    <t>Obligations émises</t>
  </si>
  <si>
    <t>Actions Fille SA vendues</t>
  </si>
  <si>
    <t>Vcp avant</t>
  </si>
  <si>
    <t>Vd avant</t>
  </si>
  <si>
    <t>Vcp après</t>
  </si>
  <si>
    <t>Vd après</t>
  </si>
  <si>
    <t>Dette/n actions Holding SA</t>
  </si>
  <si>
    <t>option d'achat de 94 actions Fille SA au prix de 300 000, soit:</t>
  </si>
  <si>
    <t>Prix d'exercice</t>
  </si>
  <si>
    <t>Valeur de l'option</t>
  </si>
  <si>
    <t>achat matériel</t>
  </si>
  <si>
    <t>M EUR</t>
  </si>
  <si>
    <t>frais d'installation</t>
  </si>
  <si>
    <t>durée d'utilisation</t>
  </si>
  <si>
    <t>valeur résiduelle</t>
  </si>
  <si>
    <t>augmentation du BFR</t>
  </si>
  <si>
    <t>augmentation annuel de l'EBE</t>
  </si>
  <si>
    <t>amortissement sur</t>
  </si>
  <si>
    <t>Echéancier des flux du projet</t>
  </si>
  <si>
    <t>Flux total</t>
  </si>
  <si>
    <t>Amortissement</t>
  </si>
  <si>
    <t>Δ EBE</t>
  </si>
  <si>
    <t>TRI</t>
  </si>
  <si>
    <t>Achat nouvelle machine</t>
  </si>
  <si>
    <t>Calcul VAN</t>
  </si>
  <si>
    <t>Calcul TRI</t>
  </si>
  <si>
    <t>durée de vie</t>
  </si>
  <si>
    <t>coût</t>
  </si>
  <si>
    <t>amortissement linéaire sur 5 ans</t>
  </si>
  <si>
    <t>économies annuelles de charges</t>
  </si>
  <si>
    <t>Cession machine actuelle</t>
  </si>
  <si>
    <t>coût achat an dernier</t>
  </si>
  <si>
    <t>valeur nette comptable aujourd'hui</t>
  </si>
  <si>
    <t>prix de cession possible</t>
  </si>
  <si>
    <t>Taux de rentabilité éxigé</t>
  </si>
  <si>
    <t>achat</t>
  </si>
  <si>
    <t>Δ impôt</t>
  </si>
  <si>
    <t>cession</t>
  </si>
  <si>
    <t>moins value de cession</t>
  </si>
  <si>
    <t>Flux actualisés et cumulés</t>
  </si>
  <si>
    <t>subvention</t>
  </si>
  <si>
    <t>investissement initial</t>
  </si>
  <si>
    <t>Chronique de flux</t>
  </si>
  <si>
    <t>- Flux d'investissement</t>
  </si>
  <si>
    <t>1 USD</t>
  </si>
  <si>
    <t>acheteur/ emprunte</t>
  </si>
  <si>
    <t>vendeur/ prête</t>
  </si>
  <si>
    <t>(point de vue de la banque)</t>
  </si>
  <si>
    <t>la banque achète dans 3 mois 1 USD pour ? EUR</t>
  </si>
  <si>
    <t>Dividendes (p)</t>
  </si>
  <si>
    <t>1 - en se plaçant en début d'année 0</t>
  </si>
  <si>
    <t xml:space="preserve">Flux actualisés </t>
  </si>
  <si>
    <t>2- en se plaçant en fin de période 0</t>
  </si>
  <si>
    <t>Ct (1 EUR)</t>
  </si>
  <si>
    <t>la banque vends dans 3 mois 1 USD pour ? EUR</t>
  </si>
  <si>
    <t>date</t>
  </si>
  <si>
    <t>investissement</t>
  </si>
  <si>
    <t>Investissement machine</t>
  </si>
  <si>
    <t>Coût unitaire</t>
  </si>
  <si>
    <t>Nbre de pieces/an</t>
  </si>
  <si>
    <t>Charges</t>
  </si>
  <si>
    <t>Exploitation</t>
  </si>
  <si>
    <t>Amortissements</t>
  </si>
  <si>
    <t>Produits</t>
  </si>
  <si>
    <t>Parking</t>
  </si>
  <si>
    <t>Garage</t>
  </si>
  <si>
    <t>Station service</t>
  </si>
  <si>
    <t>Investissement initial</t>
  </si>
  <si>
    <t>Revenus net</t>
  </si>
  <si>
    <t>Flux cumulés et actualisés</t>
  </si>
  <si>
    <t>Délai de récupération</t>
  </si>
  <si>
    <t>VAN à 10%</t>
  </si>
  <si>
    <t>Calcul de la rentabilité économique</t>
  </si>
  <si>
    <t>Calcul du délai de récupération &amp; VAN à 10%</t>
  </si>
  <si>
    <t>Calcul du TRI</t>
  </si>
  <si>
    <t>VNC des immo</t>
  </si>
  <si>
    <t>BFR moyen</t>
  </si>
  <si>
    <t>Chronique de flux nouvelle machine</t>
  </si>
  <si>
    <t>Cession ancienne machine</t>
  </si>
  <si>
    <t>Taux de crédit d'impôt sur - values</t>
  </si>
  <si>
    <t>Prix d'achat</t>
  </si>
  <si>
    <t>Durée totale d'amortissement</t>
  </si>
  <si>
    <t>Crédit d'impôt</t>
  </si>
  <si>
    <t>Valeur nominalement d'amortissement</t>
  </si>
  <si>
    <t>Production annuelle</t>
  </si>
  <si>
    <t>Coûts nouvelle machine</t>
  </si>
  <si>
    <t>Coûts machine initiale</t>
  </si>
  <si>
    <t>main d'œuvre dir/unité</t>
  </si>
  <si>
    <t>mat prem/unité</t>
  </si>
  <si>
    <t>admin/unité</t>
  </si>
  <si>
    <t>Δ IS</t>
  </si>
  <si>
    <t>Δ IS (hors crédit d'impôt)</t>
  </si>
  <si>
    <t>Cession fin de vie</t>
  </si>
  <si>
    <t>Gain coût de fab</t>
  </si>
  <si>
    <t>Gain sur achat extérieur</t>
  </si>
  <si>
    <t>Allongement de la durée du crédit (jours)</t>
  </si>
  <si>
    <t>Accroissement des ventes</t>
  </si>
  <si>
    <t>Chiffre d'affaires annuel</t>
  </si>
  <si>
    <t>Prix vente/unité</t>
  </si>
  <si>
    <t>Prix de revient</t>
  </si>
  <si>
    <t>Coûts fixes</t>
  </si>
  <si>
    <t>Rentabilité exigée avant impôt sur CP</t>
  </si>
  <si>
    <t>CA</t>
  </si>
  <si>
    <t>Chronique des flux actualisés</t>
  </si>
  <si>
    <t>Durée d'allongement optimum</t>
  </si>
  <si>
    <t>Augmentation des créance douteuses</t>
  </si>
  <si>
    <t>Créances douteuses/ventes</t>
  </si>
  <si>
    <t>crédit d'impôt</t>
  </si>
  <si>
    <t>Δ amortissement</t>
  </si>
  <si>
    <t>Chronique des flux de la nouvelle machine par rapport à l'ancienne</t>
  </si>
  <si>
    <t>pièces</t>
  </si>
  <si>
    <t>paiement client actualisé à la date de paiement</t>
  </si>
  <si>
    <t>coûts de fabrication</t>
  </si>
  <si>
    <t>nbre de pièces fabriquées ( en milliers)</t>
  </si>
  <si>
    <t>résultat d'expl.</t>
  </si>
  <si>
    <t>Δ résultat d'expl.</t>
  </si>
  <si>
    <t>VAN av IS</t>
  </si>
  <si>
    <t>VAN ap IS</t>
  </si>
  <si>
    <t>a. Cacul des dilutions</t>
  </si>
  <si>
    <t>Chronique des flux différentiels &amp; actualisés</t>
  </si>
  <si>
    <t>Cotation de l'action</t>
  </si>
  <si>
    <t>Dividendes 5 1ères années</t>
  </si>
  <si>
    <t>Dividendes après</t>
  </si>
  <si>
    <t>flux</t>
  </si>
  <si>
    <t>Valeur nominale de la dette</t>
  </si>
  <si>
    <t>Cotation de la dette</t>
  </si>
  <si>
    <t>rd</t>
  </si>
  <si>
    <t>flux actualisés</t>
  </si>
  <si>
    <t>Nbre d'actions émises</t>
  </si>
  <si>
    <t>Montant comptable</t>
  </si>
  <si>
    <t>CP</t>
  </si>
  <si>
    <t>presentation par destination</t>
  </si>
  <si>
    <t>Cout des ventes</t>
  </si>
  <si>
    <t>Rémunération perpétuelle</t>
  </si>
  <si>
    <t>Calcul du coût du capital</t>
  </si>
  <si>
    <t>Coût</t>
  </si>
  <si>
    <t>Flux avant impôt</t>
  </si>
  <si>
    <t>Structure de financement</t>
  </si>
  <si>
    <t>Proportion</t>
  </si>
  <si>
    <t>Coût avant impôt</t>
  </si>
  <si>
    <t>Coût après impôt</t>
  </si>
  <si>
    <t>flux av IS</t>
  </si>
  <si>
    <t>flux ap IS</t>
  </si>
  <si>
    <t>Exercice 6: cas Cyclone</t>
  </si>
  <si>
    <t>Division trasport maritime</t>
  </si>
  <si>
    <t>Division chantier naval</t>
  </si>
  <si>
    <t>Capitalisation boursière</t>
  </si>
  <si>
    <t>Re av IS</t>
  </si>
  <si>
    <t>βd estimé</t>
  </si>
  <si>
    <t>βcp observé</t>
  </si>
  <si>
    <t>Taux ss risque</t>
  </si>
  <si>
    <t>rm</t>
  </si>
  <si>
    <t>Groupe</t>
  </si>
  <si>
    <t>Apport aujourd'hui</t>
  </si>
  <si>
    <t>Retour dans 5 ans</t>
  </si>
  <si>
    <t>maxi!</t>
  </si>
  <si>
    <t>Investissement proposé</t>
  </si>
  <si>
    <t>Re ap IS</t>
  </si>
  <si>
    <t>g objectif</t>
  </si>
  <si>
    <t>rd av IS</t>
  </si>
  <si>
    <t>Structure financière implicitement choisie</t>
  </si>
  <si>
    <t>D/C</t>
  </si>
  <si>
    <t>Taux de croissance implicitement prévu</t>
  </si>
  <si>
    <t>AE</t>
  </si>
  <si>
    <t>Res. d'expl. ap IS</t>
  </si>
  <si>
    <t>Frais fi. ap IS</t>
  </si>
  <si>
    <t>Résultat réinvesti</t>
  </si>
  <si>
    <t>CP ap répartition</t>
  </si>
  <si>
    <t>rendement net</t>
  </si>
  <si>
    <t>nb actions</t>
  </si>
  <si>
    <t>Levée</t>
  </si>
  <si>
    <t>valeur action émise</t>
  </si>
  <si>
    <t>Vdps</t>
  </si>
  <si>
    <t>dil apparente</t>
  </si>
  <si>
    <t>dil réelle</t>
  </si>
  <si>
    <t>dil technique</t>
  </si>
  <si>
    <t>coef d'ajustement</t>
  </si>
  <si>
    <t>Proportion de souscription</t>
  </si>
  <si>
    <t>Distribution d'actions gratuites?</t>
  </si>
  <si>
    <t>produit de la vente des DPS</t>
  </si>
  <si>
    <t>nb de DPS à vendre</t>
  </si>
  <si>
    <t>achat d'actions avec les DPS restants</t>
  </si>
  <si>
    <t>bilan vente/achat</t>
  </si>
  <si>
    <t>nb d'actions achetées</t>
  </si>
  <si>
    <t>C'est équivalent à la distribution de</t>
  </si>
  <si>
    <t>actions gratuites</t>
  </si>
  <si>
    <t>L'actionnaire ne suit pas…</t>
  </si>
  <si>
    <t>Tous les actionnaires suivent</t>
  </si>
  <si>
    <t>augmentation capital</t>
  </si>
  <si>
    <t>souscription par actionnaire X</t>
  </si>
  <si>
    <t>Nouveau BPA</t>
  </si>
  <si>
    <t>Ancien BPA</t>
  </si>
  <si>
    <t>Croissance des CP</t>
  </si>
  <si>
    <t>CP av</t>
  </si>
  <si>
    <t>CP ap</t>
  </si>
  <si>
    <t>croissance CP</t>
  </si>
  <si>
    <t>CPA av</t>
  </si>
  <si>
    <t>CPA ap</t>
  </si>
  <si>
    <t>sans brutale fièvre</t>
  </si>
  <si>
    <t>avec brutale fièvre</t>
  </si>
  <si>
    <t>Nb actions</t>
  </si>
  <si>
    <t>Rapport de souscription</t>
  </si>
  <si>
    <t>en % de Vcp</t>
  </si>
  <si>
    <t>V AE</t>
  </si>
  <si>
    <t>Placement</t>
  </si>
  <si>
    <t>revenu</t>
  </si>
  <si>
    <t>Comparaison des 2 investissements concurrents</t>
  </si>
  <si>
    <t>% d'actions</t>
  </si>
  <si>
    <t>Somme initiale à investir</t>
  </si>
  <si>
    <t>Taux EUR 3 mois</t>
  </si>
  <si>
    <t>Taux USD 3 mois</t>
  </si>
  <si>
    <t>1 EUR</t>
  </si>
  <si>
    <t>USD</t>
  </si>
  <si>
    <t>Cs (1 USD)</t>
  </si>
  <si>
    <t>Ct (1 USD)</t>
  </si>
  <si>
    <t>J'emprunte USD</t>
  </si>
  <si>
    <t>- Valeurs mob, de placement et disponibilités</t>
  </si>
  <si>
    <t>Taux EUR 6 mois</t>
  </si>
  <si>
    <t>1 EUR Spot</t>
  </si>
  <si>
    <t>1 EUR à 6 mois</t>
  </si>
  <si>
    <t>J'emprunte à quel taux USD à 6 mois?</t>
  </si>
  <si>
    <t>Je place à quel taux USD à 6 mois?</t>
  </si>
  <si>
    <t>j'emprunte des EUR</t>
  </si>
  <si>
    <t>j'achète des USD</t>
  </si>
  <si>
    <t>je vends des USD dans 6 mois</t>
  </si>
  <si>
    <t>Taux USD 6 mois</t>
  </si>
  <si>
    <t>je vends des USD</t>
  </si>
  <si>
    <t>je place des EUR</t>
  </si>
  <si>
    <t>j'achète des USD dans 6 mois</t>
  </si>
  <si>
    <t>500 M$ dans 3 mois et pour 3 mois</t>
  </si>
  <si>
    <t>j'emprunte aujourd'hui pour 6 mois</t>
  </si>
  <si>
    <t>Δ coût crédit client</t>
  </si>
  <si>
    <t>Actions</t>
  </si>
  <si>
    <t>Obligations</t>
  </si>
  <si>
    <t>Valeur nominale</t>
  </si>
  <si>
    <t>Bénéfice attendu</t>
  </si>
  <si>
    <t>Taux imposition</t>
  </si>
  <si>
    <t>BPA "fully diluted"</t>
  </si>
  <si>
    <t>Obligation convertible</t>
  </si>
  <si>
    <t>Taux d'intérêt</t>
  </si>
  <si>
    <t>Prix de souscription de l'action X</t>
  </si>
  <si>
    <t>Taux de placement avant impôt</t>
  </si>
  <si>
    <t>OBSA
(placement fonds à 8%)</t>
  </si>
  <si>
    <t>OBSA
(rachat actions)</t>
  </si>
  <si>
    <t>Taux emprunt initial</t>
  </si>
  <si>
    <t>Émission de l'OBSA pour rembourser un emprunt</t>
  </si>
  <si>
    <t>Gain</t>
  </si>
  <si>
    <t>Gain par action (fully diluted)</t>
  </si>
  <si>
    <t>Nbre d'actions</t>
  </si>
  <si>
    <t>Cours de bourse</t>
  </si>
  <si>
    <t>Capitaux propres comptables</t>
  </si>
  <si>
    <t>Rachat</t>
  </si>
  <si>
    <t>Prix</t>
  </si>
  <si>
    <t>CPA</t>
  </si>
  <si>
    <t>initial</t>
  </si>
  <si>
    <t>Coût dette après impôt</t>
  </si>
  <si>
    <t>rachat à 500</t>
  </si>
  <si>
    <t>rachat à 1500</t>
  </si>
  <si>
    <t>un indice est donne case A137 de cette feuille</t>
  </si>
  <si>
    <t>Société Boislevé - bilan économique</t>
  </si>
  <si>
    <t>Société Boislevé - compte de résultat (présentation par nature)</t>
  </si>
  <si>
    <t>Société Boislevé - compte de résultat (présentation par fonction)</t>
  </si>
  <si>
    <t>Capitaux propres comptables part du groupe</t>
  </si>
  <si>
    <t>- Δ BFR</t>
  </si>
  <si>
    <t>Frais financiers avant impôt</t>
  </si>
  <si>
    <t>Taux impôt</t>
  </si>
  <si>
    <t>Financement par capitaux propres …</t>
  </si>
  <si>
    <t>Taux de croissance du BPA</t>
  </si>
  <si>
    <t>… ou par endettement</t>
  </si>
  <si>
    <t>Valeur attendue</t>
  </si>
  <si>
    <t>Avant absorbsion</t>
  </si>
  <si>
    <t>Après absorbsion…</t>
  </si>
  <si>
    <t>Méthode bénéfice net</t>
  </si>
  <si>
    <t>Méthode Vcp</t>
  </si>
  <si>
    <t>Méthode CP</t>
  </si>
  <si>
    <t>Nombre d'actions</t>
  </si>
  <si>
    <t>b. PER différents</t>
  </si>
  <si>
    <t>c. Partage des synergies?</t>
  </si>
  <si>
    <t>Accroissement du bénéf</t>
  </si>
  <si>
    <t>PER ap fusion</t>
  </si>
  <si>
    <t>Valeur créée par la fusion</t>
  </si>
  <si>
    <t>e. Valeur créée</t>
  </si>
  <si>
    <t>V créée</t>
  </si>
  <si>
    <t>Synergie</t>
  </si>
  <si>
    <t>… dans (ans)</t>
  </si>
  <si>
    <t>Consommations</t>
  </si>
  <si>
    <t>Flux d'exploitation</t>
  </si>
  <si>
    <t>Moyenne PER</t>
  </si>
  <si>
    <t>Période</t>
  </si>
  <si>
    <t>Recettes d'explotation</t>
  </si>
  <si>
    <t>Dépenses d'exploitation</t>
  </si>
  <si>
    <t>ETE</t>
  </si>
  <si>
    <t>Investissement</t>
  </si>
  <si>
    <t>Flux de trésorie disponible avant impôt</t>
  </si>
  <si>
    <t>Flux revenant aux créanciers</t>
  </si>
  <si>
    <t>Flux revenant aux actionnaires</t>
  </si>
  <si>
    <t>Stock</t>
  </si>
  <si>
    <t>Frais de personnel</t>
  </si>
  <si>
    <t>Transport</t>
  </si>
  <si>
    <t>Total</t>
  </si>
  <si>
    <t>Prêt</t>
  </si>
  <si>
    <t>Intérêt</t>
  </si>
  <si>
    <t>Année</t>
  </si>
  <si>
    <t>Présentation par nature</t>
  </si>
  <si>
    <t>Moyenne des Re</t>
  </si>
  <si>
    <t>Augmentation du chiffre d'affaires</t>
  </si>
  <si>
    <t>Production vendue</t>
  </si>
  <si>
    <t>Production stockée</t>
  </si>
  <si>
    <t>Production</t>
  </si>
  <si>
    <t>Charges d'exploitation consommées</t>
  </si>
  <si>
    <t>Impôts sur les résultats</t>
  </si>
  <si>
    <t>Carlsberg</t>
  </si>
  <si>
    <t>L'Oréal</t>
  </si>
  <si>
    <t xml:space="preserve">COMPTE DE RESULTAT </t>
  </si>
  <si>
    <t xml:space="preserve">BILAN simplifié </t>
  </si>
  <si>
    <t>En Md€</t>
  </si>
  <si>
    <t>en MdDKR</t>
  </si>
  <si>
    <t>Capitaux propres totaux</t>
  </si>
  <si>
    <t xml:space="preserve">Résultat net </t>
  </si>
  <si>
    <t>Exercice 2: Analyse de la société B 2000</t>
  </si>
  <si>
    <t>après JC</t>
  </si>
  <si>
    <t>Flux de l'année</t>
  </si>
  <si>
    <t>vaut</t>
  </si>
  <si>
    <t>cumul</t>
  </si>
  <si>
    <t>placé au bout de …. ans</t>
  </si>
  <si>
    <t xml:space="preserve">Si valeur finale = </t>
  </si>
  <si>
    <t>par an</t>
  </si>
  <si>
    <t>alors la somme annuelle placée à 4 % est :</t>
  </si>
  <si>
    <t>sans calcul</t>
  </si>
  <si>
    <t xml:space="preserve">3 pour 4 </t>
  </si>
  <si>
    <t>Prix d'émission de 3 actions +4 DS</t>
  </si>
  <si>
    <t>Valeur de 3 actions - 3 DS</t>
  </si>
  <si>
    <t>- 3 DS</t>
  </si>
  <si>
    <t>+ 4 DS</t>
  </si>
  <si>
    <t>Capitalisation Boursière</t>
  </si>
  <si>
    <t xml:space="preserve">BFR induit </t>
  </si>
  <si>
    <t>Taux d' IS</t>
  </si>
  <si>
    <t>Flux de tresorererie</t>
  </si>
  <si>
    <t>amortissement lineaire sur … ans</t>
  </si>
  <si>
    <t>année</t>
  </si>
  <si>
    <t>dotation aux amortissements</t>
  </si>
  <si>
    <t>Flux de tresorerie</t>
  </si>
  <si>
    <t>amortissement dégressif sur … ans</t>
  </si>
  <si>
    <t>le calcul du taux de rentabilité économique est donné dans le Vernimmen.</t>
  </si>
  <si>
    <t>Fond Objectif Syldavie</t>
  </si>
  <si>
    <t>Fond Syldavie Diversification</t>
  </si>
  <si>
    <t>Klow 300</t>
  </si>
  <si>
    <t>Exédent Brut d'Exploitation (EBE)</t>
  </si>
  <si>
    <t>Dotations aux amortissements</t>
  </si>
  <si>
    <t>Société Castafiore Spa</t>
  </si>
  <si>
    <t>Société Nestor</t>
  </si>
  <si>
    <t>Sociétés Tryphon et Tournesol</t>
  </si>
  <si>
    <t>Tryphon</t>
  </si>
  <si>
    <t>Tournesol</t>
  </si>
  <si>
    <t>Société Ottokar</t>
  </si>
  <si>
    <t>Société Bianca</t>
  </si>
  <si>
    <t>Société Castafiore</t>
  </si>
  <si>
    <t>Exercice 1: La machine à coudre nucléaire !</t>
  </si>
  <si>
    <t>Société Enron</t>
  </si>
  <si>
    <t>Publicis</t>
  </si>
  <si>
    <t>Dupont</t>
  </si>
  <si>
    <t>Control par Mr Dupont</t>
  </si>
  <si>
    <t>Dupond</t>
  </si>
  <si>
    <t>Control par Mr Dupond</t>
  </si>
  <si>
    <t>Séraphin</t>
  </si>
  <si>
    <t>Lampion</t>
  </si>
  <si>
    <t>a. Après absorbsion de Lampion par Séraphin…</t>
  </si>
  <si>
    <t>Actionnaires Séraphin</t>
  </si>
  <si>
    <t>Actionnaires Lampion</t>
  </si>
  <si>
    <t>PER de Séraphin</t>
  </si>
  <si>
    <t>Parité min (Séraphin/Lampion)</t>
  </si>
  <si>
    <t>Parité max (Séraphin/Lampion)</t>
  </si>
  <si>
    <t>d. Valeur de Mondass</t>
  </si>
  <si>
    <t>V Mondass</t>
  </si>
  <si>
    <t>Revalorisation de Lampion</t>
  </si>
  <si>
    <t>Variation des provisions sur actifs immobilisés</t>
  </si>
  <si>
    <t>Résultat d'exploitation</t>
  </si>
  <si>
    <t>Charges financières nettes des produits financiers</t>
  </si>
  <si>
    <t>Resultat courant</t>
  </si>
  <si>
    <t>Resultat exceptionnel</t>
  </si>
  <si>
    <t>Impôt sur les sociétés</t>
  </si>
  <si>
    <t>Resultat net</t>
  </si>
  <si>
    <t>Dividendes</t>
  </si>
  <si>
    <t>Résultat mis en réserve</t>
  </si>
  <si>
    <t>Produits finis</t>
  </si>
  <si>
    <t>Valeur unitaire</t>
  </si>
  <si>
    <t>Boitier</t>
  </si>
  <si>
    <t>Carte mère</t>
  </si>
  <si>
    <t>Processeur</t>
  </si>
  <si>
    <t>Mémoire vive</t>
  </si>
  <si>
    <t>Carte graphique</t>
  </si>
  <si>
    <t>Disque dur</t>
  </si>
  <si>
    <t>Ecran</t>
  </si>
  <si>
    <t>Consommation composants</t>
  </si>
  <si>
    <t>Variation de stock composants</t>
  </si>
  <si>
    <t>Composants</t>
  </si>
  <si>
    <t>Prix de vente</t>
  </si>
  <si>
    <t>Plus value vente locaux</t>
  </si>
  <si>
    <t>Achat local</t>
  </si>
  <si>
    <t>Vente local</t>
  </si>
  <si>
    <t>Durée amort</t>
  </si>
  <si>
    <t>Durée amortie</t>
  </si>
  <si>
    <t>Amortissement locaux</t>
  </si>
  <si>
    <t>Nombre de mois</t>
  </si>
  <si>
    <t>Intérêt emprunt</t>
  </si>
  <si>
    <t>Emprunt</t>
  </si>
  <si>
    <t>Taux annuel</t>
  </si>
  <si>
    <t>Nbre de mois de l'année avant remboursement</t>
  </si>
  <si>
    <t>Taux d'imposition sur les sociétés</t>
  </si>
  <si>
    <t>Excédent brut d'exploitation (EBE)</t>
  </si>
  <si>
    <t>Dotation aux amortissements</t>
  </si>
  <si>
    <t>Charges financières</t>
  </si>
  <si>
    <t>Résultat courant</t>
  </si>
  <si>
    <t>Résultat net</t>
  </si>
  <si>
    <t>Immobilisation nettes (A)</t>
  </si>
  <si>
    <t>Actif économique (A+B)</t>
  </si>
  <si>
    <t xml:space="preserve">Capitaux propres (C) </t>
  </si>
  <si>
    <t>dont dividendes à verser</t>
  </si>
  <si>
    <t>Eléments exceptionnels</t>
  </si>
  <si>
    <t>Bénéfice par action dilué</t>
  </si>
  <si>
    <t>Alcatel - Lucent</t>
  </si>
  <si>
    <t>Spread Boucherie Sanzot</t>
  </si>
  <si>
    <t>Taux + spread Sanzot</t>
  </si>
  <si>
    <t>Flux Boucherie Sanzot</t>
  </si>
  <si>
    <t>VA Oblig. Boucherie Sanzot</t>
  </si>
  <si>
    <t>source : Les Echos de Moulinsart</t>
  </si>
  <si>
    <t>Exercice 3: emprunts d'Etat belges</t>
  </si>
  <si>
    <t>faible</t>
  </si>
  <si>
    <t>Korian</t>
  </si>
  <si>
    <t>Rhoen Klinikum</t>
  </si>
  <si>
    <t>Orpéa</t>
  </si>
  <si>
    <t>Exercice 4: Clinique</t>
  </si>
  <si>
    <t>Clinique à évaluer</t>
  </si>
  <si>
    <t>Application de Black Scholes pour recalcul de la valeur</t>
  </si>
  <si>
    <t>Variation de valeur</t>
  </si>
  <si>
    <t>Exercice 1 : Soazic SA</t>
  </si>
  <si>
    <t xml:space="preserve">Exercice 3 : Picchi </t>
  </si>
  <si>
    <t>Exercice 4 : Nestlé</t>
  </si>
  <si>
    <t>Pourcentage détenu</t>
  </si>
  <si>
    <t>mise en équivalence</t>
  </si>
  <si>
    <t>L'Oréal (Cosmétiques)</t>
  </si>
  <si>
    <t>MdFS</t>
  </si>
  <si>
    <t>Vcp Nestlé</t>
  </si>
  <si>
    <t>coût de la dette</t>
  </si>
  <si>
    <t>soit</t>
  </si>
  <si>
    <t>Avant augmentation de capital</t>
  </si>
  <si>
    <t>Dernier cours</t>
  </si>
  <si>
    <t>Termes de l'augmentation</t>
  </si>
  <si>
    <t>CP comptables</t>
  </si>
  <si>
    <t>Montant de l'augmentation</t>
  </si>
  <si>
    <t>Dilution</t>
  </si>
  <si>
    <t>pour</t>
  </si>
  <si>
    <t>anciennes</t>
  </si>
  <si>
    <t>Nbre actions Séraphin</t>
  </si>
  <si>
    <t>action Séraphin pour 1 action Lampion</t>
  </si>
  <si>
    <t>Actionnaires hors augmentation de capital</t>
  </si>
  <si>
    <t>Enrichissement/appauvrissement</t>
  </si>
  <si>
    <t>Actionnaires ayant souscrit l'augmentation de capital</t>
  </si>
  <si>
    <t>Je place dans 3 mois</t>
  </si>
  <si>
    <t>On me rends dans 6 mois</t>
  </si>
  <si>
    <t>Capitaux propres par action</t>
  </si>
  <si>
    <t>Beta</t>
  </si>
  <si>
    <t>Gain de l'arbitrage</t>
  </si>
  <si>
    <t>Stratégie d'arbitrage</t>
  </si>
  <si>
    <t>Je rend dans 6 mois</t>
  </si>
  <si>
    <t>Résultat opérationnel</t>
  </si>
  <si>
    <t>Dividende par action</t>
  </si>
  <si>
    <t>Total de l'actif</t>
  </si>
  <si>
    <t>Flux de trésorerie d'exploitation (hors variation du BFR)</t>
  </si>
  <si>
    <t>Cours de l'action au 31/12</t>
  </si>
  <si>
    <t>Comptes non audités en M$</t>
  </si>
  <si>
    <t>Pourquoi les comptes sont-ils non audités ?</t>
  </si>
  <si>
    <t>L'exceptionnel est-il récurrent ou non ?</t>
  </si>
  <si>
    <t>Quel est l'impact du BFR et de la variation de BFR ?</t>
  </si>
  <si>
    <t>Pourquoi les multiples (PER) sont-ils élevés ?</t>
  </si>
  <si>
    <t>Points essentiels à étudier</t>
  </si>
  <si>
    <t>Indice : il s'agit des comptes d'Enron</t>
  </si>
  <si>
    <t>Exercice 2: société Filao</t>
  </si>
  <si>
    <t>Exercice 3: société Evezard</t>
  </si>
  <si>
    <t>Coût des ventes</t>
  </si>
  <si>
    <t>Frais commerciaux</t>
  </si>
  <si>
    <t>Frais administratifs</t>
  </si>
  <si>
    <t>Marge commerciale</t>
  </si>
  <si>
    <t>Consommations de matières premières</t>
  </si>
  <si>
    <t>Autres consommations externes</t>
  </si>
  <si>
    <t>Excédent Brut d'Exploitation</t>
  </si>
  <si>
    <t>Production d'électricité</t>
  </si>
  <si>
    <t>Dotations aux am.</t>
  </si>
  <si>
    <t>Grande distribution</t>
  </si>
  <si>
    <t>Marge comm. faible</t>
  </si>
  <si>
    <t>Travail temporaire</t>
  </si>
  <si>
    <t>Distribution spécialisée</t>
  </si>
  <si>
    <t>Marge comm. forte</t>
  </si>
  <si>
    <t>BTP</t>
  </si>
  <si>
    <t>Secteur</t>
  </si>
  <si>
    <t>Indices</t>
  </si>
  <si>
    <t>Dettes bancaires et financières à court, moyen et long terme</t>
  </si>
  <si>
    <t>- Disponible</t>
  </si>
  <si>
    <t>- Placement financier</t>
  </si>
  <si>
    <t>Capitaux investis dans l'exploitation (C+D)</t>
  </si>
  <si>
    <t>+ Créances d'exploitation</t>
  </si>
  <si>
    <t>- Dettes d'exploitation</t>
  </si>
  <si>
    <t>= Besoin en fond de roulement d'exploitation</t>
  </si>
  <si>
    <t>+ Besoin en fond de roulement hors exploitation</t>
  </si>
  <si>
    <t>= Besoin en fond de roulement (B)</t>
  </si>
  <si>
    <t>= Endettement net (D)</t>
  </si>
  <si>
    <t>Recettes d'exploitation</t>
  </si>
  <si>
    <t>Qté initiale</t>
  </si>
  <si>
    <t>Qté finale</t>
  </si>
  <si>
    <t>Valeur initiale</t>
  </si>
  <si>
    <t>Valeur finale</t>
  </si>
  <si>
    <t>Variation</t>
  </si>
  <si>
    <t>Achat</t>
  </si>
  <si>
    <t>Coûts de main d'œuvre associés</t>
  </si>
  <si>
    <t>Coût de main d'œuvre sur l'exercice</t>
  </si>
  <si>
    <t>Valeur matière de la production</t>
  </si>
  <si>
    <t>Vendue</t>
  </si>
  <si>
    <t>Salaires</t>
  </si>
  <si>
    <t>Charges sociales</t>
  </si>
  <si>
    <t>Valeur amortie</t>
  </si>
  <si>
    <t>Plus value</t>
  </si>
  <si>
    <t>Désendettement net</t>
  </si>
  <si>
    <t>+ Dotations aux amortissements</t>
  </si>
  <si>
    <t>+ Variation des provisions pour dépréciation d'actifs immobilisés</t>
  </si>
  <si>
    <t>- Variation du besoin en fonds de roulement d'exploitation</t>
  </si>
  <si>
    <t>- Investissements</t>
  </si>
  <si>
    <t>+ Cessions d'actifs</t>
  </si>
  <si>
    <t>+ Augmentation de capital</t>
  </si>
  <si>
    <t>- Dividendes versés</t>
  </si>
  <si>
    <t>Achats</t>
  </si>
  <si>
    <t>Ventes</t>
  </si>
  <si>
    <t>- coûts administratifs et commerciaux</t>
  </si>
  <si>
    <t>- frais de recherche et développement</t>
  </si>
  <si>
    <t>- coût de production</t>
  </si>
  <si>
    <t>date 0</t>
  </si>
  <si>
    <t>fin année 1</t>
  </si>
  <si>
    <t>fin année 2</t>
  </si>
  <si>
    <t>Stock produits finis</t>
  </si>
  <si>
    <t>Stock composants</t>
  </si>
  <si>
    <t>Capacité d'autofinancement</t>
  </si>
  <si>
    <t>Flux de trésorie disponible après impôt et frais financiers</t>
  </si>
  <si>
    <t>Flux de trésorie provenant de l'exploitation</t>
  </si>
  <si>
    <t>Remboursement d'emprunts</t>
  </si>
  <si>
    <t>- Nouveaux emprunts</t>
  </si>
  <si>
    <t>+ Variation des placements financiers</t>
  </si>
  <si>
    <t>+ Variation du disponible</t>
  </si>
  <si>
    <t>fin année 3</t>
  </si>
  <si>
    <t>Année 1</t>
  </si>
  <si>
    <t>Année 2</t>
  </si>
  <si>
    <t>Année 3</t>
  </si>
  <si>
    <t>Eléments du compte de résultat</t>
  </si>
  <si>
    <t>Sociétés</t>
  </si>
  <si>
    <t>Chiffre d'affaires</t>
  </si>
  <si>
    <t>Achats consommés</t>
  </si>
  <si>
    <t>Autres charges d'exploitation</t>
  </si>
  <si>
    <t>dont frais de personnel</t>
  </si>
  <si>
    <t>Frais financiers</t>
  </si>
  <si>
    <t>Impôts</t>
  </si>
  <si>
    <t>Frais d'installation</t>
  </si>
  <si>
    <t>Immobilisations corporelles</t>
  </si>
  <si>
    <t>dont terrains et constructions</t>
  </si>
  <si>
    <t>dont agencements et installations</t>
  </si>
  <si>
    <t>dont matériel de transport</t>
  </si>
  <si>
    <t>dont matériel de bureau</t>
  </si>
  <si>
    <t>Immobilisations financières</t>
  </si>
  <si>
    <t>Immobilisations incorporelles</t>
  </si>
  <si>
    <t>Stocks</t>
  </si>
  <si>
    <t>Créances d'exploitation</t>
  </si>
  <si>
    <t>Disponibilités</t>
  </si>
  <si>
    <t>Total Actif</t>
  </si>
  <si>
    <t>Capitaux propres</t>
  </si>
  <si>
    <t>Dettes à long et moyen terme</t>
  </si>
  <si>
    <t>Fournisseurs</t>
  </si>
  <si>
    <t>Autres dettes d'exploitation</t>
  </si>
  <si>
    <t>Dettes bancaires à court terme</t>
  </si>
  <si>
    <t>Total passif</t>
  </si>
  <si>
    <t>Produits financiers</t>
  </si>
  <si>
    <t>Excédent brut d'exploitation</t>
  </si>
  <si>
    <t>Besoin en fond de roulement</t>
  </si>
  <si>
    <t>Actif économique</t>
  </si>
  <si>
    <t>Endettement net</t>
  </si>
  <si>
    <t>Actif</t>
  </si>
  <si>
    <t>Immobilisations corporelles et incorporelles</t>
  </si>
  <si>
    <t>Titres de participation</t>
  </si>
  <si>
    <t>de la filiale</t>
  </si>
  <si>
    <t>autres</t>
  </si>
  <si>
    <t>Actif circulant</t>
  </si>
  <si>
    <t>M</t>
  </si>
  <si>
    <t>Passif</t>
  </si>
  <si>
    <t>Capital social</t>
  </si>
  <si>
    <t>Réserves</t>
  </si>
  <si>
    <t>Passif exigible</t>
  </si>
  <si>
    <t>Compte de résultat</t>
  </si>
  <si>
    <t>+ Chiffre d'affaires</t>
  </si>
  <si>
    <t>+ Produits financiers</t>
  </si>
  <si>
    <t>+ Produits exceptionnels</t>
  </si>
  <si>
    <t>= Résultat net</t>
  </si>
  <si>
    <t>- Impôt sur les bénéfices</t>
  </si>
  <si>
    <t>- Charges exceptionnelles</t>
  </si>
  <si>
    <t>- Charges financières</t>
  </si>
  <si>
    <t>- Charges de personnel</t>
  </si>
  <si>
    <t>- Autres services externes</t>
  </si>
  <si>
    <t>- Variations de stock</t>
  </si>
  <si>
    <t>Besoin en fonds de roulement (4)+(3)=(BFR)</t>
  </si>
  <si>
    <t>Emprunts bancaires à plus d'un an</t>
  </si>
  <si>
    <t>Provisions d'exploitation</t>
  </si>
  <si>
    <t xml:space="preserve">+ Provisions d'exploitation </t>
  </si>
  <si>
    <t>- Achat</t>
  </si>
  <si>
    <t>Part du groupe</t>
  </si>
  <si>
    <t>Intérêts minoritaires</t>
  </si>
  <si>
    <t>Exercice 1</t>
  </si>
  <si>
    <t>BFR</t>
  </si>
  <si>
    <t>Exercice 2</t>
  </si>
  <si>
    <t>Etat du monde</t>
  </si>
  <si>
    <t>Remboursement de dette</t>
  </si>
  <si>
    <t>Flux pour les actionnaires</t>
  </si>
  <si>
    <t>Valeur de la dette</t>
  </si>
  <si>
    <t>Valeur de l'actif économique</t>
  </si>
  <si>
    <t>Valeur du projet d'investissement</t>
  </si>
  <si>
    <t>Financement maximum par les actionnaires</t>
  </si>
  <si>
    <t>Cas 1 : financement par dette</t>
  </si>
  <si>
    <t>Cas 2 : financement par CP</t>
  </si>
  <si>
    <t>Condition pour l'entrée de nouveaux créanciers : remboursement prioritaire par rapport aux créanciers existants</t>
  </si>
  <si>
    <t>Oui, mais problème amplifié par la situation en quasi-faillite de la société</t>
  </si>
  <si>
    <t>Dettes subordonnées</t>
  </si>
  <si>
    <t>Dettes senior</t>
  </si>
  <si>
    <t>Valeur de la dette sub.</t>
  </si>
  <si>
    <t>Valeur de la dette senior</t>
  </si>
  <si>
    <t>Activité en décroissance</t>
  </si>
  <si>
    <t>Marges négatives en chute</t>
  </si>
  <si>
    <t>-&gt; Menace de faillite</t>
  </si>
  <si>
    <t>Cession d'une partie de l'AE</t>
  </si>
  <si>
    <t>actions nouvelles</t>
  </si>
  <si>
    <t>prix d'émission</t>
  </si>
  <si>
    <t>Dette subordonnée</t>
  </si>
  <si>
    <t>Remboursement</t>
  </si>
  <si>
    <t>Dette senior</t>
  </si>
  <si>
    <t>Abndon de créance</t>
  </si>
  <si>
    <t>Emission bons de souscription</t>
  </si>
  <si>
    <t>Valeur d'un bon</t>
  </si>
  <si>
    <t>Créanciers senior</t>
  </si>
  <si>
    <t>Valeur ap. augm. cap.</t>
  </si>
  <si>
    <t>Remboursement issu de l'augm. cap</t>
  </si>
  <si>
    <t>Valeur des bons</t>
  </si>
  <si>
    <t>Patrimoine</t>
  </si>
  <si>
    <t>Valeur av. augm. cap</t>
  </si>
  <si>
    <t>Dette sub.</t>
  </si>
  <si>
    <t>Valeur par action</t>
  </si>
  <si>
    <t>Créanciers subordonnés</t>
  </si>
  <si>
    <t>d) Les créanciers sont les grands bénéficiaires du plan</t>
  </si>
  <si>
    <t>MARGE BRUTE</t>
  </si>
  <si>
    <t>VALEUR AJOUTEE</t>
  </si>
  <si>
    <t>Impôts et taxes</t>
  </si>
  <si>
    <t>EXCEDENT BRUT D'EXPLOITATION</t>
  </si>
  <si>
    <t>RESULTAT D'EXPLOITATION</t>
  </si>
  <si>
    <t>RESULTAT FINANCIER</t>
  </si>
  <si>
    <t>RESULTAT COURANT</t>
  </si>
  <si>
    <t>RESULTAT EXCEPTIONNEL</t>
  </si>
  <si>
    <t>Impôt sur les bénéfices</t>
  </si>
  <si>
    <t>RESULTAT NET</t>
  </si>
  <si>
    <t>Exercice</t>
  </si>
  <si>
    <t>Résultat net part du groupe</t>
  </si>
  <si>
    <t>Valeurs mobilières de placement</t>
  </si>
  <si>
    <t>Dettes fournisseurs</t>
  </si>
  <si>
    <t>+ Immobilisation en crédit bail</t>
  </si>
  <si>
    <t>+ Immobilisation financières</t>
  </si>
  <si>
    <t>Actif immobilisé (im)</t>
  </si>
  <si>
    <t>+ Encours clients (y compris effets escomptés non échus)</t>
  </si>
  <si>
    <t>+ Autres créances d'exploitation courante</t>
  </si>
  <si>
    <t>= Emploi du cycle d'exploitation (1)</t>
  </si>
  <si>
    <t>Encours fournisseurs d'exploitation</t>
  </si>
  <si>
    <t>+ Dettes fiscales et sociales</t>
  </si>
  <si>
    <t>+ Autres dettes d'exploitation courante</t>
  </si>
  <si>
    <t>= Ressources du cycle d'exploitation (2)</t>
  </si>
  <si>
    <t>Besoin en fond de roulement d'exploitation (3)=(1)-(2)</t>
  </si>
  <si>
    <t>Créances hors exploitation courante</t>
  </si>
  <si>
    <t>Saint Gobain - bilan économique</t>
  </si>
  <si>
    <t>en Md€</t>
  </si>
  <si>
    <t>ACTIF IMMOBILISE (Immo)</t>
  </si>
  <si>
    <t>Stock Total</t>
  </si>
  <si>
    <t>+ Créances clients nettes de provisions</t>
  </si>
  <si>
    <t>= EMPLOI DU CYCLE D'EXPLOITATION (1)</t>
  </si>
  <si>
    <t>Encours fournisseurs d'exploitation (net des avances)</t>
  </si>
  <si>
    <t>= RESSOURCES DU CYCLE D'EXPLOITATION (2)</t>
  </si>
  <si>
    <t>=BESOIN EN FONDS DE ROULEMENT D'EXPLOITATION (1+2) = 
(BFR)</t>
  </si>
  <si>
    <t>BESOIN EN FONDS DE ROULEMENT HORS EXPLOITATION</t>
  </si>
  <si>
    <t>ACTIF ECONOMIQUE (IMMO + BFR) + BFR HORS EXPLOITATION</t>
  </si>
  <si>
    <t>CAPITAUX PROPRES TOTAUX (CP)</t>
  </si>
  <si>
    <t>Dettes bancaires et financières LMT (y compris crédit-bail)</t>
  </si>
  <si>
    <t>+ Concours bancaires courant</t>
  </si>
  <si>
    <t>- Placements financiers et disponible</t>
  </si>
  <si>
    <t>= ENDETTEMENT NET (D)</t>
  </si>
  <si>
    <t>Fever Tech.</t>
  </si>
  <si>
    <t>Combo DVD-Blue Ray</t>
  </si>
  <si>
    <t>Tour du monde magazine</t>
  </si>
  <si>
    <t xml:space="preserve">Compte de résultat </t>
  </si>
  <si>
    <t>Fabrication et distribution</t>
  </si>
  <si>
    <t>Recettes</t>
  </si>
  <si>
    <t>Dépenses</t>
  </si>
  <si>
    <t>Flux de trésorerie d'exploitation</t>
  </si>
  <si>
    <t>Prix d'un abonnement</t>
  </si>
  <si>
    <t>Nbre d'abonnements vendus</t>
  </si>
  <si>
    <t>Nbre de numéros dans l'année</t>
  </si>
  <si>
    <t>Coût unitaire fabrication/livraison</t>
  </si>
  <si>
    <t>Coût de main d'œuvre par numéro</t>
  </si>
  <si>
    <t>+ Provisions à caractère d'endettement net</t>
  </si>
  <si>
    <t>Frais de R&amp;D</t>
  </si>
  <si>
    <t>Agence de voyage</t>
  </si>
  <si>
    <t xml:space="preserve">Marge d'expl. faible
Coût des ventes élevé </t>
  </si>
  <si>
    <t>Produits de luxe</t>
  </si>
  <si>
    <t>Equipement télécom</t>
  </si>
  <si>
    <t>Biens de grande conso.</t>
  </si>
  <si>
    <t>Frais comm. et 
R&amp;D élevés</t>
  </si>
  <si>
    <t>Production de ciment</t>
  </si>
  <si>
    <t>R&amp;D limité</t>
  </si>
  <si>
    <t>R&amp;D élevé</t>
  </si>
  <si>
    <t>Marge d'expl. élevée
Frais comm. élevés</t>
  </si>
  <si>
    <t>Exercice 1: Société Daniel Lucot</t>
  </si>
  <si>
    <t>Exercice 2: Société Jean-Michel Palaric</t>
  </si>
  <si>
    <t>Coût de distribution et de marketing</t>
  </si>
  <si>
    <t>Frais généraux et administratifs</t>
  </si>
  <si>
    <t>Autres produits et charges d'exploitation</t>
  </si>
  <si>
    <t>Résultat d'exploitation récurrent</t>
  </si>
  <si>
    <t>Charges non récurrentes</t>
  </si>
  <si>
    <t>Résultat d'exploitation total</t>
  </si>
  <si>
    <t>Autres actifs non courants</t>
  </si>
  <si>
    <t>Dettes fournisseurs d'exploitation</t>
  </si>
  <si>
    <t xml:space="preserve">Besoin en fond de roulement </t>
  </si>
  <si>
    <t>Besoin en fond de roulement hors d'exploitation</t>
  </si>
  <si>
    <t>Besoin en fond de roulement d'exploitation</t>
  </si>
  <si>
    <t>Engagements de retraite</t>
  </si>
  <si>
    <t>Impôts différés passifs</t>
  </si>
  <si>
    <t>Autres passifs non courants</t>
  </si>
  <si>
    <t>Frais de recherche et développement</t>
  </si>
  <si>
    <t>Autres immobilisations incorporelles</t>
  </si>
  <si>
    <t>Sociétés mises en équivalence et participations</t>
  </si>
  <si>
    <t>Passifs non courants (hors dettes financières)</t>
  </si>
  <si>
    <t>Résultat des sociétés mises en équivalence ou participation</t>
  </si>
  <si>
    <t>Exercices</t>
  </si>
  <si>
    <t>Exercice 1: Analyse de la société A 1980</t>
  </si>
  <si>
    <t>Trésorerie et équivalent trésorerie</t>
  </si>
  <si>
    <t>L'entreprise B 2000 est inspirée d'Air Liquide</t>
  </si>
  <si>
    <t>L'entreprise A 1980 est inspirée de Peugeot</t>
  </si>
  <si>
    <t>Nb actions ap. augm.</t>
  </si>
  <si>
    <t>- Plus-values de cession</t>
  </si>
  <si>
    <t>- Variation du besoin en fonds de roulement</t>
  </si>
  <si>
    <t>= Flux de trésorerie provenant de l'exploitation (A)</t>
  </si>
  <si>
    <t>Investissement d'exploitation</t>
  </si>
  <si>
    <t>+ Investissements financiers</t>
  </si>
  <si>
    <t>- Cessions d'immobilisations</t>
  </si>
  <si>
    <t>Augmentation de capital en numéraire ( C )</t>
  </si>
  <si>
    <t>(A-B+C-D) = Désendettement net</t>
  </si>
  <si>
    <t>n+1</t>
  </si>
  <si>
    <t>n+2</t>
  </si>
  <si>
    <t>Variation BFR</t>
  </si>
  <si>
    <t>n</t>
  </si>
  <si>
    <t>Variation des effets remis à l'escompte et non échus</t>
  </si>
  <si>
    <t>Calcul de la variation de BFR</t>
  </si>
  <si>
    <t>Société Masque</t>
  </si>
  <si>
    <t>CHIFFRES D'AFFAIRES</t>
  </si>
  <si>
    <t>PRODUCTION (100%)</t>
  </si>
  <si>
    <t>achats consommés</t>
  </si>
  <si>
    <t>autres consommations et charges externes (hors crédit-bail et sous-traitance)</t>
  </si>
  <si>
    <t>frais de personnel (y.c. sous-traitance et participation)</t>
  </si>
  <si>
    <t>impôts et taxes</t>
  </si>
  <si>
    <t>Exercice 2 : Alcazar</t>
  </si>
  <si>
    <t>CAC 40</t>
  </si>
  <si>
    <t>Ecart type rent CAC 40</t>
  </si>
  <si>
    <t>Endettement net corrigé</t>
  </si>
  <si>
    <t>cyclique</t>
  </si>
  <si>
    <t>fort</t>
  </si>
  <si>
    <t>Actif économique fin d'année</t>
  </si>
  <si>
    <t>Re sur AE moyen</t>
  </si>
  <si>
    <t>β TI</t>
  </si>
  <si>
    <t>kcp TI</t>
  </si>
  <si>
    <t>k TI</t>
  </si>
  <si>
    <t>kd TI</t>
  </si>
  <si>
    <t>Vcp/V TI</t>
  </si>
  <si>
    <t>Vd/V TI</t>
  </si>
  <si>
    <t>Vd/Vcp TI</t>
  </si>
  <si>
    <t xml:space="preserve">Exercice </t>
  </si>
  <si>
    <t>Participation</t>
  </si>
  <si>
    <t>Sans droits de vote double</t>
  </si>
  <si>
    <t>Avec droits de vote doubles</t>
  </si>
  <si>
    <t>Représentation en AG</t>
  </si>
  <si>
    <t>% en AG</t>
  </si>
  <si>
    <t>du capital</t>
  </si>
  <si>
    <t>DPA</t>
  </si>
  <si>
    <t>pour VAE =</t>
  </si>
  <si>
    <t>n+3</t>
  </si>
  <si>
    <t>n+4</t>
  </si>
  <si>
    <t>n+5</t>
  </si>
  <si>
    <t>Total 3 ans</t>
  </si>
  <si>
    <t>Total année 1</t>
  </si>
  <si>
    <t>Total année 2</t>
  </si>
  <si>
    <t>Total année 3</t>
  </si>
  <si>
    <t>Matieres premieres</t>
  </si>
  <si>
    <t>- Actifs nets des passifs détenus en vue de la vente</t>
  </si>
  <si>
    <t>Chiffres clés</t>
  </si>
  <si>
    <t>Société Remy</t>
  </si>
  <si>
    <t>A noter que contrairement à ce qui est indiqué dans le corrigé les créances clients doivent être 120% en inlcuant la TVA et non 119,6%</t>
  </si>
  <si>
    <t>Exercice 1 : Carlsberg et L'Oréal</t>
  </si>
  <si>
    <t>Exercice 1 - Le Furibard</t>
  </si>
  <si>
    <t>Flux net</t>
  </si>
  <si>
    <t>Objectif d'écart type 14%</t>
  </si>
  <si>
    <t>Objectif d'écart type 23%</t>
  </si>
  <si>
    <t>Cours de bourse (€)</t>
  </si>
  <si>
    <t>NS</t>
  </si>
  <si>
    <t>hausse cours à 9 €</t>
  </si>
  <si>
    <t>chute du cours à 4,5 €</t>
  </si>
  <si>
    <t>Division vente d'équipement</t>
  </si>
  <si>
    <r>
      <t>1.</t>
    </r>
    <r>
      <rPr>
        <sz val="10"/>
        <rFont val="Verdana"/>
        <family val="2"/>
      </rPr>
      <t>      Le producteur paie à tous ses fournisseurs 900 le jour 1 et reçoit de son client distributeur 980 le jour 60. Le distributeur paie le jour 60 son fournisseur (le producteur) 980 et 100 à d’autres fournisseurs et touche le jour 90 1100 de ses clients. Pendant 60 jours le producteur a un déficit de trésorerie de 900, c’est son BFR, et il réalise une marge de 80. Pendant 30 jours le distributeur a un déficit de trésorerie de 1 080, c’est son BFR, et il réalise une marge de 1 100 – 980 – 100 = 20.</t>
    </r>
  </si>
  <si>
    <r>
      <t xml:space="preserve">    </t>
    </r>
    <r>
      <rPr>
        <sz val="10"/>
        <rFont val="Verdana"/>
        <family val="2"/>
      </rPr>
      <t>Reprenons l’exemple précédent. C’est maintenant le distributeur qui achète le producteur. Il portait 1 080 pendant 30 jours. Maintenant il doit porter 900 pendant 90 jours et 100 pendant 30 jours, soit 933 en moyenne sur 90 jours. Son BFR a donc augmenté.</t>
    </r>
  </si>
  <si>
    <t>gain de frais financiers à 4%</t>
  </si>
  <si>
    <t>EXERCICE  6</t>
  </si>
  <si>
    <t>EXERCICE  7</t>
  </si>
  <si>
    <t xml:space="preserve">Coût du capital </t>
  </si>
  <si>
    <t>BFR/ Actif économique</t>
  </si>
  <si>
    <t>Baisse du résultat d'exploitation</t>
  </si>
  <si>
    <t>Coût de l'opération</t>
  </si>
  <si>
    <t>A noter dans le corrigé papier un 50% "en trop" dans la formule</t>
  </si>
  <si>
    <t>Exercice 1 : Tapioca</t>
  </si>
  <si>
    <t>Apport</t>
  </si>
  <si>
    <t>% du capital obtenu</t>
  </si>
  <si>
    <t>Valeur post money</t>
  </si>
  <si>
    <t>Valeur pre-money</t>
  </si>
  <si>
    <t>Financement</t>
  </si>
  <si>
    <t>Apport de l'Entrepreneur</t>
  </si>
  <si>
    <t>% du capital busines angels</t>
  </si>
  <si>
    <t>Valeur 2 mois plus tard</t>
  </si>
  <si>
    <t>Gain (perte) entrepreneur</t>
  </si>
  <si>
    <t>Gain (perte) business angels</t>
  </si>
  <si>
    <t>Cas 1</t>
  </si>
  <si>
    <t>Cas 2</t>
  </si>
  <si>
    <t>Goodwill</t>
  </si>
  <si>
    <t>Prix par action investisseurs</t>
  </si>
  <si>
    <t>Nombre d'actions fondateurs</t>
  </si>
  <si>
    <t>Nombre d'actions investisseurs</t>
  </si>
  <si>
    <t>Prix par action fondateurs</t>
  </si>
  <si>
    <t>Investissement Fonds</t>
  </si>
  <si>
    <t>% obtenu</t>
  </si>
  <si>
    <t>% fondateurs</t>
  </si>
  <si>
    <t>% investisseurs</t>
  </si>
  <si>
    <t>% Fonds</t>
  </si>
  <si>
    <t>Sans full ratchet</t>
  </si>
  <si>
    <t>Avec full ratchet</t>
  </si>
  <si>
    <t>Valeur implicite pour 100%</t>
  </si>
  <si>
    <t>Options</t>
  </si>
  <si>
    <t>25%-30%</t>
  </si>
  <si>
    <t>30%-35%</t>
  </si>
  <si>
    <t>&gt;35%</t>
  </si>
  <si>
    <t>Prix à 5 ans</t>
  </si>
  <si>
    <t>TRI avant option</t>
  </si>
  <si>
    <t>TRI après option</t>
  </si>
  <si>
    <t>Taux de réinvestissement</t>
  </si>
  <si>
    <t>TRAM (TRIG)</t>
  </si>
  <si>
    <t>Flux capitalisés au taux de réinvestissement</t>
  </si>
  <si>
    <t>Nouvelle séquence de flux</t>
  </si>
  <si>
    <t>= CAPITAUX INVESTIS DANS L'EXPLOITATION (CP+D)</t>
  </si>
  <si>
    <t>S</t>
  </si>
  <si>
    <t>Bilan M+S</t>
  </si>
  <si>
    <t>Voir corrigé dans l'ouvrage</t>
  </si>
  <si>
    <t>Le corrigé détaillé est dans l'ouvrage</t>
  </si>
  <si>
    <t>P1</t>
  </si>
  <si>
    <t>P2</t>
  </si>
  <si>
    <t>P3</t>
  </si>
  <si>
    <t>P4</t>
  </si>
  <si>
    <t>P5</t>
  </si>
  <si>
    <t>kcp Orange</t>
  </si>
  <si>
    <t>kd Orange</t>
  </si>
  <si>
    <t>Vd/Vcp Orange</t>
  </si>
  <si>
    <t>Vcp/V Orange</t>
  </si>
  <si>
    <t>Vd/V Orange</t>
  </si>
  <si>
    <t>k Orange</t>
  </si>
  <si>
    <t>Corrigé dans l'ouvrage</t>
  </si>
  <si>
    <t>Corrigé détaillé dans l'ouvrage</t>
  </si>
  <si>
    <t>Simulation crise (sur la base du CA 2008)</t>
  </si>
  <si>
    <t>Hypothèse : simulation bâtie sur un chiffre d'affaires 2009 égal à celui de 2008</t>
  </si>
  <si>
    <t>Durée en 2015</t>
  </si>
  <si>
    <t>Essilor</t>
  </si>
  <si>
    <t>BPA en euros (estimé)</t>
  </si>
  <si>
    <t>Taux de rendement 2015</t>
  </si>
  <si>
    <t>Taux de croissance du BPA 2015-2017</t>
  </si>
  <si>
    <t>PER 2015</t>
  </si>
  <si>
    <t>AXA</t>
  </si>
  <si>
    <t>NS : Non significatif</t>
  </si>
  <si>
    <t xml:space="preserve">très forte </t>
  </si>
  <si>
    <t>Exercice Lefuribard</t>
  </si>
  <si>
    <t>Endettement net (31/12/2014)</t>
  </si>
  <si>
    <t>REX 2015e</t>
  </si>
  <si>
    <t>Résultat net 2015e</t>
  </si>
  <si>
    <t>REX 2014</t>
  </si>
  <si>
    <t>Multiple REX 2014 Agroalimentaire</t>
  </si>
  <si>
    <t>Exercice 2 : augmentation de capital de Deutsche Bank</t>
  </si>
  <si>
    <t>COMPTE DE RESULTAT</t>
  </si>
  <si>
    <t>N</t>
  </si>
  <si>
    <t>N+1</t>
  </si>
  <si>
    <t>N+2</t>
  </si>
  <si>
    <t>N+3</t>
  </si>
  <si>
    <t>N+4</t>
  </si>
  <si>
    <t>N+5</t>
  </si>
  <si>
    <t>N+6</t>
  </si>
  <si>
    <t>N+7</t>
  </si>
  <si>
    <t>N+8</t>
  </si>
  <si>
    <t>N+9</t>
  </si>
  <si>
    <t>N+10</t>
  </si>
  <si>
    <t>N+11</t>
  </si>
  <si>
    <t>N+12</t>
  </si>
  <si>
    <t>N+13</t>
  </si>
  <si>
    <t>N+14</t>
  </si>
  <si>
    <t>N+15</t>
  </si>
  <si>
    <t>N+16</t>
  </si>
  <si>
    <t>N+17</t>
  </si>
  <si>
    <t>N+18</t>
  </si>
  <si>
    <t>N+19</t>
  </si>
  <si>
    <t>N+20</t>
  </si>
  <si>
    <t>Autres charges d'exploitation (hors loyers et dotation aux amortissements)</t>
  </si>
  <si>
    <t>Loyers</t>
  </si>
  <si>
    <t>IS (35%)</t>
  </si>
  <si>
    <t>Résultat Net</t>
  </si>
  <si>
    <t>BILAN</t>
  </si>
  <si>
    <t>Immobilisations</t>
  </si>
  <si>
    <t>Dette financière nette</t>
  </si>
  <si>
    <t>Capitaux investis</t>
  </si>
  <si>
    <t>TABLEAU DE FLUX</t>
  </si>
  <si>
    <t>Variation de BFR</t>
  </si>
  <si>
    <t>Flux de trésorerie d'exploitation (*)</t>
  </si>
  <si>
    <t>Investissements</t>
  </si>
  <si>
    <t>Augmentation (Diminution) de l'endettement net</t>
  </si>
  <si>
    <t>Hypothèse dette</t>
  </si>
  <si>
    <t>kd avant impôt</t>
  </si>
  <si>
    <t>(*) Après frais financiers.</t>
  </si>
  <si>
    <t>Flux post financement</t>
  </si>
  <si>
    <t>EN LOCATION</t>
  </si>
  <si>
    <t>EN PROPRIETE</t>
  </si>
  <si>
    <t>LVMH</t>
  </si>
  <si>
    <t>Exercices 2 et 3</t>
  </si>
  <si>
    <t>Durée en 2016</t>
  </si>
  <si>
    <t>Exercice 1: LVMH</t>
  </si>
  <si>
    <t>Rentabilité LVMH</t>
  </si>
  <si>
    <t>Risque total de LVMH</t>
  </si>
  <si>
    <t>Risque de marché de LVMH</t>
  </si>
  <si>
    <t>Risque  spécifique de LVMH</t>
  </si>
  <si>
    <t>2006-2016</t>
  </si>
  <si>
    <t>Rentabilité C</t>
  </si>
  <si>
    <t>ρ H,C</t>
  </si>
  <si>
    <t>XC</t>
  </si>
  <si>
    <t>σ H,C</t>
  </si>
  <si>
    <t>E(r H,C)</t>
  </si>
  <si>
    <t>XC (Z)</t>
  </si>
  <si>
    <t>Au 21 février 2017</t>
  </si>
  <si>
    <t>Rio Tinto</t>
  </si>
  <si>
    <t>Taux de distribution 2016e</t>
  </si>
  <si>
    <t>relativement forte</t>
  </si>
  <si>
    <t>Exercice 2 : Nicox</t>
  </si>
  <si>
    <t>Exercice 3 : Nicox</t>
  </si>
  <si>
    <t>Exercice 2 : ArcelorMittal</t>
  </si>
  <si>
    <t>en M$</t>
  </si>
  <si>
    <t>β Orange</t>
  </si>
  <si>
    <t>Italie</t>
  </si>
  <si>
    <t>Maroc</t>
  </si>
  <si>
    <t>EXERCICE Maisons du Monde</t>
  </si>
  <si>
    <t>IS à 27% et 29%</t>
  </si>
  <si>
    <t>Avec exceptionnels</t>
  </si>
  <si>
    <t>Hors exceptionnels</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</si>
</sst>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8" formatCode="#,##0.00\ &quot;€&quot;;[Red]\-#,##0.00\ &quot;€&quot;"/>
    <numFmt numFmtId="164" formatCode="_-* #,##0.00\ _F_-;\-* #,##0.00\ _F_-;_-* &quot;-&quot;??\ _F_-;_-@_-"/>
    <numFmt numFmtId="165" formatCode="0.0"/>
    <numFmt numFmtId="166" formatCode="#,##0.00\ _F"/>
    <numFmt numFmtId="167" formatCode="#,##0.0\ _F"/>
    <numFmt numFmtId="168" formatCode="#,##0\ _F"/>
    <numFmt numFmtId="169" formatCode="0.0%"/>
    <numFmt numFmtId="170" formatCode="0.000"/>
    <numFmt numFmtId="171" formatCode="0.0000"/>
    <numFmt numFmtId="172" formatCode="_-* #,##0\ _F_-;\-* #,##0\ _F_-;_-* &quot;-&quot;??\ _F_-;_-@_-"/>
    <numFmt numFmtId="173" formatCode="0.000%"/>
    <numFmt numFmtId="174" formatCode="0.0000%"/>
    <numFmt numFmtId="175" formatCode="0.00000%"/>
    <numFmt numFmtId="176" formatCode="#,##0\ _€"/>
    <numFmt numFmtId="177" formatCode="#,##0.0\ _€"/>
    <numFmt numFmtId="178" formatCode="#,##0.00\ _€"/>
    <numFmt numFmtId="179" formatCode="#,##0.0"/>
    <numFmt numFmtId="180" formatCode="#,##0_);\(#,##0\);&quot;-&quot;_);@_)"/>
    <numFmt numFmtId="181" formatCode="#,##0.0_);\(#,##0.0\);&quot;-&quot;_);@_)"/>
    <numFmt numFmtId="182" formatCode="#,##0.000"/>
    <numFmt numFmtId="183" formatCode="#,##0\ &quot;€&quot;"/>
    <numFmt numFmtId="184" formatCode="0.00000000000000000%"/>
    <numFmt numFmtId="185" formatCode="_-* #,##0.0000\ _€_-;\-* #,##0.0000\ _€_-;_-* &quot;-&quot;????\ _€_-;_-@_-"/>
    <numFmt numFmtId="186" formatCode="_-* #,##0.0\ _F_-;\-* #,##0.0\ _F_-;_-* &quot;-&quot;??\ _F_-;_-@_-"/>
    <numFmt numFmtId="187" formatCode="mmm"/>
    <numFmt numFmtId="188" formatCode="#,##0.0000"/>
    <numFmt numFmtId="189" formatCode="#,##0;\(#,##0\);&quot;-&quot;"/>
    <numFmt numFmtId="190" formatCode="#,##0_ ;[Red]\-#,##0\ "/>
  </numFmts>
  <fonts count="48" x14ac:knownFonts="1">
    <font>
      <sz val="10"/>
      <name val="Verdana"/>
      <family val="2"/>
    </font>
    <font>
      <sz val="10"/>
      <name val="Arial"/>
    </font>
    <font>
      <b/>
      <sz val="10"/>
      <name val="Verdana"/>
      <family val="2"/>
    </font>
    <font>
      <b/>
      <sz val="11"/>
      <name val="Verdana"/>
      <family val="2"/>
    </font>
    <font>
      <sz val="8"/>
      <name val="Verdana"/>
      <family val="2"/>
    </font>
    <font>
      <sz val="10"/>
      <name val="Verdana"/>
      <family val="2"/>
    </font>
    <font>
      <b/>
      <i/>
      <sz val="10"/>
      <name val="Verdana"/>
      <family val="2"/>
    </font>
    <font>
      <sz val="8"/>
      <color indexed="55"/>
      <name val="Verdana"/>
      <family val="2"/>
    </font>
    <font>
      <b/>
      <u/>
      <sz val="10"/>
      <name val="Verdana"/>
      <family val="2"/>
    </font>
    <font>
      <u/>
      <sz val="10"/>
      <name val="Verdana"/>
      <family val="2"/>
    </font>
    <font>
      <i/>
      <sz val="10"/>
      <name val="Verdana"/>
      <family val="2"/>
    </font>
    <font>
      <b/>
      <sz val="10"/>
      <color indexed="12"/>
      <name val="Verdana"/>
      <family val="2"/>
    </font>
    <font>
      <b/>
      <sz val="8"/>
      <color indexed="12"/>
      <name val="Verdana"/>
      <family val="2"/>
    </font>
    <font>
      <b/>
      <sz val="8"/>
      <name val="Verdana"/>
      <family val="2"/>
    </font>
    <font>
      <sz val="10"/>
      <color indexed="12"/>
      <name val="Verdana"/>
      <family val="2"/>
    </font>
    <font>
      <u/>
      <sz val="10"/>
      <color indexed="12"/>
      <name val="Verdana"/>
      <family val="2"/>
    </font>
    <font>
      <sz val="10"/>
      <color indexed="55"/>
      <name val="Verdana"/>
      <family val="2"/>
    </font>
    <font>
      <b/>
      <sz val="10"/>
      <color indexed="55"/>
      <name val="Verdana"/>
      <family val="2"/>
    </font>
    <font>
      <i/>
      <u/>
      <sz val="10"/>
      <name val="Verdana"/>
      <family val="2"/>
    </font>
    <font>
      <i/>
      <sz val="10"/>
      <color indexed="53"/>
      <name val="Verdana"/>
      <family val="2"/>
    </font>
    <font>
      <sz val="9"/>
      <name val="Verdana"/>
      <family val="2"/>
    </font>
    <font>
      <b/>
      <sz val="10"/>
      <color indexed="8"/>
      <name val="Verdana"/>
      <family val="2"/>
    </font>
    <font>
      <sz val="10"/>
      <color indexed="8"/>
      <name val="Verdana"/>
      <family val="2"/>
    </font>
    <font>
      <b/>
      <sz val="14"/>
      <name val="Verdana"/>
      <family val="2"/>
    </font>
    <font>
      <sz val="10"/>
      <color indexed="10"/>
      <name val="Verdana"/>
      <family val="2"/>
    </font>
    <font>
      <i/>
      <sz val="9"/>
      <name val="Verdana"/>
      <family val="2"/>
    </font>
    <font>
      <sz val="11"/>
      <name val="Verdana"/>
      <family val="2"/>
    </font>
    <font>
      <vertAlign val="subscript"/>
      <sz val="10"/>
      <name val="Verdana"/>
      <family val="2"/>
    </font>
    <font>
      <vertAlign val="subscript"/>
      <sz val="8"/>
      <name val="Verdana"/>
      <family val="2"/>
    </font>
    <font>
      <b/>
      <sz val="10"/>
      <color indexed="10"/>
      <name val="Verdana"/>
      <family val="2"/>
    </font>
    <font>
      <sz val="8"/>
      <color indexed="81"/>
      <name val="Tahoma"/>
      <family val="2"/>
    </font>
    <font>
      <b/>
      <sz val="11"/>
      <color indexed="8"/>
      <name val="Verdana"/>
      <family val="2"/>
    </font>
    <font>
      <sz val="10"/>
      <color indexed="28"/>
      <name val="Verdana"/>
      <family val="2"/>
    </font>
    <font>
      <sz val="10"/>
      <name val="Verdana"/>
      <family val="2"/>
    </font>
    <font>
      <i/>
      <sz val="10"/>
      <color indexed="22"/>
      <name val="Verdana"/>
      <family val="2"/>
    </font>
    <font>
      <sz val="10"/>
      <name val="Arial"/>
    </font>
    <font>
      <b/>
      <sz val="10"/>
      <name val="Arial"/>
      <family val="2"/>
    </font>
    <font>
      <b/>
      <sz val="10"/>
      <color theme="0"/>
      <name val="Verdana"/>
      <family val="2"/>
    </font>
    <font>
      <sz val="10"/>
      <color theme="0"/>
      <name val="Verdana"/>
      <family val="2"/>
    </font>
    <font>
      <b/>
      <sz val="8"/>
      <color theme="0"/>
      <name val="Verdana"/>
      <family val="2"/>
    </font>
    <font>
      <b/>
      <sz val="7"/>
      <color theme="0"/>
      <name val="Verdana"/>
      <family val="2"/>
    </font>
    <font>
      <b/>
      <sz val="11"/>
      <color theme="0"/>
      <name val="Verdana"/>
      <family val="2"/>
    </font>
    <font>
      <b/>
      <sz val="9"/>
      <color theme="0"/>
      <name val="Verdana"/>
      <family val="2"/>
    </font>
    <font>
      <sz val="9"/>
      <color theme="0"/>
      <name val="Verdana"/>
      <family val="2"/>
    </font>
    <font>
      <sz val="8"/>
      <color theme="0"/>
      <name val="Verdana"/>
      <family val="2"/>
    </font>
    <font>
      <sz val="10"/>
      <color theme="1"/>
      <name val="Verdana"/>
      <family val="2"/>
    </font>
    <font>
      <b/>
      <u/>
      <sz val="10"/>
      <name val="Arial"/>
      <family val="2"/>
    </font>
    <font>
      <sz val="10"/>
      <name val="Arial"/>
      <family val="2"/>
    </font>
  </fonts>
  <fills count="7">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s>
  <borders count="19">
    <border>
      <left/>
      <right/>
      <top/>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rgb="FFFFFFFF"/>
      </right>
      <top/>
      <bottom/>
      <diagonal/>
    </border>
    <border>
      <left/>
      <right/>
      <top/>
      <bottom style="thin">
        <color rgb="FF00A400"/>
      </bottom>
      <diagonal/>
    </border>
    <border>
      <left/>
      <right/>
      <top style="thin">
        <color auto="1"/>
      </top>
      <bottom/>
      <diagonal/>
    </border>
    <border>
      <left/>
      <right/>
      <top/>
      <bottom style="medium">
        <color auto="1"/>
      </bottom>
      <diagonal/>
    </border>
  </borders>
  <cellStyleXfs count="8">
    <xf numFmtId="0" fontId="0" fillId="0" borderId="0">
      <alignment vertical="top"/>
    </xf>
    <xf numFmtId="168" fontId="19" fillId="0" borderId="0">
      <alignment vertical="top"/>
    </xf>
    <xf numFmtId="164" fontId="1" fillId="0" borderId="0" applyFont="0" applyFill="0" applyBorder="0" applyAlignment="0" applyProtection="0"/>
    <xf numFmtId="9" fontId="1" fillId="0" borderId="0" applyFont="0" applyFill="0" applyBorder="0" applyAlignment="0" applyProtection="0"/>
    <xf numFmtId="0" fontId="2" fillId="0" borderId="0" applyNumberFormat="0">
      <alignment vertical="top"/>
    </xf>
    <xf numFmtId="0" fontId="3" fillId="0" borderId="0">
      <alignment vertical="top"/>
    </xf>
    <xf numFmtId="0" fontId="18" fillId="0" borderId="0">
      <alignment vertical="top"/>
    </xf>
    <xf numFmtId="0" fontId="5" fillId="0" borderId="0">
      <alignment vertical="top" wrapText="1"/>
    </xf>
  </cellStyleXfs>
  <cellXfs count="621">
    <xf numFmtId="0" fontId="0" fillId="0" borderId="0" xfId="0">
      <alignment vertical="top"/>
    </xf>
    <xf numFmtId="0" fontId="2" fillId="0" borderId="0" xfId="0" applyFont="1">
      <alignment vertical="top"/>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center" vertical="top"/>
    </xf>
    <xf numFmtId="2" fontId="0" fillId="0" borderId="0" xfId="0" applyNumberFormat="1">
      <alignment vertical="top"/>
    </xf>
    <xf numFmtId="0" fontId="4" fillId="0" borderId="0" xfId="0" applyFont="1" applyAlignment="1">
      <alignment horizontal="left" vertical="top" wrapText="1" indent="1"/>
    </xf>
    <xf numFmtId="2" fontId="4" fillId="0" borderId="0" xfId="0" applyNumberFormat="1" applyFont="1">
      <alignment vertical="top"/>
    </xf>
    <xf numFmtId="0" fontId="4" fillId="0" borderId="0" xfId="0" applyFont="1">
      <alignment vertical="top"/>
    </xf>
    <xf numFmtId="0" fontId="2" fillId="0" borderId="0" xfId="0" applyNumberFormat="1" applyFont="1" applyAlignment="1">
      <alignment horizontal="center" vertical="top"/>
    </xf>
    <xf numFmtId="0" fontId="5" fillId="0" borderId="0" xfId="0" applyFont="1" applyAlignment="1">
      <alignment vertical="top" wrapText="1"/>
    </xf>
    <xf numFmtId="0" fontId="0" fillId="0" borderId="0" xfId="0" applyNumberFormat="1">
      <alignment vertical="top"/>
    </xf>
    <xf numFmtId="0" fontId="3" fillId="0" borderId="0" xfId="5">
      <alignment vertical="top"/>
    </xf>
    <xf numFmtId="0" fontId="6" fillId="0" borderId="0" xfId="0" applyFont="1">
      <alignment vertical="top"/>
    </xf>
    <xf numFmtId="0" fontId="4" fillId="0" borderId="0" xfId="0" applyFont="1" applyAlignment="1">
      <alignment horizontal="left" vertical="top" indent="1"/>
    </xf>
    <xf numFmtId="166" fontId="0" fillId="0" borderId="0" xfId="0" applyNumberFormat="1">
      <alignment vertical="top"/>
    </xf>
    <xf numFmtId="166" fontId="4" fillId="0" borderId="0" xfId="0" applyNumberFormat="1" applyFont="1">
      <alignment vertical="top"/>
    </xf>
    <xf numFmtId="9" fontId="0" fillId="0" borderId="0" xfId="3" applyFont="1" applyAlignment="1">
      <alignment vertical="top"/>
    </xf>
    <xf numFmtId="0" fontId="7" fillId="0" borderId="0" xfId="0" applyFont="1" applyAlignment="1">
      <alignment horizontal="left" vertical="top" indent="1"/>
    </xf>
    <xf numFmtId="166" fontId="7" fillId="0" borderId="0" xfId="0" applyNumberFormat="1" applyFont="1">
      <alignment vertical="top"/>
    </xf>
    <xf numFmtId="0" fontId="7" fillId="0" borderId="0" xfId="0" applyFont="1">
      <alignment vertical="top"/>
    </xf>
    <xf numFmtId="0" fontId="8" fillId="0" borderId="0" xfId="0" applyFont="1" applyAlignment="1">
      <alignment vertical="top" wrapText="1"/>
    </xf>
    <xf numFmtId="0" fontId="0" fillId="0" borderId="0" xfId="0" quotePrefix="1">
      <alignment vertical="top"/>
    </xf>
    <xf numFmtId="0" fontId="8" fillId="0" borderId="0" xfId="0" applyFont="1">
      <alignment vertical="top"/>
    </xf>
    <xf numFmtId="0" fontId="2" fillId="0" borderId="1" xfId="0" applyFont="1" applyBorder="1" applyAlignment="1">
      <alignment vertical="top" wrapText="1"/>
    </xf>
    <xf numFmtId="0" fontId="0" fillId="0" borderId="1" xfId="0" applyBorder="1">
      <alignment vertical="top"/>
    </xf>
    <xf numFmtId="0" fontId="0" fillId="0" borderId="0" xfId="0" quotePrefix="1" applyAlignment="1">
      <alignment vertical="top" wrapText="1"/>
    </xf>
    <xf numFmtId="0" fontId="2" fillId="0" borderId="0" xfId="0" quotePrefix="1" applyFont="1" applyAlignment="1">
      <alignment vertical="top" wrapText="1"/>
    </xf>
    <xf numFmtId="0" fontId="2" fillId="0" borderId="1" xfId="0" quotePrefix="1" applyFont="1" applyBorder="1" applyAlignment="1">
      <alignment vertical="top" wrapText="1"/>
    </xf>
    <xf numFmtId="0" fontId="2" fillId="0" borderId="1" xfId="0" quotePrefix="1" applyFont="1" applyBorder="1">
      <alignment vertical="top"/>
    </xf>
    <xf numFmtId="166" fontId="0" fillId="0" borderId="1" xfId="0" applyNumberFormat="1" applyBorder="1">
      <alignment vertical="top"/>
    </xf>
    <xf numFmtId="166" fontId="0" fillId="0" borderId="0" xfId="0" applyNumberFormat="1" applyAlignment="1">
      <alignment vertical="top" wrapText="1"/>
    </xf>
    <xf numFmtId="166" fontId="2" fillId="0" borderId="0" xfId="0" applyNumberFormat="1" applyFont="1">
      <alignment vertical="top"/>
    </xf>
    <xf numFmtId="0" fontId="3" fillId="0" borderId="0" xfId="5" applyFont="1">
      <alignment vertical="top"/>
    </xf>
    <xf numFmtId="168" fontId="2" fillId="0" borderId="0" xfId="0" applyNumberFormat="1" applyFont="1" applyAlignment="1">
      <alignment horizontal="center" vertical="top"/>
    </xf>
    <xf numFmtId="166" fontId="4" fillId="0" borderId="0" xfId="0" applyNumberFormat="1" applyFont="1" applyAlignment="1">
      <alignment horizontal="left" vertical="top" wrapText="1" indent="1"/>
    </xf>
    <xf numFmtId="0" fontId="2" fillId="0" borderId="0" xfId="0" quotePrefix="1" applyFont="1">
      <alignment vertical="top"/>
    </xf>
    <xf numFmtId="9" fontId="0" fillId="0" borderId="0" xfId="0" applyNumberFormat="1">
      <alignment vertical="top"/>
    </xf>
    <xf numFmtId="0" fontId="5" fillId="0" borderId="1" xfId="0" applyFont="1" applyBorder="1">
      <alignment vertical="top"/>
    </xf>
    <xf numFmtId="0" fontId="0" fillId="0" borderId="2" xfId="0" applyBorder="1">
      <alignment vertical="top"/>
    </xf>
    <xf numFmtId="166" fontId="5" fillId="0" borderId="0" xfId="0" applyNumberFormat="1" applyFont="1">
      <alignment vertical="top"/>
    </xf>
    <xf numFmtId="166" fontId="0" fillId="0" borderId="2" xfId="0" applyNumberFormat="1" applyBorder="1">
      <alignment vertical="top"/>
    </xf>
    <xf numFmtId="166" fontId="12" fillId="0" borderId="0" xfId="0" applyNumberFormat="1" applyFont="1">
      <alignment vertical="top"/>
    </xf>
    <xf numFmtId="0" fontId="2" fillId="0" borderId="1" xfId="0" applyFont="1" applyBorder="1" applyAlignment="1">
      <alignment horizontal="center" vertical="top"/>
    </xf>
    <xf numFmtId="0" fontId="0" fillId="0" borderId="3" xfId="0" applyBorder="1">
      <alignment vertical="top"/>
    </xf>
    <xf numFmtId="0" fontId="0" fillId="0" borderId="0" xfId="0" applyBorder="1">
      <alignment vertical="top"/>
    </xf>
    <xf numFmtId="0" fontId="0" fillId="0" borderId="4" xfId="0" applyBorder="1" applyAlignment="1">
      <alignment vertical="top" wrapText="1"/>
    </xf>
    <xf numFmtId="0" fontId="2" fillId="0" borderId="0" xfId="0" applyFont="1" applyBorder="1">
      <alignment vertical="top"/>
    </xf>
    <xf numFmtId="0" fontId="2" fillId="0" borderId="5" xfId="0" applyFont="1" applyBorder="1" applyAlignment="1">
      <alignment vertical="top" wrapText="1"/>
    </xf>
    <xf numFmtId="0" fontId="2" fillId="0" borderId="1" xfId="0" applyFont="1" applyBorder="1">
      <alignment vertical="top"/>
    </xf>
    <xf numFmtId="0" fontId="0" fillId="0" borderId="2" xfId="0" quotePrefix="1" applyBorder="1" applyAlignment="1">
      <alignment vertical="top" wrapText="1"/>
    </xf>
    <xf numFmtId="0" fontId="0" fillId="0" borderId="6" xfId="0" quotePrefix="1" applyBorder="1" applyAlignment="1">
      <alignment vertical="top" wrapText="1"/>
    </xf>
    <xf numFmtId="0" fontId="2" fillId="0" borderId="5" xfId="0" quotePrefix="1" applyFont="1" applyBorder="1" applyAlignment="1">
      <alignment vertical="top" wrapText="1"/>
    </xf>
    <xf numFmtId="0" fontId="2" fillId="0" borderId="2" xfId="0" quotePrefix="1" applyFont="1" applyBorder="1" applyAlignment="1">
      <alignment vertical="top" wrapText="1"/>
    </xf>
    <xf numFmtId="166" fontId="0" fillId="0" borderId="0" xfId="0" applyNumberFormat="1" applyBorder="1">
      <alignment vertical="top"/>
    </xf>
    <xf numFmtId="166" fontId="2" fillId="0" borderId="1" xfId="0" applyNumberFormat="1" applyFont="1" applyBorder="1">
      <alignment vertical="top"/>
    </xf>
    <xf numFmtId="166" fontId="2" fillId="0" borderId="7" xfId="0" applyNumberFormat="1" applyFont="1" applyBorder="1">
      <alignment vertical="top"/>
    </xf>
    <xf numFmtId="0" fontId="0" fillId="0" borderId="8" xfId="0" applyBorder="1">
      <alignment vertical="top"/>
    </xf>
    <xf numFmtId="0" fontId="2" fillId="0" borderId="6" xfId="0" quotePrefix="1" applyFont="1" applyBorder="1" applyAlignment="1">
      <alignment vertical="top" wrapText="1"/>
    </xf>
    <xf numFmtId="166" fontId="2" fillId="0" borderId="0" xfId="0" applyNumberFormat="1" applyFont="1" applyBorder="1">
      <alignment vertical="top"/>
    </xf>
    <xf numFmtId="166" fontId="11" fillId="0" borderId="0" xfId="0" applyNumberFormat="1" applyFont="1" applyBorder="1">
      <alignment vertical="top"/>
    </xf>
    <xf numFmtId="0" fontId="0" fillId="0" borderId="7" xfId="0" applyBorder="1">
      <alignment vertical="top"/>
    </xf>
    <xf numFmtId="11" fontId="0" fillId="0" borderId="0" xfId="0" applyNumberFormat="1">
      <alignment vertical="top"/>
    </xf>
    <xf numFmtId="0" fontId="0" fillId="0" borderId="6" xfId="0" applyBorder="1">
      <alignment vertical="top"/>
    </xf>
    <xf numFmtId="0" fontId="2" fillId="0" borderId="7" xfId="0" applyFont="1" applyBorder="1" applyAlignment="1">
      <alignment horizontal="center" vertical="top"/>
    </xf>
    <xf numFmtId="168" fontId="0" fillId="0" borderId="0" xfId="0" applyNumberFormat="1">
      <alignment vertical="top"/>
    </xf>
    <xf numFmtId="0" fontId="4" fillId="0" borderId="0" xfId="0" applyFont="1" applyAlignment="1">
      <alignment horizontal="center" vertical="top" wrapText="1"/>
    </xf>
    <xf numFmtId="168" fontId="2" fillId="0" borderId="0" xfId="0" applyNumberFormat="1" applyFont="1">
      <alignment vertical="top"/>
    </xf>
    <xf numFmtId="0" fontId="5" fillId="0" borderId="0" xfId="0" applyFont="1">
      <alignment vertical="top"/>
    </xf>
    <xf numFmtId="169" fontId="0" fillId="0" borderId="0" xfId="3" applyNumberFormat="1" applyFont="1" applyAlignment="1">
      <alignment vertical="top"/>
    </xf>
    <xf numFmtId="167" fontId="0" fillId="0" borderId="0" xfId="0" applyNumberFormat="1">
      <alignment vertical="top"/>
    </xf>
    <xf numFmtId="168" fontId="2" fillId="0" borderId="1" xfId="0" applyNumberFormat="1" applyFont="1" applyBorder="1">
      <alignment vertical="top"/>
    </xf>
    <xf numFmtId="0" fontId="2" fillId="0" borderId="0" xfId="0" applyFont="1" applyBorder="1" applyAlignment="1">
      <alignment horizontal="center" vertical="top"/>
    </xf>
    <xf numFmtId="167" fontId="4" fillId="0" borderId="0" xfId="0" applyNumberFormat="1" applyFont="1">
      <alignment vertical="top"/>
    </xf>
    <xf numFmtId="167" fontId="0" fillId="0" borderId="1" xfId="0" applyNumberFormat="1" applyBorder="1">
      <alignment vertical="top"/>
    </xf>
    <xf numFmtId="167" fontId="0" fillId="0" borderId="0" xfId="0" applyNumberFormat="1" applyFill="1" applyBorder="1">
      <alignment vertical="top"/>
    </xf>
    <xf numFmtId="0" fontId="13" fillId="0" borderId="0" xfId="0" applyFont="1" applyAlignment="1">
      <alignment horizontal="center" vertical="top" wrapText="1"/>
    </xf>
    <xf numFmtId="165" fontId="0" fillId="0" borderId="0" xfId="0" applyNumberFormat="1">
      <alignment vertical="top"/>
    </xf>
    <xf numFmtId="0" fontId="4" fillId="0" borderId="0" xfId="0" applyNumberFormat="1" applyFont="1">
      <alignment vertical="top"/>
    </xf>
    <xf numFmtId="0" fontId="2" fillId="0" borderId="0" xfId="0" applyFont="1" applyAlignment="1">
      <alignment horizontal="right" vertical="top"/>
    </xf>
    <xf numFmtId="0" fontId="4" fillId="0" borderId="0" xfId="0" applyFont="1" applyAlignment="1">
      <alignment horizontal="center" vertical="top"/>
    </xf>
    <xf numFmtId="9" fontId="4" fillId="0" borderId="0" xfId="3" applyFont="1" applyAlignment="1">
      <alignment vertical="top"/>
    </xf>
    <xf numFmtId="9" fontId="0" fillId="0" borderId="1" xfId="3" applyFont="1" applyBorder="1" applyAlignment="1">
      <alignment vertical="top"/>
    </xf>
    <xf numFmtId="10" fontId="0" fillId="0" borderId="0" xfId="0" applyNumberFormat="1">
      <alignment vertical="top"/>
    </xf>
    <xf numFmtId="10" fontId="0" fillId="0" borderId="0" xfId="3" applyNumberFormat="1" applyFont="1" applyAlignment="1">
      <alignment vertical="top"/>
    </xf>
    <xf numFmtId="0" fontId="10" fillId="0" borderId="0" xfId="0" applyFont="1">
      <alignment vertical="top"/>
    </xf>
    <xf numFmtId="169" fontId="0" fillId="0" borderId="0" xfId="0" applyNumberFormat="1">
      <alignment vertical="top"/>
    </xf>
    <xf numFmtId="10" fontId="2" fillId="0" borderId="0" xfId="0" applyNumberFormat="1" applyFont="1">
      <alignment vertical="top"/>
    </xf>
    <xf numFmtId="2" fontId="0" fillId="0" borderId="1" xfId="2" applyNumberFormat="1" applyFont="1" applyBorder="1" applyAlignment="1">
      <alignment vertical="top"/>
    </xf>
    <xf numFmtId="0" fontId="2" fillId="0" borderId="7" xfId="0" applyFont="1" applyBorder="1">
      <alignment vertical="top"/>
    </xf>
    <xf numFmtId="167" fontId="2" fillId="0" borderId="0" xfId="0" applyNumberFormat="1" applyFont="1">
      <alignment vertical="top"/>
    </xf>
    <xf numFmtId="167" fontId="5" fillId="0" borderId="0" xfId="0" applyNumberFormat="1" applyFont="1">
      <alignment vertical="top"/>
    </xf>
    <xf numFmtId="0" fontId="0" fillId="0" borderId="0" xfId="0" applyAlignment="1">
      <alignment horizontal="right" vertical="top"/>
    </xf>
    <xf numFmtId="10" fontId="2" fillId="0" borderId="0" xfId="3" applyNumberFormat="1" applyFont="1" applyAlignment="1">
      <alignment vertical="top"/>
    </xf>
    <xf numFmtId="0" fontId="3" fillId="0" borderId="0" xfId="5" applyAlignment="1">
      <alignment vertical="top"/>
    </xf>
    <xf numFmtId="0" fontId="2" fillId="0" borderId="7" xfId="0" applyFont="1" applyBorder="1" applyAlignment="1">
      <alignment vertical="top" wrapText="1"/>
    </xf>
    <xf numFmtId="0" fontId="2" fillId="0" borderId="7" xfId="0" applyFont="1" applyBorder="1" applyAlignment="1">
      <alignment horizontal="right" vertical="top"/>
    </xf>
    <xf numFmtId="0" fontId="5" fillId="0" borderId="0" xfId="0" quotePrefix="1" applyFont="1">
      <alignment vertical="top"/>
    </xf>
    <xf numFmtId="2" fontId="0" fillId="0" borderId="1" xfId="0" applyNumberFormat="1" applyBorder="1">
      <alignment vertical="top"/>
    </xf>
    <xf numFmtId="170" fontId="0" fillId="0" borderId="0" xfId="0" applyNumberFormat="1">
      <alignment vertical="top"/>
    </xf>
    <xf numFmtId="0" fontId="3" fillId="0" borderId="0" xfId="5" applyFont="1" applyAlignment="1">
      <alignment vertical="top"/>
    </xf>
    <xf numFmtId="0" fontId="2" fillId="0" borderId="0" xfId="0" applyFont="1" applyBorder="1" applyAlignment="1">
      <alignment vertical="top" wrapText="1"/>
    </xf>
    <xf numFmtId="0" fontId="2" fillId="0" borderId="6" xfId="0" applyFont="1" applyBorder="1">
      <alignment vertical="top"/>
    </xf>
    <xf numFmtId="9" fontId="0" fillId="0" borderId="0" xfId="0" applyNumberFormat="1" applyBorder="1">
      <alignment vertical="top"/>
    </xf>
    <xf numFmtId="167" fontId="0" fillId="0" borderId="0" xfId="0" applyNumberFormat="1" applyBorder="1">
      <alignment vertical="top"/>
    </xf>
    <xf numFmtId="0" fontId="0" fillId="0" borderId="0" xfId="0" applyAlignment="1">
      <alignment horizontal="center" vertical="top"/>
    </xf>
    <xf numFmtId="9" fontId="0" fillId="0" borderId="0" xfId="3" applyFont="1" applyAlignment="1">
      <alignment horizontal="center" vertical="top"/>
    </xf>
    <xf numFmtId="1" fontId="0" fillId="0" borderId="0" xfId="0" applyNumberFormat="1">
      <alignment vertical="top"/>
    </xf>
    <xf numFmtId="164" fontId="0" fillId="0" borderId="0" xfId="2" applyFont="1" applyAlignment="1">
      <alignment vertical="top"/>
    </xf>
    <xf numFmtId="0" fontId="0" fillId="0" borderId="0" xfId="2" applyNumberFormat="1" applyFont="1" applyAlignment="1">
      <alignment vertical="top"/>
    </xf>
    <xf numFmtId="170" fontId="0" fillId="0" borderId="0" xfId="2" applyNumberFormat="1" applyFont="1" applyAlignment="1">
      <alignment vertical="top"/>
    </xf>
    <xf numFmtId="174" fontId="0" fillId="0" borderId="0" xfId="3" applyNumberFormat="1" applyFont="1" applyAlignment="1">
      <alignment vertical="top"/>
    </xf>
    <xf numFmtId="0" fontId="7" fillId="0" borderId="0" xfId="0" applyFont="1" applyAlignment="1">
      <alignment horizontal="center" vertical="top" wrapText="1"/>
    </xf>
    <xf numFmtId="166" fontId="16" fillId="0" borderId="0" xfId="0" applyNumberFormat="1" applyFont="1">
      <alignment vertical="top"/>
    </xf>
    <xf numFmtId="0" fontId="5" fillId="0" borderId="0" xfId="0" applyFont="1" applyAlignment="1">
      <alignment horizontal="center" vertical="top"/>
    </xf>
    <xf numFmtId="169" fontId="2" fillId="0" borderId="0" xfId="3" applyNumberFormat="1" applyFont="1" applyAlignment="1">
      <alignment vertical="top"/>
    </xf>
    <xf numFmtId="0" fontId="9" fillId="0" borderId="0" xfId="0" applyFont="1">
      <alignment vertical="top"/>
    </xf>
    <xf numFmtId="164" fontId="0" fillId="0" borderId="2" xfId="2" applyFont="1" applyBorder="1" applyAlignment="1">
      <alignment vertical="top"/>
    </xf>
    <xf numFmtId="169" fontId="0" fillId="0" borderId="2" xfId="0" applyNumberFormat="1" applyBorder="1">
      <alignment vertical="top"/>
    </xf>
    <xf numFmtId="0" fontId="0" fillId="0" borderId="2" xfId="0" applyBorder="1" applyAlignment="1">
      <alignment horizontal="center" vertical="top"/>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172" fontId="0" fillId="0" borderId="0" xfId="2" applyNumberFormat="1" applyFont="1" applyAlignment="1">
      <alignment vertical="top"/>
    </xf>
    <xf numFmtId="0" fontId="4" fillId="0" borderId="1" xfId="0" applyFont="1" applyFill="1" applyBorder="1" applyAlignment="1">
      <alignment horizontal="center" vertical="top" wrapText="1"/>
    </xf>
    <xf numFmtId="172" fontId="2" fillId="0" borderId="0" xfId="0" applyNumberFormat="1" applyFont="1">
      <alignment vertical="top"/>
    </xf>
    <xf numFmtId="165" fontId="2" fillId="0" borderId="0" xfId="0" applyNumberFormat="1" applyFont="1">
      <alignment vertical="top"/>
    </xf>
    <xf numFmtId="39" fontId="0" fillId="0" borderId="0" xfId="2" applyNumberFormat="1" applyFont="1" applyAlignment="1">
      <alignment vertical="top"/>
    </xf>
    <xf numFmtId="0" fontId="0" fillId="0" borderId="1" xfId="0" applyBorder="1" applyAlignment="1">
      <alignment horizontal="center" vertical="top"/>
    </xf>
    <xf numFmtId="0" fontId="0" fillId="0" borderId="6" xfId="0" applyBorder="1" applyAlignment="1">
      <alignment horizontal="center" vertical="top"/>
    </xf>
    <xf numFmtId="0" fontId="0" fillId="0" borderId="1" xfId="0" applyBorder="1" applyAlignment="1">
      <alignment vertical="top" wrapText="1"/>
    </xf>
    <xf numFmtId="0" fontId="0" fillId="0" borderId="0" xfId="0" applyFill="1" applyBorder="1" applyAlignment="1">
      <alignment vertical="top" wrapText="1"/>
    </xf>
    <xf numFmtId="173" fontId="0" fillId="0" borderId="0" xfId="0" applyNumberFormat="1">
      <alignment vertical="top"/>
    </xf>
    <xf numFmtId="14" fontId="0" fillId="0" borderId="0" xfId="0" applyNumberFormat="1">
      <alignment vertical="top"/>
    </xf>
    <xf numFmtId="173" fontId="2" fillId="0" borderId="0" xfId="3" applyNumberFormat="1" applyFont="1" applyAlignment="1">
      <alignment vertical="top"/>
    </xf>
    <xf numFmtId="173" fontId="5" fillId="0" borderId="0" xfId="3" applyNumberFormat="1" applyFont="1" applyAlignment="1">
      <alignment vertical="top"/>
    </xf>
    <xf numFmtId="174" fontId="2" fillId="0" borderId="0" xfId="3" applyNumberFormat="1" applyFont="1" applyAlignment="1">
      <alignment vertical="top"/>
    </xf>
    <xf numFmtId="15" fontId="0" fillId="0" borderId="0" xfId="0" applyNumberFormat="1" applyAlignment="1">
      <alignment horizontal="center" vertical="top"/>
    </xf>
    <xf numFmtId="0" fontId="2" fillId="0" borderId="1" xfId="0" applyFont="1" applyBorder="1" applyAlignment="1">
      <alignment horizontal="center" vertical="top" wrapText="1"/>
    </xf>
    <xf numFmtId="0" fontId="2" fillId="0" borderId="3" xfId="0" applyFont="1" applyBorder="1" applyAlignment="1">
      <alignment horizontal="center" vertical="top" wrapText="1"/>
    </xf>
    <xf numFmtId="10" fontId="0" fillId="0" borderId="8" xfId="0" applyNumberFormat="1" applyBorder="1">
      <alignment vertical="top"/>
    </xf>
    <xf numFmtId="9" fontId="5" fillId="0" borderId="0" xfId="0" applyNumberFormat="1" applyFont="1">
      <alignment vertical="top"/>
    </xf>
    <xf numFmtId="2" fontId="2" fillId="0" borderId="0" xfId="0" applyNumberFormat="1" applyFont="1">
      <alignment vertical="top"/>
    </xf>
    <xf numFmtId="0" fontId="0" fillId="0" borderId="9" xfId="0" applyBorder="1">
      <alignment vertical="top"/>
    </xf>
    <xf numFmtId="169" fontId="2" fillId="0" borderId="0" xfId="0" applyNumberFormat="1" applyFont="1">
      <alignment vertical="top"/>
    </xf>
    <xf numFmtId="10" fontId="0" fillId="0" borderId="2" xfId="0" applyNumberFormat="1" applyBorder="1">
      <alignment vertical="top"/>
    </xf>
    <xf numFmtId="9" fontId="0" fillId="0" borderId="2" xfId="0" applyNumberFormat="1" applyBorder="1">
      <alignment vertical="top"/>
    </xf>
    <xf numFmtId="164" fontId="5" fillId="0" borderId="0" xfId="2" applyFont="1" applyAlignment="1">
      <alignment vertical="top"/>
    </xf>
    <xf numFmtId="169" fontId="5" fillId="0" borderId="0" xfId="0" applyNumberFormat="1" applyFont="1">
      <alignment vertical="top"/>
    </xf>
    <xf numFmtId="0" fontId="16" fillId="0" borderId="0" xfId="0" applyFont="1">
      <alignment vertical="top"/>
    </xf>
    <xf numFmtId="165" fontId="5" fillId="0" borderId="0" xfId="0" applyNumberFormat="1" applyFont="1">
      <alignment vertical="top"/>
    </xf>
    <xf numFmtId="167" fontId="11" fillId="0" borderId="0" xfId="0" applyNumberFormat="1" applyFont="1">
      <alignment vertical="top"/>
    </xf>
    <xf numFmtId="10" fontId="5" fillId="0" borderId="0" xfId="3" applyNumberFormat="1" applyFont="1" applyAlignment="1">
      <alignment vertical="top"/>
    </xf>
    <xf numFmtId="168" fontId="4" fillId="0" borderId="0" xfId="0" applyNumberFormat="1" applyFont="1">
      <alignment vertical="top"/>
    </xf>
    <xf numFmtId="0" fontId="4" fillId="0" borderId="1" xfId="0" applyFont="1" applyBorder="1" applyAlignment="1">
      <alignment horizontal="left" vertical="top" indent="1"/>
    </xf>
    <xf numFmtId="169" fontId="4" fillId="0" borderId="1" xfId="0" applyNumberFormat="1" applyFont="1" applyBorder="1">
      <alignment vertical="top"/>
    </xf>
    <xf numFmtId="168" fontId="0" fillId="0" borderId="1" xfId="0" applyNumberFormat="1" applyBorder="1">
      <alignment vertical="top"/>
    </xf>
    <xf numFmtId="169" fontId="0" fillId="0" borderId="0" xfId="0" applyNumberFormat="1" applyBorder="1">
      <alignment vertical="top"/>
    </xf>
    <xf numFmtId="10" fontId="0" fillId="0" borderId="0" xfId="0" applyNumberFormat="1" applyBorder="1">
      <alignment vertical="top"/>
    </xf>
    <xf numFmtId="164" fontId="0" fillId="0" borderId="0" xfId="0" applyNumberFormat="1">
      <alignment vertical="top"/>
    </xf>
    <xf numFmtId="165" fontId="0" fillId="0" borderId="1" xfId="0" applyNumberFormat="1" applyBorder="1">
      <alignment vertical="top"/>
    </xf>
    <xf numFmtId="0" fontId="18" fillId="0" borderId="0" xfId="6" applyFont="1">
      <alignment vertical="top"/>
    </xf>
    <xf numFmtId="0" fontId="18" fillId="0" borderId="0" xfId="6">
      <alignment vertical="top"/>
    </xf>
    <xf numFmtId="168" fontId="19" fillId="0" borderId="0" xfId="1">
      <alignment vertical="top"/>
    </xf>
    <xf numFmtId="168" fontId="19" fillId="0" borderId="0" xfId="1" applyNumberFormat="1">
      <alignment vertical="top"/>
    </xf>
    <xf numFmtId="0" fontId="2" fillId="0" borderId="0" xfId="4">
      <alignment vertical="top"/>
    </xf>
    <xf numFmtId="172" fontId="2" fillId="0" borderId="0" xfId="4" applyNumberFormat="1">
      <alignment vertical="top"/>
    </xf>
    <xf numFmtId="9" fontId="0" fillId="0" borderId="8" xfId="0" applyNumberFormat="1" applyBorder="1">
      <alignment vertical="top"/>
    </xf>
    <xf numFmtId="0" fontId="2" fillId="0" borderId="8" xfId="4" applyBorder="1">
      <alignment vertical="top"/>
    </xf>
    <xf numFmtId="0" fontId="4" fillId="0" borderId="1" xfId="0" applyFont="1" applyBorder="1" applyAlignment="1">
      <alignment horizontal="center" vertical="top"/>
    </xf>
    <xf numFmtId="172" fontId="0" fillId="0" borderId="1" xfId="2" applyNumberFormat="1" applyFont="1" applyBorder="1" applyAlignment="1">
      <alignment vertical="top"/>
    </xf>
    <xf numFmtId="168" fontId="19" fillId="0" borderId="1" xfId="1" applyNumberFormat="1" applyBorder="1">
      <alignment vertical="top"/>
    </xf>
    <xf numFmtId="172" fontId="0" fillId="0" borderId="0" xfId="0" applyNumberFormat="1">
      <alignment vertical="top"/>
    </xf>
    <xf numFmtId="2" fontId="0" fillId="0" borderId="2" xfId="0" applyNumberFormat="1" applyBorder="1">
      <alignment vertical="top"/>
    </xf>
    <xf numFmtId="0" fontId="2" fillId="0" borderId="0" xfId="0" applyFont="1" applyFill="1" applyBorder="1" applyAlignment="1">
      <alignment vertical="top" wrapText="1"/>
    </xf>
    <xf numFmtId="0" fontId="5" fillId="0" borderId="0" xfId="0" applyFont="1" applyFill="1" applyBorder="1" applyAlignment="1">
      <alignment vertical="top" wrapText="1"/>
    </xf>
    <xf numFmtId="2" fontId="0" fillId="0" borderId="6" xfId="0" applyNumberFormat="1" applyBorder="1">
      <alignment vertical="top"/>
    </xf>
    <xf numFmtId="2" fontId="0" fillId="0" borderId="0" xfId="0" applyNumberFormat="1" applyBorder="1">
      <alignment vertical="top"/>
    </xf>
    <xf numFmtId="2" fontId="0" fillId="0" borderId="4" xfId="0" applyNumberFormat="1" applyBorder="1">
      <alignment vertical="top"/>
    </xf>
    <xf numFmtId="9" fontId="2" fillId="0" borderId="0" xfId="3" applyFont="1" applyAlignment="1">
      <alignment vertical="top"/>
    </xf>
    <xf numFmtId="2" fontId="5" fillId="0" borderId="0" xfId="0" applyNumberFormat="1" applyFont="1">
      <alignment vertical="top"/>
    </xf>
    <xf numFmtId="0" fontId="0" fillId="0" borderId="3" xfId="0" applyBorder="1" applyAlignment="1">
      <alignment vertical="top" wrapText="1"/>
    </xf>
    <xf numFmtId="0" fontId="0" fillId="0" borderId="8" xfId="0" applyBorder="1" applyAlignment="1">
      <alignment vertical="top" wrapText="1"/>
    </xf>
    <xf numFmtId="0" fontId="0" fillId="0" borderId="0" xfId="0" applyBorder="1" applyAlignment="1">
      <alignment vertical="top" wrapText="1"/>
    </xf>
    <xf numFmtId="166" fontId="0" fillId="0" borderId="0" xfId="0" quotePrefix="1" applyNumberFormat="1">
      <alignment vertical="top"/>
    </xf>
    <xf numFmtId="0" fontId="5" fillId="0" borderId="0" xfId="7">
      <alignment vertical="top" wrapText="1"/>
    </xf>
    <xf numFmtId="0" fontId="5" fillId="0" borderId="0" xfId="7" applyFont="1">
      <alignment vertical="top" wrapText="1"/>
    </xf>
    <xf numFmtId="0" fontId="2" fillId="0" borderId="0" xfId="7" applyFont="1">
      <alignment vertical="top" wrapText="1"/>
    </xf>
    <xf numFmtId="0" fontId="5" fillId="0" borderId="10" xfId="7" applyBorder="1">
      <alignment vertical="top" wrapText="1"/>
    </xf>
    <xf numFmtId="0" fontId="5" fillId="0" borderId="8" xfId="7" applyBorder="1">
      <alignment vertical="top" wrapText="1"/>
    </xf>
    <xf numFmtId="0" fontId="5" fillId="0" borderId="3" xfId="7" applyBorder="1">
      <alignment vertical="top" wrapText="1"/>
    </xf>
    <xf numFmtId="168" fontId="2" fillId="0" borderId="0" xfId="0" quotePrefix="1" applyNumberFormat="1" applyFont="1">
      <alignment vertical="top"/>
    </xf>
    <xf numFmtId="0" fontId="5" fillId="0" borderId="0" xfId="7" applyFont="1" applyFill="1" applyBorder="1">
      <alignment vertical="top" wrapText="1"/>
    </xf>
    <xf numFmtId="0" fontId="5" fillId="0" borderId="1" xfId="7" applyBorder="1">
      <alignment vertical="top" wrapText="1"/>
    </xf>
    <xf numFmtId="0" fontId="5" fillId="0" borderId="0" xfId="7" applyFont="1" applyBorder="1">
      <alignment vertical="top" wrapText="1"/>
    </xf>
    <xf numFmtId="0" fontId="2" fillId="0" borderId="0" xfId="7" applyFont="1" applyFill="1" applyBorder="1">
      <alignment vertical="top" wrapText="1"/>
    </xf>
    <xf numFmtId="10" fontId="0" fillId="0" borderId="4" xfId="3" applyNumberFormat="1" applyFont="1" applyBorder="1" applyAlignment="1">
      <alignment vertical="top"/>
    </xf>
    <xf numFmtId="10" fontId="0" fillId="0" borderId="2" xfId="3" applyNumberFormat="1" applyFont="1" applyBorder="1" applyAlignment="1">
      <alignment vertical="top"/>
    </xf>
    <xf numFmtId="10" fontId="2" fillId="0" borderId="2" xfId="3" applyNumberFormat="1" applyFont="1" applyBorder="1" applyAlignment="1">
      <alignment vertical="top"/>
    </xf>
    <xf numFmtId="169" fontId="5" fillId="0" borderId="0" xfId="3" applyNumberFormat="1" applyFont="1" applyAlignment="1">
      <alignment vertical="top"/>
    </xf>
    <xf numFmtId="169" fontId="4" fillId="0" borderId="0" xfId="3" applyNumberFormat="1" applyFont="1" applyAlignment="1">
      <alignment vertical="top"/>
    </xf>
    <xf numFmtId="0" fontId="4" fillId="0" borderId="0" xfId="0" applyFont="1" applyAlignment="1">
      <alignment vertical="top" wrapText="1"/>
    </xf>
    <xf numFmtId="9" fontId="2" fillId="0" borderId="0" xfId="0" applyNumberFormat="1" applyFont="1">
      <alignment vertical="top"/>
    </xf>
    <xf numFmtId="175" fontId="0" fillId="0" borderId="0" xfId="3" applyNumberFormat="1" applyFont="1" applyAlignment="1">
      <alignment vertical="top"/>
    </xf>
    <xf numFmtId="0" fontId="2" fillId="0" borderId="11" xfId="7" applyFont="1" applyBorder="1" applyAlignment="1">
      <alignment horizontal="center" vertical="top" wrapText="1"/>
    </xf>
    <xf numFmtId="0" fontId="20" fillId="0" borderId="0" xfId="7" applyFont="1" applyAlignment="1">
      <alignment horizontal="left" vertical="top" wrapText="1" indent="1"/>
    </xf>
    <xf numFmtId="176" fontId="0" fillId="0" borderId="0" xfId="0" applyNumberFormat="1">
      <alignment vertical="top"/>
    </xf>
    <xf numFmtId="176" fontId="20" fillId="0" borderId="0" xfId="0" applyNumberFormat="1" applyFont="1">
      <alignment vertical="top"/>
    </xf>
    <xf numFmtId="0" fontId="20" fillId="0" borderId="0" xfId="0" applyFont="1" applyAlignment="1">
      <alignment vertical="top" wrapText="1"/>
    </xf>
    <xf numFmtId="177" fontId="0" fillId="0" borderId="0" xfId="0" applyNumberFormat="1">
      <alignment vertical="top"/>
    </xf>
    <xf numFmtId="0" fontId="5" fillId="0" borderId="0" xfId="7" applyFont="1" applyAlignment="1">
      <alignment vertical="top"/>
    </xf>
    <xf numFmtId="176" fontId="20" fillId="0" borderId="0" xfId="0" applyNumberFormat="1" applyFont="1" applyAlignment="1">
      <alignment vertical="top" wrapText="1"/>
    </xf>
    <xf numFmtId="178" fontId="20" fillId="0" borderId="0" xfId="0" applyNumberFormat="1" applyFont="1" applyAlignment="1">
      <alignment vertical="top" wrapText="1"/>
    </xf>
    <xf numFmtId="169" fontId="20" fillId="0" borderId="0" xfId="3" applyNumberFormat="1" applyFont="1" applyAlignment="1">
      <alignment vertical="top" wrapText="1"/>
    </xf>
    <xf numFmtId="0" fontId="0" fillId="0" borderId="0" xfId="0" applyAlignment="1">
      <alignment horizontal="center" vertical="top" wrapText="1"/>
    </xf>
    <xf numFmtId="171" fontId="0" fillId="0" borderId="0" xfId="0" applyNumberFormat="1">
      <alignment vertical="top"/>
    </xf>
    <xf numFmtId="0" fontId="0" fillId="0" borderId="1" xfId="0" quotePrefix="1" applyBorder="1">
      <alignment vertical="top"/>
    </xf>
    <xf numFmtId="0" fontId="5" fillId="0" borderId="0" xfId="0" quotePrefix="1" applyFont="1" applyAlignment="1">
      <alignment vertical="top" wrapText="1"/>
    </xf>
    <xf numFmtId="173" fontId="14" fillId="0" borderId="0" xfId="3" applyNumberFormat="1" applyFont="1" applyAlignment="1">
      <alignment vertical="top"/>
    </xf>
    <xf numFmtId="10" fontId="22" fillId="0" borderId="0" xfId="3" applyNumberFormat="1" applyFont="1" applyAlignment="1">
      <alignment vertical="top"/>
    </xf>
    <xf numFmtId="9" fontId="22" fillId="0" borderId="0" xfId="0" applyNumberFormat="1" applyFont="1">
      <alignment vertical="top"/>
    </xf>
    <xf numFmtId="1" fontId="5" fillId="0" borderId="0" xfId="0" applyNumberFormat="1" applyFont="1">
      <alignment vertical="top"/>
    </xf>
    <xf numFmtId="9" fontId="5" fillId="0" borderId="0" xfId="3" applyFont="1" applyAlignment="1">
      <alignment vertical="top"/>
    </xf>
    <xf numFmtId="0" fontId="23" fillId="0" borderId="0" xfId="0" applyFont="1">
      <alignment vertical="top"/>
    </xf>
    <xf numFmtId="2" fontId="0" fillId="0" borderId="1" xfId="0" applyNumberFormat="1" applyBorder="1" applyAlignment="1">
      <alignment horizontal="center" vertical="top"/>
    </xf>
    <xf numFmtId="168" fontId="5" fillId="0" borderId="0" xfId="0" applyNumberFormat="1" applyFont="1">
      <alignment vertical="top"/>
    </xf>
    <xf numFmtId="177" fontId="22" fillId="0" borderId="0" xfId="0" applyNumberFormat="1" applyFont="1">
      <alignment vertical="top"/>
    </xf>
    <xf numFmtId="0" fontId="0" fillId="0" borderId="0" xfId="0" applyAlignment="1">
      <alignment vertical="top"/>
    </xf>
    <xf numFmtId="171" fontId="5" fillId="0" borderId="0" xfId="0" applyNumberFormat="1" applyFont="1">
      <alignment vertical="top"/>
    </xf>
    <xf numFmtId="0" fontId="13" fillId="0" borderId="0" xfId="0" applyFont="1" applyAlignment="1">
      <alignment horizontal="center" vertical="top"/>
    </xf>
    <xf numFmtId="168" fontId="2" fillId="0" borderId="0" xfId="0" applyNumberFormat="1" applyFont="1" applyBorder="1">
      <alignment vertical="top"/>
    </xf>
    <xf numFmtId="168" fontId="5" fillId="0" borderId="0" xfId="0" applyNumberFormat="1" applyFont="1" applyBorder="1">
      <alignment vertical="top"/>
    </xf>
    <xf numFmtId="0" fontId="8" fillId="0" borderId="0" xfId="0" applyFont="1" applyBorder="1">
      <alignment vertical="top"/>
    </xf>
    <xf numFmtId="9" fontId="9" fillId="0" borderId="0" xfId="3" applyFont="1" applyAlignment="1">
      <alignment horizontal="center" vertical="top"/>
    </xf>
    <xf numFmtId="169" fontId="2" fillId="0" borderId="1" xfId="0" applyNumberFormat="1" applyFont="1" applyBorder="1">
      <alignment vertical="top"/>
    </xf>
    <xf numFmtId="169" fontId="5" fillId="0" borderId="0" xfId="0" applyNumberFormat="1" applyFont="1" applyBorder="1">
      <alignment vertical="top"/>
    </xf>
    <xf numFmtId="9" fontId="2" fillId="0" borderId="1" xfId="3" applyFont="1" applyBorder="1" applyAlignment="1">
      <alignment vertical="top"/>
    </xf>
    <xf numFmtId="168" fontId="2" fillId="0" borderId="7" xfId="0" applyNumberFormat="1" applyFont="1" applyBorder="1">
      <alignment vertical="top"/>
    </xf>
    <xf numFmtId="9" fontId="2" fillId="0" borderId="7" xfId="3" applyFont="1" applyBorder="1" applyAlignment="1">
      <alignment vertical="top"/>
    </xf>
    <xf numFmtId="9" fontId="0" fillId="0" borderId="0" xfId="3" applyFont="1" applyBorder="1" applyAlignment="1">
      <alignment vertical="top"/>
    </xf>
    <xf numFmtId="0" fontId="25" fillId="0" borderId="0" xfId="0" applyFont="1" applyAlignment="1">
      <alignment horizontal="left" vertical="top" indent="1"/>
    </xf>
    <xf numFmtId="0" fontId="25" fillId="0" borderId="0" xfId="0" applyFont="1">
      <alignment vertical="top"/>
    </xf>
    <xf numFmtId="169" fontId="25" fillId="0" borderId="0" xfId="0" applyNumberFormat="1" applyFont="1">
      <alignment vertical="top"/>
    </xf>
    <xf numFmtId="0" fontId="5" fillId="0" borderId="0" xfId="0" applyFont="1" applyAlignment="1">
      <alignment horizontal="left" vertical="top" indent="1"/>
    </xf>
    <xf numFmtId="0" fontId="5" fillId="0" borderId="0" xfId="0" applyFont="1" applyAlignment="1">
      <alignment horizontal="left" vertical="top"/>
    </xf>
    <xf numFmtId="0" fontId="9" fillId="0" borderId="0" xfId="0" applyFont="1" applyAlignment="1">
      <alignment horizontal="left" vertical="top"/>
    </xf>
    <xf numFmtId="0" fontId="20" fillId="0" borderId="0" xfId="0" applyFont="1" applyAlignment="1">
      <alignment horizontal="left" vertical="top" indent="1"/>
    </xf>
    <xf numFmtId="0" fontId="20" fillId="0" borderId="0" xfId="0" applyFont="1">
      <alignment vertical="top"/>
    </xf>
    <xf numFmtId="169" fontId="20" fillId="0" borderId="0" xfId="0" applyNumberFormat="1" applyFont="1">
      <alignment vertical="top"/>
    </xf>
    <xf numFmtId="0" fontId="5" fillId="0" borderId="9" xfId="0" applyFont="1" applyBorder="1">
      <alignment vertical="top"/>
    </xf>
    <xf numFmtId="0" fontId="0" fillId="0" borderId="9" xfId="0" applyBorder="1" applyAlignment="1">
      <alignment horizontal="center" vertical="top"/>
    </xf>
    <xf numFmtId="9" fontId="0" fillId="0" borderId="0" xfId="0" applyNumberFormat="1" applyAlignment="1">
      <alignment horizontal="center" vertical="top"/>
    </xf>
    <xf numFmtId="10" fontId="0" fillId="0" borderId="0" xfId="0" applyNumberFormat="1" applyAlignment="1">
      <alignment horizontal="center" vertical="top"/>
    </xf>
    <xf numFmtId="165" fontId="0" fillId="0" borderId="0" xfId="0" applyNumberFormat="1" applyAlignment="1">
      <alignment horizontal="center" vertical="top"/>
    </xf>
    <xf numFmtId="0" fontId="0" fillId="0" borderId="0" xfId="0" applyAlignment="1">
      <alignment horizontal="left" vertical="top" indent="1"/>
    </xf>
    <xf numFmtId="172" fontId="0" fillId="0" borderId="7" xfId="0" applyNumberFormat="1" applyBorder="1">
      <alignment vertical="top"/>
    </xf>
    <xf numFmtId="165" fontId="0" fillId="0" borderId="0" xfId="0" applyNumberFormat="1" applyBorder="1" applyAlignment="1">
      <alignment horizontal="center" vertical="top"/>
    </xf>
    <xf numFmtId="165" fontId="0" fillId="0" borderId="1" xfId="0" applyNumberFormat="1" applyBorder="1" applyAlignment="1">
      <alignment horizontal="center" vertical="top"/>
    </xf>
    <xf numFmtId="165" fontId="2" fillId="0" borderId="0" xfId="0" applyNumberFormat="1" applyFont="1" applyAlignment="1">
      <alignment horizontal="center" vertical="top"/>
    </xf>
    <xf numFmtId="165" fontId="0" fillId="0" borderId="0" xfId="0" applyNumberFormat="1" applyBorder="1" applyAlignment="1">
      <alignment horizontal="center" vertical="center"/>
    </xf>
    <xf numFmtId="0" fontId="26" fillId="0" borderId="0" xfId="5" applyFont="1">
      <alignment vertical="top"/>
    </xf>
    <xf numFmtId="0" fontId="9" fillId="0" borderId="0" xfId="0" applyFont="1" applyAlignment="1">
      <alignment horizontal="center" vertical="top"/>
    </xf>
    <xf numFmtId="0" fontId="0" fillId="0" borderId="0" xfId="0" applyBorder="1" applyAlignment="1">
      <alignment horizontal="center" vertical="top"/>
    </xf>
    <xf numFmtId="0" fontId="5" fillId="0" borderId="0" xfId="2" applyNumberFormat="1" applyFont="1" applyAlignment="1">
      <alignment horizontal="center" vertical="top"/>
    </xf>
    <xf numFmtId="10" fontId="5" fillId="0" borderId="8" xfId="3" applyNumberFormat="1" applyFont="1" applyBorder="1" applyAlignment="1">
      <alignment vertical="top"/>
    </xf>
    <xf numFmtId="0" fontId="0" fillId="2" borderId="0" xfId="0" applyFill="1">
      <alignment vertical="top"/>
    </xf>
    <xf numFmtId="10" fontId="0" fillId="2" borderId="0" xfId="0" applyNumberFormat="1" applyFill="1">
      <alignment vertical="top"/>
    </xf>
    <xf numFmtId="10" fontId="5" fillId="2" borderId="0" xfId="3" applyNumberFormat="1" applyFont="1" applyFill="1" applyAlignment="1">
      <alignment vertical="top"/>
    </xf>
    <xf numFmtId="0" fontId="0" fillId="0" borderId="0" xfId="0" quotePrefix="1" applyAlignment="1">
      <alignment horizontal="center" vertical="top"/>
    </xf>
    <xf numFmtId="169" fontId="0" fillId="0" borderId="0" xfId="0" applyNumberFormat="1" applyAlignment="1">
      <alignment horizontal="center" vertical="top"/>
    </xf>
    <xf numFmtId="169" fontId="5" fillId="0" borderId="0" xfId="3" applyNumberFormat="1" applyFont="1" applyAlignment="1">
      <alignment horizontal="center" vertical="top"/>
    </xf>
    <xf numFmtId="0" fontId="0" fillId="0" borderId="8" xfId="0" applyBorder="1" applyAlignment="1">
      <alignment horizontal="left" vertical="top"/>
    </xf>
    <xf numFmtId="0" fontId="0" fillId="2" borderId="0" xfId="0" applyFill="1" applyBorder="1" applyAlignment="1">
      <alignment horizontal="center" vertical="top"/>
    </xf>
    <xf numFmtId="164" fontId="0" fillId="0" borderId="0" xfId="2" applyFont="1" applyAlignment="1">
      <alignment horizontal="center" vertical="top"/>
    </xf>
    <xf numFmtId="10" fontId="0" fillId="2" borderId="0" xfId="3" applyNumberFormat="1" applyFont="1" applyFill="1" applyBorder="1" applyAlignment="1">
      <alignment horizontal="center" vertical="top"/>
    </xf>
    <xf numFmtId="169" fontId="2" fillId="2" borderId="0" xfId="0" applyNumberFormat="1" applyFont="1" applyFill="1">
      <alignment vertical="top"/>
    </xf>
    <xf numFmtId="164" fontId="2" fillId="2" borderId="0" xfId="2" applyFont="1" applyFill="1" applyAlignment="1">
      <alignment vertical="top"/>
    </xf>
    <xf numFmtId="166" fontId="0" fillId="0" borderId="0" xfId="0" applyNumberFormat="1" applyAlignment="1">
      <alignment horizontal="center" vertical="top"/>
    </xf>
    <xf numFmtId="0" fontId="0" fillId="0" borderId="10" xfId="0" quotePrefix="1" applyBorder="1">
      <alignment vertical="top"/>
    </xf>
    <xf numFmtId="0" fontId="0" fillId="0" borderId="3" xfId="0" quotePrefix="1" applyBorder="1">
      <alignment vertical="top"/>
    </xf>
    <xf numFmtId="166" fontId="8" fillId="0" borderId="0" xfId="0" applyNumberFormat="1" applyFont="1">
      <alignment vertical="top"/>
    </xf>
    <xf numFmtId="0" fontId="18" fillId="0" borderId="3" xfId="6" applyFont="1" applyBorder="1">
      <alignment vertical="top"/>
    </xf>
    <xf numFmtId="0" fontId="10" fillId="0" borderId="0" xfId="0" quotePrefix="1" applyFont="1">
      <alignment vertical="top"/>
    </xf>
    <xf numFmtId="0" fontId="10" fillId="0" borderId="0" xfId="0" quotePrefix="1" applyFont="1" applyAlignment="1">
      <alignment horizontal="left" vertical="top"/>
    </xf>
    <xf numFmtId="0" fontId="8" fillId="0" borderId="0" xfId="0" applyFont="1" applyAlignment="1">
      <alignment vertical="top"/>
    </xf>
    <xf numFmtId="0" fontId="10" fillId="0" borderId="0" xfId="0" applyFont="1" applyAlignment="1">
      <alignment vertical="top"/>
    </xf>
    <xf numFmtId="168" fontId="0" fillId="0" borderId="0" xfId="0" applyNumberFormat="1" applyBorder="1">
      <alignment vertical="top"/>
    </xf>
    <xf numFmtId="0" fontId="15" fillId="0" borderId="0" xfId="0" applyFont="1">
      <alignment vertical="top"/>
    </xf>
    <xf numFmtId="0" fontId="14" fillId="0" borderId="0" xfId="0" applyFont="1">
      <alignment vertical="top"/>
    </xf>
    <xf numFmtId="169" fontId="14" fillId="0" borderId="0" xfId="0" applyNumberFormat="1" applyFont="1">
      <alignment vertical="top"/>
    </xf>
    <xf numFmtId="169" fontId="0" fillId="2" borderId="0" xfId="0" applyNumberFormat="1" applyFill="1">
      <alignment vertical="top"/>
    </xf>
    <xf numFmtId="169" fontId="0" fillId="0" borderId="1" xfId="0" applyNumberFormat="1" applyBorder="1" applyAlignment="1">
      <alignment horizontal="center" vertical="top"/>
    </xf>
    <xf numFmtId="0" fontId="24" fillId="0" borderId="0" xfId="0" applyFont="1">
      <alignment vertical="top"/>
    </xf>
    <xf numFmtId="1" fontId="2" fillId="0" borderId="0" xfId="0" applyNumberFormat="1" applyFont="1">
      <alignment vertical="top"/>
    </xf>
    <xf numFmtId="0" fontId="2" fillId="0" borderId="0" xfId="4" applyFont="1">
      <alignment vertical="top"/>
    </xf>
    <xf numFmtId="0" fontId="5" fillId="0" borderId="0" xfId="4" applyFont="1">
      <alignment vertical="top"/>
    </xf>
    <xf numFmtId="172" fontId="0" fillId="0" borderId="0" xfId="0" applyNumberFormat="1" applyAlignment="1">
      <alignment vertical="top"/>
    </xf>
    <xf numFmtId="172" fontId="0" fillId="0" borderId="1" xfId="0" applyNumberFormat="1" applyBorder="1" applyAlignment="1">
      <alignment vertical="top"/>
    </xf>
    <xf numFmtId="168" fontId="5" fillId="0" borderId="0" xfId="1" applyNumberFormat="1" applyFont="1">
      <alignment vertical="top"/>
    </xf>
    <xf numFmtId="0" fontId="10" fillId="0" borderId="0" xfId="0" applyFont="1" applyAlignment="1">
      <alignment horizontal="left" vertical="top" indent="1"/>
    </xf>
    <xf numFmtId="10" fontId="29" fillId="0" borderId="0" xfId="3" applyNumberFormat="1" applyFont="1" applyAlignment="1">
      <alignment vertical="top"/>
    </xf>
    <xf numFmtId="171" fontId="2" fillId="0" borderId="0" xfId="0" applyNumberFormat="1" applyFont="1">
      <alignment vertical="top"/>
    </xf>
    <xf numFmtId="172" fontId="0" fillId="0" borderId="0" xfId="2" applyNumberFormat="1" applyFont="1" applyAlignment="1">
      <alignment horizontal="right" vertical="top"/>
    </xf>
    <xf numFmtId="0" fontId="10" fillId="0" borderId="0" xfId="5" applyFont="1">
      <alignment vertical="top"/>
    </xf>
    <xf numFmtId="1" fontId="0" fillId="0" borderId="0" xfId="0" applyNumberFormat="1" applyAlignment="1">
      <alignment horizontal="center" vertical="top"/>
    </xf>
    <xf numFmtId="1" fontId="0" fillId="0" borderId="1" xfId="0" applyNumberFormat="1" applyBorder="1" applyAlignment="1">
      <alignment horizontal="center" vertical="top"/>
    </xf>
    <xf numFmtId="2" fontId="0" fillId="0" borderId="0" xfId="0" applyNumberFormat="1" applyAlignment="1">
      <alignment horizontal="center" vertical="top"/>
    </xf>
    <xf numFmtId="0" fontId="0" fillId="0" borderId="0" xfId="0" applyFill="1" applyBorder="1">
      <alignment vertical="top"/>
    </xf>
    <xf numFmtId="10" fontId="0" fillId="0" borderId="0" xfId="3" applyNumberFormat="1" applyFont="1" applyAlignment="1">
      <alignment horizontal="center" vertical="top"/>
    </xf>
    <xf numFmtId="3" fontId="0" fillId="0" borderId="0" xfId="0" applyNumberFormat="1">
      <alignment vertical="top"/>
    </xf>
    <xf numFmtId="3" fontId="2" fillId="0" borderId="0" xfId="0" applyNumberFormat="1" applyFont="1">
      <alignment vertical="top"/>
    </xf>
    <xf numFmtId="3" fontId="2" fillId="0" borderId="7" xfId="0" applyNumberFormat="1" applyFont="1" applyBorder="1">
      <alignment vertical="top"/>
    </xf>
    <xf numFmtId="0" fontId="0" fillId="0" borderId="7" xfId="0" quotePrefix="1" applyBorder="1">
      <alignment vertical="top"/>
    </xf>
    <xf numFmtId="3" fontId="0" fillId="0" borderId="7" xfId="0" applyNumberFormat="1" applyBorder="1">
      <alignment vertical="top"/>
    </xf>
    <xf numFmtId="3" fontId="0" fillId="0" borderId="7" xfId="0" applyNumberFormat="1" applyBorder="1" applyAlignment="1">
      <alignment horizontal="right" vertical="top"/>
    </xf>
    <xf numFmtId="179" fontId="0" fillId="0" borderId="0" xfId="0" applyNumberFormat="1">
      <alignment vertical="top"/>
    </xf>
    <xf numFmtId="179" fontId="0" fillId="0" borderId="1" xfId="0" applyNumberFormat="1" applyBorder="1">
      <alignment vertical="top"/>
    </xf>
    <xf numFmtId="179" fontId="0" fillId="0" borderId="0" xfId="0" applyNumberFormat="1" applyBorder="1">
      <alignment vertical="top"/>
    </xf>
    <xf numFmtId="180" fontId="0" fillId="0" borderId="0" xfId="0" applyNumberFormat="1">
      <alignment vertical="top"/>
    </xf>
    <xf numFmtId="181" fontId="0" fillId="0" borderId="0" xfId="0" applyNumberFormat="1">
      <alignment vertical="top"/>
    </xf>
    <xf numFmtId="181" fontId="0" fillId="0" borderId="1" xfId="0" applyNumberFormat="1" applyBorder="1">
      <alignment vertical="top"/>
    </xf>
    <xf numFmtId="1" fontId="2" fillId="0" borderId="7" xfId="0" applyNumberFormat="1" applyFont="1" applyBorder="1">
      <alignment vertical="top"/>
    </xf>
    <xf numFmtId="1" fontId="2" fillId="0" borderId="1" xfId="0" applyNumberFormat="1" applyFont="1" applyBorder="1">
      <alignment vertical="top"/>
    </xf>
    <xf numFmtId="1" fontId="2" fillId="0" borderId="0" xfId="0" applyNumberFormat="1" applyFont="1" applyBorder="1">
      <alignment vertical="top"/>
    </xf>
    <xf numFmtId="0" fontId="0" fillId="0" borderId="0" xfId="0" quotePrefix="1" applyBorder="1" applyAlignment="1">
      <alignment vertical="top" wrapText="1"/>
    </xf>
    <xf numFmtId="180" fontId="0" fillId="0" borderId="0" xfId="0" applyNumberFormat="1" applyBorder="1">
      <alignment vertical="top"/>
    </xf>
    <xf numFmtId="0" fontId="13" fillId="0" borderId="0" xfId="0" applyFont="1" applyBorder="1" applyAlignment="1">
      <alignment vertical="top" wrapText="1"/>
    </xf>
    <xf numFmtId="169" fontId="13" fillId="0" borderId="0" xfId="0" applyNumberFormat="1" applyFont="1" applyBorder="1">
      <alignment vertical="top"/>
    </xf>
    <xf numFmtId="180" fontId="0" fillId="0" borderId="0" xfId="0" applyNumberFormat="1" applyFill="1" applyBorder="1">
      <alignment vertical="top"/>
    </xf>
    <xf numFmtId="0" fontId="5" fillId="0" borderId="0" xfId="0" applyFont="1" applyBorder="1" applyAlignment="1">
      <alignment horizontal="left" vertical="top"/>
    </xf>
    <xf numFmtId="0" fontId="0" fillId="0" borderId="0" xfId="0" quotePrefix="1" applyAlignment="1">
      <alignment vertical="top"/>
    </xf>
    <xf numFmtId="182" fontId="0" fillId="0" borderId="0" xfId="0" applyNumberFormat="1">
      <alignment vertical="top"/>
    </xf>
    <xf numFmtId="0" fontId="29" fillId="0" borderId="0" xfId="0" applyFont="1">
      <alignment vertical="top"/>
    </xf>
    <xf numFmtId="169" fontId="29" fillId="0" borderId="0" xfId="3" applyNumberFormat="1" applyFont="1" applyAlignment="1">
      <alignment vertical="top"/>
    </xf>
    <xf numFmtId="172" fontId="5" fillId="0" borderId="0" xfId="2" applyNumberFormat="1" applyFont="1" applyAlignment="1">
      <alignment vertical="top"/>
    </xf>
    <xf numFmtId="3" fontId="5" fillId="0" borderId="2" xfId="2" applyNumberFormat="1" applyFont="1" applyBorder="1" applyAlignment="1">
      <alignment vertical="top"/>
    </xf>
    <xf numFmtId="3" fontId="5" fillId="0" borderId="0" xfId="2" applyNumberFormat="1" applyFont="1" applyAlignment="1">
      <alignment vertical="top"/>
    </xf>
    <xf numFmtId="3" fontId="5" fillId="0" borderId="0" xfId="2" applyNumberFormat="1" applyFont="1" applyFill="1" applyBorder="1" applyAlignment="1">
      <alignment vertical="top"/>
    </xf>
    <xf numFmtId="0" fontId="0" fillId="0" borderId="0" xfId="0"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168" fontId="2" fillId="0" borderId="0" xfId="0" applyNumberFormat="1" applyFont="1" applyAlignment="1">
      <alignment horizontal="left" vertical="top"/>
    </xf>
    <xf numFmtId="181" fontId="2" fillId="0" borderId="1" xfId="0" applyNumberFormat="1" applyFont="1" applyBorder="1">
      <alignment vertical="top"/>
    </xf>
    <xf numFmtId="181" fontId="2" fillId="0" borderId="0" xfId="0" applyNumberFormat="1" applyFont="1">
      <alignment vertical="top"/>
    </xf>
    <xf numFmtId="181" fontId="2" fillId="0" borderId="7" xfId="0" applyNumberFormat="1" applyFont="1" applyBorder="1">
      <alignment vertical="top"/>
    </xf>
    <xf numFmtId="181" fontId="2" fillId="0" borderId="0" xfId="0" applyNumberFormat="1" applyFont="1" applyBorder="1">
      <alignment vertical="top"/>
    </xf>
    <xf numFmtId="181" fontId="0" fillId="0" borderId="0" xfId="0" applyNumberFormat="1" applyBorder="1">
      <alignment vertical="top"/>
    </xf>
    <xf numFmtId="181" fontId="0" fillId="0" borderId="0" xfId="0" applyNumberFormat="1" applyFill="1" applyBorder="1">
      <alignment vertical="top"/>
    </xf>
    <xf numFmtId="0" fontId="2" fillId="0" borderId="1" xfId="0" applyFont="1" applyFill="1" applyBorder="1">
      <alignment vertical="top"/>
    </xf>
    <xf numFmtId="181" fontId="2" fillId="0" borderId="1" xfId="0" applyNumberFormat="1" applyFont="1" applyFill="1" applyBorder="1">
      <alignment vertical="top"/>
    </xf>
    <xf numFmtId="0" fontId="5" fillId="0" borderId="0" xfId="0" applyFont="1" applyBorder="1">
      <alignment vertical="top"/>
    </xf>
    <xf numFmtId="181" fontId="5" fillId="0" borderId="0" xfId="0" applyNumberFormat="1" applyFont="1" applyBorder="1">
      <alignment vertical="top"/>
    </xf>
    <xf numFmtId="0" fontId="5" fillId="0" borderId="0" xfId="0" applyFont="1" applyFill="1" applyBorder="1">
      <alignment vertical="top"/>
    </xf>
    <xf numFmtId="174" fontId="0" fillId="0" borderId="0" xfId="0" applyNumberFormat="1">
      <alignment vertical="top"/>
    </xf>
    <xf numFmtId="0" fontId="0" fillId="0" borderId="0" xfId="0" applyAlignment="1">
      <alignment horizontal="left" vertical="top"/>
    </xf>
    <xf numFmtId="10" fontId="5" fillId="0" borderId="0" xfId="3" applyNumberFormat="1" applyFont="1" applyBorder="1" applyAlignment="1">
      <alignment vertical="top"/>
    </xf>
    <xf numFmtId="15" fontId="10" fillId="0" borderId="0" xfId="0" applyNumberFormat="1" applyFont="1" applyAlignment="1">
      <alignment horizontal="left" vertical="top"/>
    </xf>
    <xf numFmtId="165" fontId="0" fillId="0" borderId="2" xfId="0" applyNumberFormat="1" applyBorder="1">
      <alignment vertical="top"/>
    </xf>
    <xf numFmtId="0" fontId="0" fillId="0" borderId="4" xfId="0" applyBorder="1" applyAlignment="1">
      <alignment horizontal="center" vertical="top"/>
    </xf>
    <xf numFmtId="166" fontId="0" fillId="0" borderId="12" xfId="0" applyNumberFormat="1" applyBorder="1" applyAlignment="1">
      <alignment horizontal="right" vertical="top"/>
    </xf>
    <xf numFmtId="166" fontId="0" fillId="0" borderId="1" xfId="0" applyNumberFormat="1" applyBorder="1" applyAlignment="1">
      <alignment horizontal="right" vertical="top"/>
    </xf>
    <xf numFmtId="0" fontId="31" fillId="0" borderId="0" xfId="5" applyFont="1">
      <alignment vertical="top"/>
    </xf>
    <xf numFmtId="0" fontId="32" fillId="0" borderId="0" xfId="0" applyFont="1">
      <alignment vertical="top"/>
    </xf>
    <xf numFmtId="9" fontId="0" fillId="0" borderId="0" xfId="0" applyNumberFormat="1" applyAlignment="1">
      <alignment vertical="top"/>
    </xf>
    <xf numFmtId="8" fontId="0" fillId="0" borderId="0" xfId="0" applyNumberFormat="1">
      <alignment vertical="top"/>
    </xf>
    <xf numFmtId="2" fontId="21" fillId="0" borderId="0" xfId="0" applyNumberFormat="1" applyFont="1">
      <alignment vertical="top"/>
    </xf>
    <xf numFmtId="0" fontId="33" fillId="0" borderId="0" xfId="0" applyFont="1">
      <alignment vertical="top"/>
    </xf>
    <xf numFmtId="9" fontId="33" fillId="0" borderId="0" xfId="3" applyFont="1" applyAlignment="1">
      <alignment vertical="top"/>
    </xf>
    <xf numFmtId="1" fontId="33" fillId="0" borderId="0" xfId="0" applyNumberFormat="1" applyFont="1">
      <alignment vertical="top"/>
    </xf>
    <xf numFmtId="0" fontId="33" fillId="0" borderId="0" xfId="0" applyFont="1" applyAlignment="1">
      <alignment horizontal="right" vertical="top"/>
    </xf>
    <xf numFmtId="0" fontId="26" fillId="0" borderId="0" xfId="5" applyFont="1" applyAlignment="1">
      <alignment vertical="top" wrapText="1"/>
    </xf>
    <xf numFmtId="0" fontId="3" fillId="0" borderId="0" xfId="5" applyFont="1" applyBorder="1">
      <alignment vertical="top"/>
    </xf>
    <xf numFmtId="0" fontId="5" fillId="0" borderId="0" xfId="7" applyFont="1" applyBorder="1" applyAlignment="1">
      <alignment vertical="top"/>
    </xf>
    <xf numFmtId="0" fontId="5" fillId="0" borderId="0" xfId="7" applyBorder="1">
      <alignment vertical="top" wrapText="1"/>
    </xf>
    <xf numFmtId="0" fontId="0" fillId="0" borderId="0" xfId="0" applyAlignment="1">
      <alignment vertical="top" wrapText="1" shrinkToFit="1"/>
    </xf>
    <xf numFmtId="165" fontId="0" fillId="0" borderId="0" xfId="0" applyNumberFormat="1" applyAlignment="1">
      <alignment horizontal="center" vertical="top" shrinkToFit="1"/>
    </xf>
    <xf numFmtId="0" fontId="0" fillId="0" borderId="0" xfId="0" applyAlignment="1">
      <alignment vertical="top" shrinkToFit="1"/>
    </xf>
    <xf numFmtId="165" fontId="0" fillId="0" borderId="0" xfId="0" applyNumberFormat="1" applyAlignment="1">
      <alignment vertical="top" shrinkToFit="1"/>
    </xf>
    <xf numFmtId="0" fontId="18" fillId="0" borderId="0" xfId="0" applyFont="1">
      <alignment vertical="top"/>
    </xf>
    <xf numFmtId="169" fontId="10" fillId="0" borderId="0" xfId="0" applyNumberFormat="1" applyFont="1">
      <alignment vertical="top"/>
    </xf>
    <xf numFmtId="2" fontId="34" fillId="0" borderId="0" xfId="0" applyNumberFormat="1" applyFont="1">
      <alignment vertical="top"/>
    </xf>
    <xf numFmtId="166" fontId="34" fillId="0" borderId="0" xfId="0" applyNumberFormat="1" applyFont="1">
      <alignment vertical="top"/>
    </xf>
    <xf numFmtId="165" fontId="10" fillId="0" borderId="0" xfId="0" applyNumberFormat="1" applyFont="1">
      <alignment vertical="top"/>
    </xf>
    <xf numFmtId="0" fontId="0" fillId="0" borderId="4" xfId="0" applyBorder="1">
      <alignment vertical="top"/>
    </xf>
    <xf numFmtId="0" fontId="0" fillId="0" borderId="12" xfId="0" applyBorder="1">
      <alignment vertical="top"/>
    </xf>
    <xf numFmtId="0" fontId="0" fillId="0" borderId="2" xfId="0" applyBorder="1" applyAlignment="1">
      <alignment horizontal="right" vertical="top"/>
    </xf>
    <xf numFmtId="9" fontId="0" fillId="0" borderId="0" xfId="0" applyNumberFormat="1" applyBorder="1" applyAlignment="1">
      <alignment vertical="top"/>
    </xf>
    <xf numFmtId="165" fontId="0" fillId="0" borderId="0" xfId="0" applyNumberFormat="1" applyBorder="1">
      <alignment vertical="top"/>
    </xf>
    <xf numFmtId="0" fontId="5" fillId="0" borderId="0" xfId="5" applyFont="1">
      <alignment vertical="top"/>
    </xf>
    <xf numFmtId="0" fontId="2" fillId="0" borderId="0" xfId="5" applyFont="1">
      <alignment vertical="top"/>
    </xf>
    <xf numFmtId="1" fontId="0" fillId="0" borderId="0" xfId="0" applyNumberFormat="1" applyBorder="1">
      <alignment vertical="top"/>
    </xf>
    <xf numFmtId="1" fontId="0" fillId="0" borderId="0" xfId="0" applyNumberFormat="1" applyFill="1" applyBorder="1">
      <alignment vertical="top"/>
    </xf>
    <xf numFmtId="180" fontId="2" fillId="0" borderId="0" xfId="0" applyNumberFormat="1" applyFont="1" applyBorder="1">
      <alignment vertical="top"/>
    </xf>
    <xf numFmtId="1" fontId="35" fillId="0" borderId="0" xfId="0" applyNumberFormat="1" applyFont="1" applyBorder="1">
      <alignment vertical="top"/>
    </xf>
    <xf numFmtId="1" fontId="36" fillId="0" borderId="0" xfId="0" applyNumberFormat="1" applyFont="1" applyBorder="1">
      <alignment vertical="top"/>
    </xf>
    <xf numFmtId="180" fontId="2" fillId="0" borderId="0" xfId="0" applyNumberFormat="1" applyFont="1">
      <alignment vertical="top"/>
    </xf>
    <xf numFmtId="1" fontId="2" fillId="2" borderId="0" xfId="0" applyNumberFormat="1" applyFont="1" applyFill="1" applyAlignment="1">
      <alignment horizontal="center" vertical="top"/>
    </xf>
    <xf numFmtId="9" fontId="2" fillId="0" borderId="0" xfId="3" applyNumberFormat="1" applyFont="1" applyAlignment="1">
      <alignment vertical="top"/>
    </xf>
    <xf numFmtId="169" fontId="21" fillId="0" borderId="0" xfId="3" applyNumberFormat="1" applyFont="1" applyAlignment="1">
      <alignment vertical="top"/>
    </xf>
    <xf numFmtId="9" fontId="33" fillId="0" borderId="1" xfId="3" applyFont="1" applyBorder="1" applyAlignment="1">
      <alignment vertical="top"/>
    </xf>
    <xf numFmtId="1" fontId="33" fillId="0" borderId="1" xfId="0" applyNumberFormat="1" applyFont="1" applyBorder="1">
      <alignment vertical="top"/>
    </xf>
    <xf numFmtId="0" fontId="33" fillId="0" borderId="1" xfId="0" applyFont="1" applyBorder="1">
      <alignment vertical="top"/>
    </xf>
    <xf numFmtId="169" fontId="33" fillId="0" borderId="0" xfId="3" applyNumberFormat="1" applyFont="1" applyAlignment="1">
      <alignment vertical="top"/>
    </xf>
    <xf numFmtId="1" fontId="35" fillId="0" borderId="0" xfId="0" applyNumberFormat="1" applyFont="1" applyFill="1" applyBorder="1">
      <alignment vertical="top"/>
    </xf>
    <xf numFmtId="0" fontId="0" fillId="0" borderId="0" xfId="3" applyNumberFormat="1" applyFont="1" applyAlignment="1">
      <alignment vertical="top"/>
    </xf>
    <xf numFmtId="183" fontId="0" fillId="0" borderId="0" xfId="0" applyNumberFormat="1">
      <alignment vertical="top"/>
    </xf>
    <xf numFmtId="185" fontId="0" fillId="0" borderId="0" xfId="0" applyNumberFormat="1">
      <alignment vertical="top"/>
    </xf>
    <xf numFmtId="164" fontId="2" fillId="2" borderId="0" xfId="2" applyNumberFormat="1" applyFont="1" applyFill="1" applyAlignment="1">
      <alignment vertical="top"/>
    </xf>
    <xf numFmtId="167" fontId="16" fillId="0" borderId="0" xfId="0" applyNumberFormat="1" applyFont="1">
      <alignment vertical="top"/>
    </xf>
    <xf numFmtId="168" fontId="22" fillId="0" borderId="0" xfId="0" applyNumberFormat="1" applyFont="1">
      <alignment vertical="top"/>
    </xf>
    <xf numFmtId="168" fontId="16" fillId="0" borderId="0" xfId="0" applyNumberFormat="1" applyFont="1">
      <alignment vertical="top"/>
    </xf>
    <xf numFmtId="168" fontId="17" fillId="0" borderId="0" xfId="0" applyNumberFormat="1" applyFont="1">
      <alignment vertical="top"/>
    </xf>
    <xf numFmtId="0" fontId="2" fillId="0" borderId="0" xfId="0" applyFont="1" applyFill="1" applyBorder="1">
      <alignment vertical="top"/>
    </xf>
    <xf numFmtId="169" fontId="0" fillId="4" borderId="0" xfId="0" applyNumberFormat="1" applyFill="1">
      <alignment vertical="top"/>
    </xf>
    <xf numFmtId="186" fontId="2" fillId="2" borderId="0" xfId="2" applyNumberFormat="1" applyFont="1" applyFill="1" applyAlignment="1">
      <alignment vertical="top"/>
    </xf>
    <xf numFmtId="1" fontId="0" fillId="0" borderId="0" xfId="0" applyNumberFormat="1" applyFont="1">
      <alignment vertical="top"/>
    </xf>
    <xf numFmtId="0" fontId="0" fillId="0" borderId="0" xfId="7" applyFont="1">
      <alignment vertical="top" wrapText="1"/>
    </xf>
    <xf numFmtId="0" fontId="0" fillId="0" borderId="0" xfId="0" applyFont="1">
      <alignment vertical="top"/>
    </xf>
    <xf numFmtId="1" fontId="0" fillId="0" borderId="2" xfId="0" applyNumberFormat="1" applyBorder="1">
      <alignment vertical="top"/>
    </xf>
    <xf numFmtId="1" fontId="0" fillId="0" borderId="6" xfId="0" applyNumberFormat="1" applyBorder="1">
      <alignment vertical="top"/>
    </xf>
    <xf numFmtId="1" fontId="0" fillId="0" borderId="1" xfId="0" applyNumberFormat="1" applyBorder="1">
      <alignment vertical="top"/>
    </xf>
    <xf numFmtId="1" fontId="5" fillId="0" borderId="1" xfId="0" applyNumberFormat="1" applyFont="1" applyBorder="1">
      <alignment vertical="top"/>
    </xf>
    <xf numFmtId="1" fontId="5" fillId="0" borderId="2" xfId="0" applyNumberFormat="1" applyFont="1" applyBorder="1">
      <alignment vertical="top"/>
    </xf>
    <xf numFmtId="1" fontId="5" fillId="0" borderId="0" xfId="0" applyNumberFormat="1" applyFont="1" applyBorder="1">
      <alignment vertical="top"/>
    </xf>
    <xf numFmtId="1" fontId="2" fillId="0" borderId="2" xfId="0" applyNumberFormat="1" applyFont="1" applyBorder="1">
      <alignment vertical="top"/>
    </xf>
    <xf numFmtId="165" fontId="0" fillId="0" borderId="11" xfId="0" applyNumberFormat="1" applyBorder="1" applyAlignment="1">
      <alignment vertical="top" wrapText="1"/>
    </xf>
    <xf numFmtId="165" fontId="4" fillId="0" borderId="11" xfId="0" applyNumberFormat="1" applyFont="1" applyBorder="1" applyAlignment="1">
      <alignment vertical="top" wrapText="1"/>
    </xf>
    <xf numFmtId="165" fontId="4" fillId="0" borderId="0" xfId="0" applyNumberFormat="1" applyFont="1">
      <alignment vertical="top"/>
    </xf>
    <xf numFmtId="165" fontId="0" fillId="0" borderId="13" xfId="0" applyNumberFormat="1" applyBorder="1" applyAlignment="1">
      <alignment vertical="top" wrapText="1"/>
    </xf>
    <xf numFmtId="165" fontId="0" fillId="0" borderId="14" xfId="0" applyNumberFormat="1" applyBorder="1">
      <alignment vertical="top"/>
    </xf>
    <xf numFmtId="165" fontId="0" fillId="0" borderId="11" xfId="0" applyNumberFormat="1" applyBorder="1">
      <alignment vertical="top"/>
    </xf>
    <xf numFmtId="165" fontId="0" fillId="0" borderId="13" xfId="0" applyNumberFormat="1" applyBorder="1">
      <alignment vertical="top"/>
    </xf>
    <xf numFmtId="0" fontId="4" fillId="0" borderId="8" xfId="0" applyFont="1" applyBorder="1">
      <alignment vertical="top"/>
    </xf>
    <xf numFmtId="0" fontId="0" fillId="0" borderId="11" xfId="0" applyBorder="1">
      <alignment vertical="top"/>
    </xf>
    <xf numFmtId="0" fontId="4" fillId="0" borderId="11" xfId="0" applyFont="1" applyBorder="1">
      <alignment vertical="top"/>
    </xf>
    <xf numFmtId="0" fontId="0" fillId="0" borderId="13" xfId="0" applyBorder="1">
      <alignment vertical="top"/>
    </xf>
    <xf numFmtId="165" fontId="0" fillId="0" borderId="10" xfId="0" applyNumberFormat="1" applyBorder="1">
      <alignment vertical="top"/>
    </xf>
    <xf numFmtId="187" fontId="2" fillId="0" borderId="0" xfId="0" applyNumberFormat="1" applyFont="1" applyAlignment="1">
      <alignment horizontal="center" vertical="top" wrapText="1"/>
    </xf>
    <xf numFmtId="0" fontId="2" fillId="0" borderId="0" xfId="0" applyFont="1" applyAlignment="1">
      <alignment horizontal="center" vertical="top" wrapText="1"/>
    </xf>
    <xf numFmtId="1" fontId="0" fillId="0" borderId="14" xfId="0" applyNumberFormat="1" applyBorder="1" applyAlignment="1">
      <alignment vertical="top" wrapText="1"/>
    </xf>
    <xf numFmtId="1" fontId="0" fillId="0" borderId="11" xfId="0" applyNumberFormat="1" applyBorder="1" applyAlignment="1">
      <alignment vertical="top" wrapText="1"/>
    </xf>
    <xf numFmtId="1" fontId="4" fillId="0" borderId="11" xfId="0" applyNumberFormat="1" applyFont="1" applyBorder="1" applyAlignment="1">
      <alignment vertical="top" wrapText="1"/>
    </xf>
    <xf numFmtId="1" fontId="4" fillId="0" borderId="0" xfId="0" applyNumberFormat="1" applyFont="1">
      <alignment vertical="top"/>
    </xf>
    <xf numFmtId="168" fontId="7" fillId="0" borderId="0" xfId="0" applyNumberFormat="1" applyFont="1">
      <alignment vertical="top"/>
    </xf>
    <xf numFmtId="172" fontId="7" fillId="0" borderId="0" xfId="0" applyNumberFormat="1" applyFont="1">
      <alignment vertical="top"/>
    </xf>
    <xf numFmtId="172" fontId="7" fillId="0" borderId="0" xfId="2" applyNumberFormat="1" applyFont="1" applyAlignment="1">
      <alignment vertical="top"/>
    </xf>
    <xf numFmtId="172" fontId="2" fillId="0" borderId="0" xfId="2" applyNumberFormat="1" applyFont="1" applyAlignment="1">
      <alignment vertical="top"/>
    </xf>
    <xf numFmtId="172" fontId="2" fillId="0" borderId="0" xfId="2" applyNumberFormat="1" applyFont="1" applyAlignment="1">
      <alignment horizontal="right" vertical="top"/>
    </xf>
    <xf numFmtId="168" fontId="4" fillId="0" borderId="0" xfId="0" applyNumberFormat="1" applyFont="1" applyBorder="1" applyAlignment="1">
      <alignment vertical="top" wrapText="1"/>
    </xf>
    <xf numFmtId="0" fontId="0" fillId="5" borderId="0" xfId="0" applyFill="1" applyBorder="1">
      <alignment vertical="top"/>
    </xf>
    <xf numFmtId="3" fontId="2" fillId="5" borderId="0" xfId="0" applyNumberFormat="1" applyFont="1" applyFill="1" applyBorder="1">
      <alignment vertical="top"/>
    </xf>
    <xf numFmtId="3" fontId="0" fillId="5" borderId="0" xfId="0" applyNumberFormat="1" applyFill="1" applyBorder="1">
      <alignment vertical="top"/>
    </xf>
    <xf numFmtId="3" fontId="0" fillId="5" borderId="0" xfId="0" applyNumberFormat="1" applyFill="1" applyBorder="1" applyAlignment="1">
      <alignment horizontal="right" vertical="top"/>
    </xf>
    <xf numFmtId="0" fontId="37" fillId="6" borderId="0" xfId="0" applyFont="1" applyFill="1">
      <alignment vertical="top"/>
    </xf>
    <xf numFmtId="0" fontId="37" fillId="6" borderId="0" xfId="0" applyNumberFormat="1" applyFont="1" applyFill="1" applyAlignment="1">
      <alignment horizontal="center" vertical="top"/>
    </xf>
    <xf numFmtId="167" fontId="2" fillId="0" borderId="1" xfId="0" applyNumberFormat="1" applyFont="1" applyBorder="1">
      <alignment vertical="top"/>
    </xf>
    <xf numFmtId="168" fontId="21" fillId="0" borderId="1" xfId="0" applyNumberFormat="1" applyFont="1" applyBorder="1">
      <alignment vertical="top"/>
    </xf>
    <xf numFmtId="167" fontId="2" fillId="0" borderId="0" xfId="0" applyNumberFormat="1" applyFont="1" applyBorder="1">
      <alignment vertical="top"/>
    </xf>
    <xf numFmtId="0" fontId="16" fillId="0" borderId="1" xfId="0" applyFont="1" applyBorder="1">
      <alignment vertical="top"/>
    </xf>
    <xf numFmtId="168" fontId="16" fillId="0" borderId="1" xfId="0" applyNumberFormat="1" applyFont="1" applyBorder="1">
      <alignment vertical="top"/>
    </xf>
    <xf numFmtId="9" fontId="38" fillId="6" borderId="0" xfId="0" applyNumberFormat="1" applyFont="1" applyFill="1">
      <alignment vertical="top"/>
    </xf>
    <xf numFmtId="0" fontId="0" fillId="0" borderId="0" xfId="0" applyFill="1">
      <alignment vertical="top"/>
    </xf>
    <xf numFmtId="0" fontId="2" fillId="0" borderId="0" xfId="0" applyFont="1" applyFill="1" applyAlignment="1">
      <alignment horizontal="center" vertical="top"/>
    </xf>
    <xf numFmtId="0" fontId="2" fillId="0" borderId="0" xfId="0" applyFont="1" applyFill="1">
      <alignment vertical="top"/>
    </xf>
    <xf numFmtId="9" fontId="38" fillId="0" borderId="0" xfId="0" applyNumberFormat="1" applyFont="1" applyFill="1">
      <alignment vertical="top"/>
    </xf>
    <xf numFmtId="0" fontId="4" fillId="0" borderId="0" xfId="0" applyFont="1" applyFill="1">
      <alignment vertical="top"/>
    </xf>
    <xf numFmtId="9" fontId="0" fillId="0" borderId="0" xfId="0" applyNumberFormat="1" applyFill="1">
      <alignment vertical="top"/>
    </xf>
    <xf numFmtId="0" fontId="37" fillId="6" borderId="0" xfId="0" applyFont="1" applyFill="1" applyAlignment="1">
      <alignment horizontal="center" vertical="top"/>
    </xf>
    <xf numFmtId="0" fontId="38" fillId="6" borderId="0" xfId="0" applyFont="1" applyFill="1">
      <alignment vertical="top"/>
    </xf>
    <xf numFmtId="9" fontId="0" fillId="0" borderId="0" xfId="3" applyNumberFormat="1" applyFont="1" applyAlignment="1">
      <alignment vertical="top"/>
    </xf>
    <xf numFmtId="0" fontId="37" fillId="6" borderId="1" xfId="0" applyFont="1" applyFill="1" applyBorder="1" applyAlignment="1">
      <alignment horizontal="center" vertical="top"/>
    </xf>
    <xf numFmtId="0" fontId="37" fillId="6" borderId="0" xfId="0" applyFont="1" applyFill="1" applyBorder="1">
      <alignment vertical="top"/>
    </xf>
    <xf numFmtId="168" fontId="37" fillId="6" borderId="0" xfId="0" applyNumberFormat="1" applyFont="1" applyFill="1" applyBorder="1">
      <alignment vertical="top"/>
    </xf>
    <xf numFmtId="9" fontId="38" fillId="6" borderId="0" xfId="3" applyFont="1" applyFill="1" applyAlignment="1">
      <alignment vertical="top"/>
    </xf>
    <xf numFmtId="0" fontId="38" fillId="6" borderId="1" xfId="0" applyFont="1" applyFill="1" applyBorder="1">
      <alignment vertical="top"/>
    </xf>
    <xf numFmtId="0" fontId="37" fillId="6" borderId="7" xfId="0" applyFont="1" applyFill="1" applyBorder="1" applyAlignment="1">
      <alignment horizontal="center" vertical="top"/>
    </xf>
    <xf numFmtId="0" fontId="2" fillId="0" borderId="0" xfId="0" applyFont="1" applyAlignment="1">
      <alignment horizontal="left" vertical="top"/>
    </xf>
    <xf numFmtId="0" fontId="39" fillId="6" borderId="0" xfId="0" applyFont="1" applyFill="1" applyAlignment="1">
      <alignment horizontal="center" vertical="top" wrapText="1"/>
    </xf>
    <xf numFmtId="0" fontId="40" fillId="6" borderId="0" xfId="0" applyFont="1" applyFill="1" applyAlignment="1">
      <alignment horizontal="center" vertical="top" wrapText="1"/>
    </xf>
    <xf numFmtId="0" fontId="41" fillId="6" borderId="0" xfId="5" applyFont="1" applyFill="1">
      <alignment vertical="top"/>
    </xf>
    <xf numFmtId="0" fontId="37" fillId="6" borderId="1" xfId="0" applyFont="1" applyFill="1" applyBorder="1">
      <alignment vertical="top"/>
    </xf>
    <xf numFmtId="180" fontId="37" fillId="6" borderId="1" xfId="0" applyNumberFormat="1" applyFont="1" applyFill="1" applyBorder="1" applyAlignment="1">
      <alignment horizontal="center" vertical="top"/>
    </xf>
    <xf numFmtId="0" fontId="41" fillId="6" borderId="0" xfId="0" applyFont="1" applyFill="1">
      <alignment vertical="top"/>
    </xf>
    <xf numFmtId="0" fontId="8" fillId="6" borderId="0" xfId="0" applyFont="1" applyFill="1">
      <alignment vertical="top"/>
    </xf>
    <xf numFmtId="168" fontId="10" fillId="0" borderId="0" xfId="0" applyNumberFormat="1" applyFont="1">
      <alignment vertical="top"/>
    </xf>
    <xf numFmtId="10" fontId="10" fillId="0" borderId="0" xfId="3" applyNumberFormat="1" applyFont="1" applyAlignment="1">
      <alignment vertical="top"/>
    </xf>
    <xf numFmtId="0" fontId="37" fillId="6" borderId="7" xfId="0" applyFont="1" applyFill="1" applyBorder="1" applyAlignment="1">
      <alignment horizontal="right" vertical="top"/>
    </xf>
    <xf numFmtId="166" fontId="37" fillId="6" borderId="7" xfId="0" applyNumberFormat="1" applyFont="1" applyFill="1" applyBorder="1">
      <alignment vertical="top"/>
    </xf>
    <xf numFmtId="0" fontId="37" fillId="6" borderId="7" xfId="0" applyFont="1" applyFill="1" applyBorder="1" applyAlignment="1">
      <alignment horizontal="center" vertical="top" wrapText="1"/>
    </xf>
    <xf numFmtId="164" fontId="5" fillId="0" borderId="0" xfId="2" applyNumberFormat="1" applyFont="1" applyAlignment="1">
      <alignment vertical="top"/>
    </xf>
    <xf numFmtId="0" fontId="42" fillId="6" borderId="0" xfId="5" applyFont="1" applyFill="1" applyAlignment="1">
      <alignment vertical="top" wrapText="1"/>
    </xf>
    <xf numFmtId="176" fontId="43" fillId="6" borderId="0" xfId="0" applyNumberFormat="1" applyFont="1" applyFill="1" applyAlignment="1">
      <alignment horizontal="center" vertical="top" wrapText="1"/>
    </xf>
    <xf numFmtId="0" fontId="38" fillId="6" borderId="0" xfId="0" applyFont="1" applyFill="1" applyAlignment="1">
      <alignment horizontal="center" vertical="top"/>
    </xf>
    <xf numFmtId="165" fontId="0" fillId="0" borderId="6" xfId="0" applyNumberFormat="1" applyBorder="1">
      <alignment vertical="top"/>
    </xf>
    <xf numFmtId="165" fontId="2" fillId="0" borderId="4" xfId="0" applyNumberFormat="1" applyFont="1" applyBorder="1">
      <alignment vertical="top"/>
    </xf>
    <xf numFmtId="0" fontId="44" fillId="6" borderId="1" xfId="0" applyFont="1" applyFill="1" applyBorder="1" applyAlignment="1">
      <alignment horizontal="center" vertical="top" wrapText="1"/>
    </xf>
    <xf numFmtId="0" fontId="44" fillId="6" borderId="0" xfId="7" applyFont="1" applyFill="1" applyAlignment="1">
      <alignment horizontal="center" vertical="top" wrapText="1"/>
    </xf>
    <xf numFmtId="0" fontId="44" fillId="6" borderId="0" xfId="0" applyFont="1" applyFill="1" applyAlignment="1">
      <alignment horizontal="center" vertical="top" wrapText="1"/>
    </xf>
    <xf numFmtId="0" fontId="5" fillId="0" borderId="0" xfId="7" applyAlignment="1">
      <alignment horizontal="center" vertical="top" wrapText="1"/>
    </xf>
    <xf numFmtId="0" fontId="5" fillId="0" borderId="1" xfId="7" applyBorder="1" applyAlignment="1">
      <alignment horizontal="center" vertical="top" wrapText="1"/>
    </xf>
    <xf numFmtId="165" fontId="0" fillId="0" borderId="0" xfId="0" applyNumberFormat="1" applyFont="1">
      <alignment vertical="top"/>
    </xf>
    <xf numFmtId="2" fontId="0" fillId="0" borderId="0" xfId="0" applyNumberFormat="1" applyFont="1">
      <alignment vertical="top"/>
    </xf>
    <xf numFmtId="166" fontId="0" fillId="0" borderId="11" xfId="0" applyNumberFormat="1" applyFont="1" applyBorder="1">
      <alignment vertical="top"/>
    </xf>
    <xf numFmtId="9" fontId="0" fillId="0" borderId="11" xfId="0" applyNumberFormat="1" applyFont="1" applyBorder="1">
      <alignment vertical="top"/>
    </xf>
    <xf numFmtId="166" fontId="0" fillId="0" borderId="0" xfId="0" applyNumberFormat="1" applyFont="1">
      <alignment vertical="top"/>
    </xf>
    <xf numFmtId="166" fontId="0" fillId="0" borderId="2" xfId="0" applyNumberFormat="1" applyFont="1" applyBorder="1">
      <alignment vertical="top"/>
    </xf>
    <xf numFmtId="166" fontId="0" fillId="0" borderId="0" xfId="0" applyNumberFormat="1" applyFont="1" applyBorder="1">
      <alignment vertical="top"/>
    </xf>
    <xf numFmtId="0" fontId="0" fillId="0" borderId="11" xfId="7" applyFont="1" applyBorder="1">
      <alignment vertical="top" wrapText="1"/>
    </xf>
    <xf numFmtId="10" fontId="0" fillId="0" borderId="11" xfId="7" applyNumberFormat="1" applyFont="1" applyBorder="1">
      <alignment vertical="top" wrapText="1"/>
    </xf>
    <xf numFmtId="10" fontId="0" fillId="0" borderId="0" xfId="0" applyNumberFormat="1" applyFont="1">
      <alignment vertical="top"/>
    </xf>
    <xf numFmtId="0" fontId="0" fillId="0" borderId="0" xfId="0" applyFont="1" applyAlignment="1">
      <alignment horizontal="justify" vertical="top"/>
    </xf>
    <xf numFmtId="9" fontId="0" fillId="0" borderId="0" xfId="0" applyNumberFormat="1" applyFont="1">
      <alignment vertical="top"/>
    </xf>
    <xf numFmtId="0" fontId="0" fillId="0" borderId="0" xfId="7" applyFont="1" applyBorder="1">
      <alignment vertical="top" wrapText="1"/>
    </xf>
    <xf numFmtId="0" fontId="2" fillId="0" borderId="0" xfId="7" applyFont="1" applyBorder="1">
      <alignment vertical="top" wrapText="1"/>
    </xf>
    <xf numFmtId="3" fontId="0" fillId="0" borderId="0" xfId="0" applyNumberFormat="1" applyBorder="1">
      <alignment vertical="top"/>
    </xf>
    <xf numFmtId="9" fontId="0" fillId="0" borderId="0" xfId="3" applyNumberFormat="1" applyFont="1" applyFill="1" applyBorder="1" applyAlignment="1">
      <alignment vertical="top"/>
    </xf>
    <xf numFmtId="9" fontId="38" fillId="6" borderId="0" xfId="3" quotePrefix="1" applyFont="1" applyFill="1" applyAlignment="1">
      <alignment horizontal="center" vertical="top"/>
    </xf>
    <xf numFmtId="0" fontId="5" fillId="0" borderId="0" xfId="7" applyFont="1" applyAlignment="1">
      <alignment horizontal="centerContinuous" vertical="top" wrapText="1"/>
    </xf>
    <xf numFmtId="0" fontId="0" fillId="0" borderId="0" xfId="0" applyAlignment="1">
      <alignment horizontal="centerContinuous" vertical="top"/>
    </xf>
    <xf numFmtId="169" fontId="20" fillId="0" borderId="0" xfId="3" applyNumberFormat="1" applyFont="1" applyAlignment="1">
      <alignment horizontal="centerContinuous" vertical="top" wrapText="1"/>
    </xf>
    <xf numFmtId="188" fontId="0" fillId="0" borderId="0" xfId="0" applyNumberFormat="1">
      <alignment vertical="top"/>
    </xf>
    <xf numFmtId="168" fontId="0" fillId="0" borderId="0" xfId="0" applyNumberFormat="1" applyFont="1">
      <alignment vertical="top"/>
    </xf>
    <xf numFmtId="0" fontId="0" fillId="0" borderId="1" xfId="0" applyFont="1" applyFill="1" applyBorder="1">
      <alignment vertical="top"/>
    </xf>
    <xf numFmtId="10" fontId="0" fillId="0" borderId="1" xfId="0" applyNumberFormat="1" applyFont="1" applyBorder="1">
      <alignment vertical="top"/>
    </xf>
    <xf numFmtId="0" fontId="0" fillId="0" borderId="0" xfId="0" applyFont="1" applyBorder="1">
      <alignment vertical="top"/>
    </xf>
    <xf numFmtId="10" fontId="0" fillId="0" borderId="0" xfId="0" applyNumberFormat="1" applyFont="1" applyBorder="1">
      <alignment vertical="top"/>
    </xf>
    <xf numFmtId="0" fontId="4" fillId="0" borderId="0" xfId="0" applyFont="1" applyBorder="1" applyAlignment="1">
      <alignment horizontal="left" vertical="top" indent="1"/>
    </xf>
    <xf numFmtId="168" fontId="4" fillId="0" borderId="0" xfId="0" applyNumberFormat="1" applyFont="1" applyBorder="1">
      <alignment vertical="top"/>
    </xf>
    <xf numFmtId="169" fontId="4" fillId="0" borderId="0" xfId="0" applyNumberFormat="1" applyFont="1" applyBorder="1">
      <alignment vertical="top"/>
    </xf>
    <xf numFmtId="0" fontId="0" fillId="0" borderId="1" xfId="0" applyFont="1" applyBorder="1">
      <alignment vertical="top"/>
    </xf>
    <xf numFmtId="174" fontId="5" fillId="0" borderId="0" xfId="0" applyNumberFormat="1" applyFont="1">
      <alignment vertical="top"/>
    </xf>
    <xf numFmtId="10" fontId="5" fillId="0" borderId="0" xfId="0" applyNumberFormat="1" applyFont="1">
      <alignment vertical="top"/>
    </xf>
    <xf numFmtId="173" fontId="5" fillId="0" borderId="0" xfId="0" applyNumberFormat="1" applyFont="1">
      <alignment vertical="top"/>
    </xf>
    <xf numFmtId="173" fontId="5" fillId="0" borderId="0" xfId="3" applyNumberFormat="1" applyFont="1" applyAlignment="1">
      <alignment horizontal="right" vertical="top"/>
    </xf>
    <xf numFmtId="176" fontId="5" fillId="0" borderId="0" xfId="0" applyNumberFormat="1" applyFont="1" applyAlignment="1">
      <alignment vertical="top" wrapText="1"/>
    </xf>
    <xf numFmtId="176" fontId="2" fillId="0" borderId="0" xfId="0" applyNumberFormat="1" applyFont="1" applyAlignment="1">
      <alignment vertical="top" wrapText="1"/>
    </xf>
    <xf numFmtId="0" fontId="5" fillId="0" borderId="0" xfId="6" applyFont="1">
      <alignment vertical="top"/>
    </xf>
    <xf numFmtId="176" fontId="5" fillId="0" borderId="0" xfId="0" applyNumberFormat="1" applyFont="1">
      <alignment vertical="top"/>
    </xf>
    <xf numFmtId="0" fontId="2" fillId="0" borderId="7" xfId="0" quotePrefix="1" applyFont="1" applyBorder="1">
      <alignment vertical="top"/>
    </xf>
    <xf numFmtId="0" fontId="2" fillId="0" borderId="7" xfId="0" applyFont="1" applyBorder="1" applyAlignment="1">
      <alignment horizontal="left" vertical="top"/>
    </xf>
    <xf numFmtId="17" fontId="0" fillId="0" borderId="0" xfId="0" applyNumberFormat="1" applyFont="1">
      <alignment vertical="top"/>
    </xf>
    <xf numFmtId="2" fontId="45" fillId="3" borderId="15" xfId="0" applyNumberFormat="1" applyFont="1" applyFill="1" applyBorder="1" applyAlignment="1">
      <alignment horizontal="right" vertical="center" wrapText="1"/>
    </xf>
    <xf numFmtId="184" fontId="0" fillId="0" borderId="0" xfId="0" applyNumberFormat="1" applyFont="1">
      <alignment vertical="top"/>
    </xf>
    <xf numFmtId="0" fontId="0" fillId="0" borderId="0" xfId="0" applyFont="1" applyAlignment="1">
      <alignment vertical="top" wrapText="1"/>
    </xf>
    <xf numFmtId="2" fontId="45" fillId="0" borderId="0" xfId="0" applyNumberFormat="1" applyFont="1" applyAlignment="1">
      <alignment horizontal="center" vertical="center" wrapText="1"/>
    </xf>
    <xf numFmtId="3" fontId="45" fillId="0" borderId="16" xfId="0" applyNumberFormat="1" applyFont="1" applyBorder="1" applyAlignment="1">
      <alignment horizontal="center" vertical="center" wrapText="1"/>
    </xf>
    <xf numFmtId="0" fontId="0" fillId="0" borderId="0" xfId="0" applyFont="1" applyAlignment="1">
      <alignment horizontal="left" vertical="top" indent="1"/>
    </xf>
    <xf numFmtId="0" fontId="10" fillId="0" borderId="0" xfId="0" applyFont="1" applyAlignment="1">
      <alignment horizontal="left" vertical="top"/>
    </xf>
    <xf numFmtId="169" fontId="0" fillId="0" borderId="0" xfId="3" applyNumberFormat="1" applyFont="1" applyBorder="1" applyAlignment="1">
      <alignment vertical="center"/>
    </xf>
    <xf numFmtId="9" fontId="0" fillId="0" borderId="0" xfId="3" applyFont="1" applyAlignment="1">
      <alignment horizontal="right" vertical="center"/>
    </xf>
    <xf numFmtId="9" fontId="0" fillId="0" borderId="18" xfId="3" applyFont="1" applyBorder="1" applyAlignment="1">
      <alignment vertical="center"/>
    </xf>
    <xf numFmtId="169" fontId="0" fillId="0" borderId="18" xfId="3" applyNumberFormat="1" applyFont="1" applyBorder="1" applyAlignment="1">
      <alignment vertical="center"/>
    </xf>
    <xf numFmtId="0" fontId="0" fillId="0" borderId="17" xfId="0" applyFont="1" applyBorder="1" applyAlignment="1">
      <alignment vertical="center" wrapText="1"/>
    </xf>
    <xf numFmtId="0" fontId="0" fillId="0" borderId="17" xfId="0" applyFont="1" applyBorder="1" applyAlignment="1">
      <alignment horizontal="center" vertical="center" wrapText="1"/>
    </xf>
    <xf numFmtId="0" fontId="0" fillId="0" borderId="17" xfId="0" applyFont="1" applyBorder="1" applyAlignment="1">
      <alignment horizontal="centerContinuous" vertical="center" wrapText="1"/>
    </xf>
    <xf numFmtId="0" fontId="0" fillId="0" borderId="18" xfId="0" applyFont="1" applyBorder="1" applyAlignment="1">
      <alignment vertical="center"/>
    </xf>
    <xf numFmtId="0" fontId="0" fillId="0" borderId="18" xfId="0" applyFont="1" applyBorder="1" applyAlignment="1">
      <alignment horizontal="right" vertical="center"/>
    </xf>
    <xf numFmtId="0" fontId="0" fillId="0" borderId="0" xfId="0" applyFont="1" applyAlignment="1">
      <alignment vertical="center"/>
    </xf>
    <xf numFmtId="0" fontId="0" fillId="0" borderId="0" xfId="0" applyFont="1" applyAlignment="1">
      <alignment horizontal="right" vertical="center"/>
    </xf>
    <xf numFmtId="2" fontId="0" fillId="0" borderId="0" xfId="0" applyNumberFormat="1" applyFont="1" applyAlignment="1">
      <alignment horizontal="right" vertical="center"/>
    </xf>
    <xf numFmtId="1" fontId="0" fillId="0" borderId="0" xfId="0" applyNumberFormat="1" applyFont="1" applyAlignment="1">
      <alignment horizontal="right" vertical="center"/>
    </xf>
    <xf numFmtId="165" fontId="0" fillId="0" borderId="0" xfId="0" applyNumberFormat="1" applyFont="1" applyAlignment="1">
      <alignment horizontal="right" vertical="center"/>
    </xf>
    <xf numFmtId="1" fontId="0" fillId="0" borderId="18" xfId="0" applyNumberFormat="1" applyFont="1" applyBorder="1" applyAlignment="1">
      <alignment vertical="center"/>
    </xf>
    <xf numFmtId="165" fontId="0" fillId="0" borderId="18" xfId="0" applyNumberFormat="1" applyFont="1" applyBorder="1" applyAlignment="1">
      <alignment horizontal="right" vertical="center"/>
    </xf>
    <xf numFmtId="0" fontId="0" fillId="0" borderId="0" xfId="0" applyAlignment="1"/>
    <xf numFmtId="9" fontId="0" fillId="0" borderId="0" xfId="3" applyFont="1"/>
    <xf numFmtId="0" fontId="0" fillId="0" borderId="0" xfId="0" applyAlignment="1">
      <alignment horizontal="right"/>
    </xf>
    <xf numFmtId="189" fontId="0" fillId="0" borderId="4" xfId="0" applyNumberFormat="1" applyBorder="1" applyAlignment="1"/>
    <xf numFmtId="189" fontId="0" fillId="0" borderId="17" xfId="0" applyNumberFormat="1" applyBorder="1" applyAlignment="1"/>
    <xf numFmtId="189" fontId="0" fillId="0" borderId="2" xfId="0" applyNumberFormat="1" applyBorder="1" applyAlignment="1"/>
    <xf numFmtId="189" fontId="0" fillId="0" borderId="0" xfId="0" applyNumberFormat="1" applyBorder="1" applyAlignment="1"/>
    <xf numFmtId="0" fontId="36" fillId="0" borderId="0" xfId="0" applyFont="1" applyAlignment="1"/>
    <xf numFmtId="189" fontId="36" fillId="0" borderId="2" xfId="0" applyNumberFormat="1" applyFont="1" applyBorder="1" applyAlignment="1"/>
    <xf numFmtId="189" fontId="36" fillId="0" borderId="0" xfId="0" applyNumberFormat="1" applyFont="1" applyBorder="1" applyAlignment="1"/>
    <xf numFmtId="0" fontId="36" fillId="0" borderId="0" xfId="0" applyFont="1" applyAlignment="1">
      <alignment wrapText="1"/>
    </xf>
    <xf numFmtId="3" fontId="0" fillId="0" borderId="0" xfId="0" applyNumberFormat="1" applyAlignment="1"/>
    <xf numFmtId="169" fontId="0" fillId="0" borderId="0" xfId="3" applyNumberFormat="1" applyFont="1"/>
    <xf numFmtId="190" fontId="0" fillId="0" borderId="0" xfId="0" applyNumberFormat="1" applyAlignment="1"/>
    <xf numFmtId="0" fontId="47" fillId="0" borderId="0" xfId="0" applyFont="1" applyAlignment="1"/>
    <xf numFmtId="9" fontId="0" fillId="0" borderId="0" xfId="0" applyNumberFormat="1" applyAlignment="1"/>
    <xf numFmtId="0" fontId="0" fillId="0" borderId="0" xfId="0" applyFont="1" applyAlignment="1"/>
    <xf numFmtId="0" fontId="0" fillId="0" borderId="0" xfId="0" applyFont="1" applyAlignment="1">
      <alignment horizontal="right"/>
    </xf>
    <xf numFmtId="189" fontId="0" fillId="0" borderId="4" xfId="0" applyNumberFormat="1" applyFont="1" applyBorder="1" applyAlignment="1"/>
    <xf numFmtId="189" fontId="0" fillId="0" borderId="17" xfId="0" applyNumberFormat="1" applyFont="1" applyBorder="1" applyAlignment="1"/>
    <xf numFmtId="189" fontId="0" fillId="0" borderId="2" xfId="0" applyNumberFormat="1" applyFont="1" applyBorder="1" applyAlignment="1"/>
    <xf numFmtId="189" fontId="0" fillId="0" borderId="0" xfId="0" applyNumberFormat="1" applyFont="1" applyBorder="1" applyAlignment="1"/>
    <xf numFmtId="0" fontId="2" fillId="0" borderId="0" xfId="0" applyFont="1" applyAlignment="1"/>
    <xf numFmtId="189" fontId="2" fillId="0" borderId="2" xfId="0" applyNumberFormat="1" applyFont="1" applyBorder="1" applyAlignment="1"/>
    <xf numFmtId="189" fontId="2" fillId="0" borderId="0" xfId="0" applyNumberFormat="1" applyFont="1" applyBorder="1" applyAlignment="1"/>
    <xf numFmtId="0" fontId="2" fillId="0" borderId="0" xfId="0" applyFont="1" applyAlignment="1">
      <alignment wrapText="1"/>
    </xf>
    <xf numFmtId="3" fontId="0" fillId="0" borderId="0" xfId="0" applyNumberFormat="1" applyFont="1" applyAlignment="1"/>
    <xf numFmtId="190" fontId="0" fillId="0" borderId="0" xfId="0" applyNumberFormat="1" applyFont="1" applyAlignment="1"/>
    <xf numFmtId="9" fontId="0" fillId="0" borderId="0" xfId="0" applyNumberFormat="1" applyFont="1" applyAlignment="1"/>
    <xf numFmtId="189" fontId="0" fillId="0" borderId="0" xfId="0" applyNumberFormat="1" applyFont="1" applyAlignment="1"/>
    <xf numFmtId="0" fontId="8" fillId="0" borderId="0" xfId="0" applyFont="1" applyAlignment="1">
      <alignment horizontal="left"/>
    </xf>
    <xf numFmtId="0" fontId="0" fillId="0" borderId="0" xfId="0" applyFont="1" applyFill="1" applyBorder="1" applyAlignment="1"/>
    <xf numFmtId="0" fontId="0" fillId="0" borderId="0" xfId="0" applyFill="1" applyBorder="1" applyAlignment="1"/>
    <xf numFmtId="181" fontId="0" fillId="0" borderId="0" xfId="0" applyNumberFormat="1" applyFont="1" applyBorder="1">
      <alignment vertical="top"/>
    </xf>
    <xf numFmtId="9" fontId="2" fillId="0" borderId="0" xfId="3" applyFont="1" applyBorder="1" applyAlignment="1">
      <alignment vertical="top"/>
    </xf>
    <xf numFmtId="9" fontId="0" fillId="0" borderId="0" xfId="0" applyNumberFormat="1" applyFont="1" applyAlignment="1">
      <alignment horizontal="right" vertical="center"/>
    </xf>
    <xf numFmtId="165" fontId="0" fillId="0" borderId="0" xfId="0" applyNumberFormat="1" applyBorder="1" applyAlignment="1">
      <alignment horizontal="center" vertical="center"/>
    </xf>
    <xf numFmtId="9" fontId="9" fillId="0" borderId="0" xfId="3" applyFont="1" applyAlignment="1">
      <alignment horizontal="center" vertical="top"/>
    </xf>
    <xf numFmtId="168" fontId="0" fillId="0" borderId="0" xfId="2" applyNumberFormat="1" applyFont="1" applyAlignment="1">
      <alignment horizontal="right" vertical="top"/>
    </xf>
    <xf numFmtId="0" fontId="2" fillId="0" borderId="0" xfId="0" applyFont="1" applyAlignment="1">
      <alignment horizontal="center" vertical="top"/>
    </xf>
    <xf numFmtId="166" fontId="0" fillId="0" borderId="0" xfId="0" applyNumberFormat="1" applyBorder="1" applyAlignment="1">
      <alignment horizontal="center" vertical="top"/>
    </xf>
    <xf numFmtId="9" fontId="0" fillId="0" borderId="0" xfId="0" applyNumberFormat="1" applyAlignment="1">
      <alignment horizontal="center" vertical="top"/>
    </xf>
    <xf numFmtId="0" fontId="0" fillId="0" borderId="0" xfId="0" applyAlignment="1">
      <alignment horizontal="center" vertical="top"/>
    </xf>
    <xf numFmtId="169" fontId="4" fillId="0" borderId="0" xfId="0" applyNumberFormat="1" applyFont="1" applyAlignment="1">
      <alignment horizontal="center" vertical="top"/>
    </xf>
    <xf numFmtId="0" fontId="0" fillId="0" borderId="1" xfId="0" applyFont="1" applyBorder="1" applyAlignment="1">
      <alignment horizontal="center" vertical="top"/>
    </xf>
    <xf numFmtId="0" fontId="5" fillId="0" borderId="1" xfId="0" applyFont="1" applyBorder="1" applyAlignment="1">
      <alignment horizontal="center" vertical="top"/>
    </xf>
    <xf numFmtId="0" fontId="0" fillId="0" borderId="1" xfId="0" applyBorder="1" applyAlignment="1">
      <alignment horizontal="center" vertical="top"/>
    </xf>
    <xf numFmtId="169" fontId="5" fillId="0" borderId="2" xfId="0" applyNumberFormat="1" applyFont="1" applyBorder="1" applyAlignment="1">
      <alignment horizontal="center" vertical="top"/>
    </xf>
    <xf numFmtId="169" fontId="5" fillId="0" borderId="0" xfId="0" applyNumberFormat="1" applyFont="1" applyBorder="1" applyAlignment="1">
      <alignment horizontal="center" vertical="top"/>
    </xf>
    <xf numFmtId="169" fontId="0" fillId="0" borderId="2" xfId="0" applyNumberFormat="1" applyBorder="1" applyAlignment="1">
      <alignment horizontal="center" vertical="top"/>
    </xf>
    <xf numFmtId="169" fontId="0" fillId="0" borderId="0" xfId="0" applyNumberFormat="1" applyBorder="1" applyAlignment="1">
      <alignment horizontal="center" vertical="top"/>
    </xf>
    <xf numFmtId="169" fontId="0" fillId="0" borderId="0" xfId="0" applyNumberFormat="1" applyAlignment="1">
      <alignment horizontal="center" vertical="top"/>
    </xf>
    <xf numFmtId="9" fontId="0" fillId="0" borderId="2" xfId="0" applyNumberFormat="1" applyBorder="1" applyAlignment="1">
      <alignment horizontal="center" vertical="top"/>
    </xf>
    <xf numFmtId="9" fontId="0" fillId="0" borderId="0" xfId="0" applyNumberFormat="1" applyBorder="1" applyAlignment="1">
      <alignment horizontal="center" vertical="top"/>
    </xf>
    <xf numFmtId="0" fontId="2" fillId="0" borderId="2" xfId="0" applyFont="1" applyBorder="1" applyAlignment="1">
      <alignment horizontal="center" vertical="top"/>
    </xf>
    <xf numFmtId="0" fontId="2" fillId="0" borderId="8" xfId="0" applyFont="1" applyBorder="1" applyAlignment="1">
      <alignment horizontal="center" vertical="top"/>
    </xf>
    <xf numFmtId="0" fontId="8" fillId="0" borderId="0" xfId="0" applyFont="1" applyAlignment="1">
      <alignment horizontal="left"/>
    </xf>
    <xf numFmtId="0" fontId="46" fillId="0" borderId="0" xfId="0" applyFont="1" applyAlignment="1">
      <alignment horizontal="center"/>
    </xf>
  </cellXfs>
  <cellStyles count="8">
    <cellStyle name="Données" xfId="1"/>
    <cellStyle name="Milliers" xfId="2" builtinId="3"/>
    <cellStyle name="Normal" xfId="0" builtinId="0"/>
    <cellStyle name="Pourcentage" xfId="3" builtinId="5"/>
    <cellStyle name="Résultat" xfId="4"/>
    <cellStyle name="Titre 1" xfId="5"/>
    <cellStyle name="Titre 2" xfId="6"/>
    <cellStyle name="TitreLigne" xfId="7"/>
  </cellStyles>
  <dxfs count="1">
    <dxf>
      <font>
        <b val="0"/>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sng" strike="noStrike" baseline="0">
                <a:solidFill>
                  <a:srgbClr val="000000"/>
                </a:solidFill>
                <a:latin typeface="Arial"/>
                <a:ea typeface="Arial"/>
                <a:cs typeface="Arial"/>
              </a:defRPr>
            </a:pPr>
            <a:r>
              <a:rPr lang="fr-FR"/>
              <a:t>VAN en fonction du taux d'actualisation</a:t>
            </a:r>
          </a:p>
        </c:rich>
      </c:tx>
      <c:layout>
        <c:manualLayout>
          <c:xMode val="edge"/>
          <c:yMode val="edge"/>
          <c:x val="0.27292142737476999"/>
          <c:y val="3.7068890373943099E-2"/>
        </c:manualLayout>
      </c:layout>
      <c:overlay val="0"/>
      <c:spPr>
        <a:noFill/>
        <a:ln w="25400">
          <a:noFill/>
        </a:ln>
      </c:spPr>
    </c:title>
    <c:autoTitleDeleted val="0"/>
    <c:plotArea>
      <c:layout>
        <c:manualLayout>
          <c:layoutTarget val="inner"/>
          <c:xMode val="edge"/>
          <c:yMode val="edge"/>
          <c:x val="0.113006494632112"/>
          <c:y val="0.166809732196713"/>
          <c:w val="0.83795381868716801"/>
          <c:h val="0.69689399228848903"/>
        </c:manualLayout>
      </c:layout>
      <c:scatterChart>
        <c:scatterStyle val="smoothMarker"/>
        <c:varyColors val="0"/>
        <c:ser>
          <c:idx val="0"/>
          <c:order val="0"/>
          <c:tx>
            <c:strRef>
              <c:f>'Chapitre 19'!$B$7</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19'!$A$8:$A$12</c:f>
              <c:numCache>
                <c:formatCode>0%</c:formatCode>
                <c:ptCount val="5"/>
                <c:pt idx="0">
                  <c:v>0.05</c:v>
                </c:pt>
                <c:pt idx="1">
                  <c:v>0.1</c:v>
                </c:pt>
                <c:pt idx="2">
                  <c:v>0.15</c:v>
                </c:pt>
                <c:pt idx="3">
                  <c:v>0.2</c:v>
                </c:pt>
                <c:pt idx="4">
                  <c:v>0.25</c:v>
                </c:pt>
              </c:numCache>
            </c:numRef>
          </c:xVal>
          <c:yVal>
            <c:numRef>
              <c:f>'Chapitre 19'!$B$8:$B$12</c:f>
              <c:numCache>
                <c:formatCode>0</c:formatCode>
                <c:ptCount val="5"/>
                <c:pt idx="0">
                  <c:v>401.8430011892458</c:v>
                </c:pt>
                <c:pt idx="1">
                  <c:v>240.2360308225343</c:v>
                </c:pt>
                <c:pt idx="2">
                  <c:v>108.6465294034208</c:v>
                </c:pt>
                <c:pt idx="3">
                  <c:v>0.18364197530866022</c:v>
                </c:pt>
                <c:pt idx="4">
                  <c:v>-90.216000000000008</c:v>
                </c:pt>
              </c:numCache>
            </c:numRef>
          </c:yVal>
          <c:smooth val="1"/>
          <c:extLst xmlns:c16r2="http://schemas.microsoft.com/office/drawing/2015/06/chart">
            <c:ext xmlns:c16="http://schemas.microsoft.com/office/drawing/2014/chart" uri="{C3380CC4-5D6E-409C-BE32-E72D297353CC}">
              <c16:uniqueId val="{00000000-D406-400A-A9EB-0CEEA5831FD6}"/>
            </c:ext>
          </c:extLst>
        </c:ser>
        <c:dLbls>
          <c:showLegendKey val="0"/>
          <c:showVal val="0"/>
          <c:showCatName val="0"/>
          <c:showSerName val="0"/>
          <c:showPercent val="0"/>
          <c:showBubbleSize val="0"/>
        </c:dLbls>
        <c:axId val="471124792"/>
        <c:axId val="467549920"/>
      </c:scatterChart>
      <c:valAx>
        <c:axId val="471124792"/>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fr-FR"/>
                  <a:t>Taux</a:t>
                </a:r>
              </a:p>
            </c:rich>
          </c:tx>
          <c:layout>
            <c:manualLayout>
              <c:xMode val="edge"/>
              <c:yMode val="edge"/>
              <c:x val="0.49253766683419897"/>
              <c:y val="0.897065597427628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467549920"/>
        <c:crosses val="autoZero"/>
        <c:crossBetween val="midCat"/>
      </c:valAx>
      <c:valAx>
        <c:axId val="467549920"/>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fr-FR"/>
                  <a:t>VAN</a:t>
                </a:r>
              </a:p>
            </c:rich>
          </c:tx>
          <c:layout>
            <c:manualLayout>
              <c:xMode val="edge"/>
              <c:yMode val="edge"/>
              <c:x val="1.06610822583347E-2"/>
              <c:y val="0.455946770491326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4711247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c:v>
                </c:pt>
              </c:numCache>
            </c:numRef>
          </c:xVal>
          <c:yVal>
            <c:numRef>
              <c:f>'Chapitre 23'!#REF!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062E-45E5-A10F-8B29CAC44366}"/>
            </c:ext>
          </c:extLst>
        </c:ser>
        <c:dLbls>
          <c:showLegendKey val="0"/>
          <c:showVal val="0"/>
          <c:showCatName val="0"/>
          <c:showSerName val="0"/>
          <c:showPercent val="0"/>
          <c:showBubbleSize val="0"/>
        </c:dLbls>
        <c:axId val="475574528"/>
        <c:axId val="475572176"/>
      </c:scatterChart>
      <c:valAx>
        <c:axId val="475574528"/>
        <c:scaling>
          <c:orientation val="minMax"/>
        </c:scaling>
        <c:delete val="0"/>
        <c:axPos val="b"/>
        <c:title>
          <c:tx>
            <c:rich>
              <a:bodyPr/>
              <a:lstStyle/>
              <a:p>
                <a:pPr>
                  <a:defRPr sz="150" b="1" i="0" u="none" strike="noStrike" baseline="0">
                    <a:solidFill>
                      <a:srgbClr val="000000"/>
                    </a:solidFill>
                    <a:latin typeface="Arial"/>
                    <a:ea typeface="Arial"/>
                    <a:cs typeface="Arial"/>
                  </a:defRPr>
                </a:pPr>
                <a:r>
                  <a:rPr lang="fr-FR"/>
                  <a:t>Ecart-type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572176"/>
        <c:crosses val="autoZero"/>
        <c:crossBetween val="midCat"/>
      </c:valAx>
      <c:valAx>
        <c:axId val="475572176"/>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Rentabilité attendue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5745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fr-FR"/>
              <a:t>Courbe des taux coupon zéro à 5 ans</a:t>
            </a:r>
          </a:p>
        </c:rich>
      </c:tx>
      <c:layout>
        <c:manualLayout>
          <c:xMode val="edge"/>
          <c:yMode val="edge"/>
          <c:x val="0.27835503363062403"/>
          <c:y val="0.90117424118665701"/>
        </c:manualLayout>
      </c:layout>
      <c:overlay val="0"/>
      <c:spPr>
        <a:noFill/>
        <a:ln w="25400">
          <a:noFill/>
        </a:ln>
      </c:spPr>
    </c:title>
    <c:autoTitleDeleted val="0"/>
    <c:plotArea>
      <c:layout>
        <c:manualLayout>
          <c:layoutTarget val="inner"/>
          <c:xMode val="edge"/>
          <c:yMode val="edge"/>
          <c:x val="0.13055589857413"/>
          <c:y val="0.10057746920633499"/>
          <c:w val="0.81782185521907702"/>
          <c:h val="0.68392679060307904"/>
        </c:manualLayout>
      </c:layout>
      <c:lineChart>
        <c:grouping val="standard"/>
        <c:varyColors val="0"/>
        <c:ser>
          <c:idx val="1"/>
          <c:order val="0"/>
          <c:spPr>
            <a:ln w="25400">
              <a:solidFill>
                <a:srgbClr val="FFCC00"/>
              </a:solidFill>
              <a:prstDash val="solid"/>
            </a:ln>
          </c:spPr>
          <c:marker>
            <c:symbol val="square"/>
            <c:size val="5"/>
            <c:spPr>
              <a:solidFill>
                <a:srgbClr val="FFCC00"/>
              </a:solidFill>
              <a:ln>
                <a:solidFill>
                  <a:srgbClr val="FFCC00"/>
                </a:solidFill>
                <a:prstDash val="solid"/>
              </a:ln>
            </c:spPr>
          </c:marker>
          <c:cat>
            <c:numRef>
              <c:f>'Chapitre 23'!$B$45:$B$49</c:f>
              <c:numCache>
                <c:formatCode>General</c:formatCode>
                <c:ptCount val="5"/>
                <c:pt idx="0">
                  <c:v>1</c:v>
                </c:pt>
                <c:pt idx="1">
                  <c:v>2</c:v>
                </c:pt>
                <c:pt idx="2">
                  <c:v>3</c:v>
                </c:pt>
                <c:pt idx="3">
                  <c:v>4</c:v>
                </c:pt>
                <c:pt idx="4">
                  <c:v>5</c:v>
                </c:pt>
              </c:numCache>
            </c:numRef>
          </c:cat>
          <c:val>
            <c:numRef>
              <c:f>'Chapitre 23'!$F$45:$F$49</c:f>
              <c:numCache>
                <c:formatCode>0.00%</c:formatCode>
                <c:ptCount val="5"/>
                <c:pt idx="0">
                  <c:v>8.0813384828465978E-2</c:v>
                </c:pt>
                <c:pt idx="1">
                  <c:v>9.6413581536787474E-2</c:v>
                </c:pt>
                <c:pt idx="2">
                  <c:v>0.10090077218810833</c:v>
                </c:pt>
                <c:pt idx="3">
                  <c:v>0.1062142318701591</c:v>
                </c:pt>
                <c:pt idx="4">
                  <c:v>0.11007898885350897</c:v>
                </c:pt>
              </c:numCache>
            </c:numRef>
          </c:val>
          <c:smooth val="0"/>
          <c:extLst xmlns:c16r2="http://schemas.microsoft.com/office/drawing/2015/06/chart">
            <c:ext xmlns:c16="http://schemas.microsoft.com/office/drawing/2014/chart" uri="{C3380CC4-5D6E-409C-BE32-E72D297353CC}">
              <c16:uniqueId val="{00000000-2646-403E-BFB0-D1703A9EFA42}"/>
            </c:ext>
          </c:extLst>
        </c:ser>
        <c:dLbls>
          <c:showLegendKey val="0"/>
          <c:showVal val="0"/>
          <c:showCatName val="0"/>
          <c:showSerName val="0"/>
          <c:showPercent val="0"/>
          <c:showBubbleSize val="0"/>
        </c:dLbls>
        <c:marker val="1"/>
        <c:smooth val="0"/>
        <c:axId val="475576880"/>
        <c:axId val="475576096"/>
      </c:lineChart>
      <c:catAx>
        <c:axId val="47557688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475576096"/>
        <c:crosses val="autoZero"/>
        <c:auto val="1"/>
        <c:lblAlgn val="ctr"/>
        <c:lblOffset val="100"/>
        <c:tickLblSkip val="1"/>
        <c:tickMarkSkip val="1"/>
        <c:noMultiLvlLbl val="0"/>
      </c:catAx>
      <c:valAx>
        <c:axId val="47557609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475576880"/>
        <c:crosses val="autoZero"/>
        <c:crossBetween val="between"/>
      </c:valAx>
      <c:spPr>
        <a:solidFill>
          <a:srgbClr val="C0C0C0"/>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c:v>
                </c:pt>
              </c:numCache>
            </c:numRef>
          </c:xVal>
          <c:yVal>
            <c:numRef>
              <c:f>'Chapitre 24'!#REF!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54CD-4C12-8CEA-75DBE7D3D9B5}"/>
            </c:ext>
          </c:extLst>
        </c:ser>
        <c:dLbls>
          <c:showLegendKey val="0"/>
          <c:showVal val="0"/>
          <c:showCatName val="0"/>
          <c:showSerName val="0"/>
          <c:showPercent val="0"/>
          <c:showBubbleSize val="0"/>
        </c:dLbls>
        <c:axId val="475573744"/>
        <c:axId val="475575704"/>
      </c:scatterChart>
      <c:valAx>
        <c:axId val="475573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575704"/>
        <c:crosses val="autoZero"/>
        <c:crossBetween val="midCat"/>
      </c:valAx>
      <c:valAx>
        <c:axId val="4755757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5737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c:v>
                </c:pt>
              </c:numCache>
            </c:numRef>
          </c:xVal>
          <c:yVal>
            <c:numRef>
              <c:f>'Chapitre 24'!#REF!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9107-4012-A211-E6B65D2B55B0}"/>
            </c:ext>
          </c:extLst>
        </c:ser>
        <c:dLbls>
          <c:showLegendKey val="0"/>
          <c:showVal val="0"/>
          <c:showCatName val="0"/>
          <c:showSerName val="0"/>
          <c:showPercent val="0"/>
          <c:showBubbleSize val="0"/>
        </c:dLbls>
        <c:axId val="475577272"/>
        <c:axId val="475578056"/>
      </c:scatterChart>
      <c:valAx>
        <c:axId val="475577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578056"/>
        <c:crosses val="autoZero"/>
        <c:crossBetween val="midCat"/>
      </c:valAx>
      <c:valAx>
        <c:axId val="4755780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5772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c:v>
                </c:pt>
              </c:numCache>
            </c:numRef>
          </c:xVal>
          <c:yVal>
            <c:numRef>
              <c:f>'Chapitre 26'!#REF!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698E-4D11-95E0-F54DF668AAAE}"/>
            </c:ext>
          </c:extLst>
        </c:ser>
        <c:dLbls>
          <c:showLegendKey val="0"/>
          <c:showVal val="0"/>
          <c:showCatName val="0"/>
          <c:showSerName val="0"/>
          <c:showPercent val="0"/>
          <c:showBubbleSize val="0"/>
        </c:dLbls>
        <c:axId val="475577664"/>
        <c:axId val="475572960"/>
      </c:scatterChart>
      <c:valAx>
        <c:axId val="47557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572960"/>
        <c:crosses val="autoZero"/>
        <c:crossBetween val="midCat"/>
      </c:valAx>
      <c:valAx>
        <c:axId val="4755729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5776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c:v>
                </c:pt>
              </c:numCache>
            </c:numRef>
          </c:xVal>
          <c:yVal>
            <c:numRef>
              <c:f>'Chapitre 26'!#REF!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044B-4B23-B6C5-918F3D9EA5DE}"/>
            </c:ext>
          </c:extLst>
        </c:ser>
        <c:dLbls>
          <c:showLegendKey val="0"/>
          <c:showVal val="0"/>
          <c:showCatName val="0"/>
          <c:showSerName val="0"/>
          <c:showPercent val="0"/>
          <c:showBubbleSize val="0"/>
        </c:dLbls>
        <c:axId val="475573352"/>
        <c:axId val="475571392"/>
      </c:scatterChart>
      <c:valAx>
        <c:axId val="475573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571392"/>
        <c:crosses val="autoZero"/>
        <c:crossBetween val="midCat"/>
      </c:valAx>
      <c:valAx>
        <c:axId val="4755713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5733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801452784504"/>
          <c:y val="0.11111159336629101"/>
          <c:w val="0.842615012106538"/>
          <c:h val="0.751114371156125"/>
        </c:manualLayout>
      </c:layout>
      <c:scatterChart>
        <c:scatterStyle val="lineMarker"/>
        <c:varyColors val="0"/>
        <c:ser>
          <c:idx val="0"/>
          <c:order val="0"/>
          <c:spPr>
            <a:ln w="28575">
              <a:noFill/>
            </a:ln>
          </c:spPr>
          <c:marker>
            <c:symbol val="diamond"/>
            <c:size val="6"/>
            <c:spPr>
              <a:solidFill>
                <a:srgbClr val="FFCC00"/>
              </a:solidFill>
              <a:ln>
                <a:solidFill>
                  <a:srgbClr val="FFCC00"/>
                </a:solidFill>
                <a:prstDash val="solid"/>
              </a:ln>
            </c:spPr>
          </c:marker>
          <c:xVal>
            <c:numRef>
              <c:f>'Chapitre 26'!$E$50:$E$52</c:f>
              <c:numCache>
                <c:formatCode>0.0</c:formatCode>
                <c:ptCount val="3"/>
                <c:pt idx="0">
                  <c:v>14.652173913043478</c:v>
                </c:pt>
                <c:pt idx="1">
                  <c:v>15.11</c:v>
                </c:pt>
                <c:pt idx="2">
                  <c:v>16.940721649484537</c:v>
                </c:pt>
              </c:numCache>
            </c:numRef>
          </c:xVal>
          <c:yVal>
            <c:numRef>
              <c:f>'Chapitre 26'!$F$50:$F$52</c:f>
              <c:numCache>
                <c:formatCode>0%</c:formatCode>
                <c:ptCount val="3"/>
                <c:pt idx="0">
                  <c:v>0.03</c:v>
                </c:pt>
                <c:pt idx="1">
                  <c:v>0.09</c:v>
                </c:pt>
                <c:pt idx="2">
                  <c:v>0.15</c:v>
                </c:pt>
              </c:numCache>
            </c:numRef>
          </c:yVal>
          <c:smooth val="0"/>
          <c:extLst xmlns:c16r2="http://schemas.microsoft.com/office/drawing/2015/06/chart">
            <c:ext xmlns:c16="http://schemas.microsoft.com/office/drawing/2014/chart" uri="{C3380CC4-5D6E-409C-BE32-E72D297353CC}">
              <c16:uniqueId val="{00000000-DCA7-4205-9923-B1E27FA54D81}"/>
            </c:ext>
          </c:extLst>
        </c:ser>
        <c:dLbls>
          <c:showLegendKey val="0"/>
          <c:showVal val="0"/>
          <c:showCatName val="0"/>
          <c:showSerName val="0"/>
          <c:showPercent val="0"/>
          <c:showBubbleSize val="0"/>
        </c:dLbls>
        <c:axId val="475571784"/>
        <c:axId val="572627344"/>
      </c:scatterChart>
      <c:valAx>
        <c:axId val="475571784"/>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72627344"/>
        <c:crosses val="autoZero"/>
        <c:crossBetween val="midCat"/>
      </c:valAx>
      <c:valAx>
        <c:axId val="57262734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7557178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c:v>
                </c:pt>
              </c:numCache>
            </c:numRef>
          </c:xVal>
          <c:yVal>
            <c:numRef>
              <c:f>'Chapitre 27'!#REF!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1C89-4B61-B6D8-CD011AC6F1CD}"/>
            </c:ext>
          </c:extLst>
        </c:ser>
        <c:dLbls>
          <c:showLegendKey val="0"/>
          <c:showVal val="0"/>
          <c:showCatName val="0"/>
          <c:showSerName val="0"/>
          <c:showPercent val="0"/>
          <c:showBubbleSize val="0"/>
        </c:dLbls>
        <c:axId val="572629696"/>
        <c:axId val="572625384"/>
      </c:scatterChart>
      <c:valAx>
        <c:axId val="5726296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25384"/>
        <c:crosses val="autoZero"/>
        <c:crossBetween val="midCat"/>
      </c:valAx>
      <c:valAx>
        <c:axId val="5726253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296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c:v>
                </c:pt>
              </c:numCache>
            </c:numRef>
          </c:xVal>
          <c:yVal>
            <c:numRef>
              <c:f>'Chapitre 27'!#REF!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A45A-4F03-86C0-B1F3BAA086FA}"/>
            </c:ext>
          </c:extLst>
        </c:ser>
        <c:dLbls>
          <c:showLegendKey val="0"/>
          <c:showVal val="0"/>
          <c:showCatName val="0"/>
          <c:showSerName val="0"/>
          <c:showPercent val="0"/>
          <c:showBubbleSize val="0"/>
        </c:dLbls>
        <c:axId val="572626168"/>
        <c:axId val="572625776"/>
      </c:scatterChart>
      <c:valAx>
        <c:axId val="572626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25776"/>
        <c:crosses val="autoZero"/>
        <c:crossBetween val="midCat"/>
      </c:valAx>
      <c:valAx>
        <c:axId val="5726257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261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c:v>
                </c:pt>
              </c:numCache>
            </c:numRef>
          </c:xVal>
          <c:yVal>
            <c:numRef>
              <c:f>'Chapitre 28'!#REF!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E3BA-402D-A46A-1239A9A2D53C}"/>
            </c:ext>
          </c:extLst>
        </c:ser>
        <c:dLbls>
          <c:showLegendKey val="0"/>
          <c:showVal val="0"/>
          <c:showCatName val="0"/>
          <c:showSerName val="0"/>
          <c:showPercent val="0"/>
          <c:showBubbleSize val="0"/>
        </c:dLbls>
        <c:axId val="572626560"/>
        <c:axId val="572623816"/>
      </c:scatterChart>
      <c:valAx>
        <c:axId val="57262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23816"/>
        <c:crosses val="autoZero"/>
        <c:crossBetween val="midCat"/>
      </c:valAx>
      <c:valAx>
        <c:axId val="572623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265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fr-FR"/>
              <a:t>VAN comparées</a:t>
            </a:r>
          </a:p>
        </c:rich>
      </c:tx>
      <c:layout>
        <c:manualLayout>
          <c:xMode val="edge"/>
          <c:yMode val="edge"/>
          <c:x val="0.44257206865878201"/>
          <c:y val="4.7215927277383003E-2"/>
        </c:manualLayout>
      </c:layout>
      <c:overlay val="0"/>
      <c:spPr>
        <a:noFill/>
        <a:ln w="25400">
          <a:noFill/>
        </a:ln>
      </c:spPr>
    </c:title>
    <c:autoTitleDeleted val="0"/>
    <c:plotArea>
      <c:layout>
        <c:manualLayout>
          <c:layoutTarget val="inner"/>
          <c:xMode val="edge"/>
          <c:yMode val="edge"/>
          <c:x val="8.3763658970675697E-2"/>
          <c:y val="0.212472418374238"/>
          <c:w val="0.74762191140991097"/>
          <c:h val="0.64331926674422002"/>
        </c:manualLayout>
      </c:layout>
      <c:scatterChart>
        <c:scatterStyle val="smoothMarker"/>
        <c:varyColors val="0"/>
        <c:ser>
          <c:idx val="0"/>
          <c:order val="0"/>
          <c:tx>
            <c:strRef>
              <c:f>'Chapitre 20'!$A$47</c:f>
              <c:strCache>
                <c:ptCount val="1"/>
                <c:pt idx="0">
                  <c:v>VAN Titre 1</c:v>
                </c:pt>
              </c:strCache>
            </c:strRef>
          </c:tx>
          <c:spPr>
            <a:ln w="12700">
              <a:solidFill>
                <a:srgbClr val="000090"/>
              </a:solidFill>
              <a:prstDash val="solid"/>
            </a:ln>
          </c:spPr>
          <c:marker>
            <c:symbol val="none"/>
          </c:marker>
          <c:xVal>
            <c:numRef>
              <c:f>'Chapitre 20'!$B$46:$N$46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'Chapitre 20'!$B$47:$N$47</c:f>
              <c:numCache>
                <c:formatCode>0.000</c:formatCode>
                <c:ptCount val="13"/>
                <c:pt idx="0">
                  <c:v>0.48591859023093176</c:v>
                </c:pt>
                <c:pt idx="1">
                  <c:v>0.35526069946222483</c:v>
                </c:pt>
                <c:pt idx="2">
                  <c:v>0.23053785373825852</c:v>
                </c:pt>
                <c:pt idx="3">
                  <c:v>0.11140732352232741</c:v>
                </c:pt>
                <c:pt idx="4">
                  <c:v>-2.4502110241529373E-3</c:v>
                </c:pt>
                <c:pt idx="5">
                  <c:v>-0.11133248345748997</c:v>
                </c:pt>
                <c:pt idx="6">
                  <c:v>-0.21551730607704078</c:v>
                </c:pt>
                <c:pt idx="7">
                  <c:v>-0.315264091671348</c:v>
                </c:pt>
                <c:pt idx="8">
                  <c:v>-0.41081524553058452</c:v>
                </c:pt>
                <c:pt idx="9">
                  <c:v>-0.50239743987974805</c:v>
                </c:pt>
                <c:pt idx="10">
                  <c:v>-0.59022278164974096</c:v>
                </c:pt>
                <c:pt idx="11">
                  <c:v>-0.6744898834019204</c:v>
                </c:pt>
                <c:pt idx="12">
                  <c:v>-0.75538484623979396</c:v>
                </c:pt>
              </c:numCache>
            </c:numRef>
          </c:yVal>
          <c:smooth val="1"/>
          <c:extLst xmlns:c16r2="http://schemas.microsoft.com/office/drawing/2015/06/chart">
            <c:ext xmlns:c16="http://schemas.microsoft.com/office/drawing/2014/chart" uri="{C3380CC4-5D6E-409C-BE32-E72D297353CC}">
              <c16:uniqueId val="{00000000-5DB4-45B0-AB89-FF0D9CADF527}"/>
            </c:ext>
          </c:extLst>
        </c:ser>
        <c:ser>
          <c:idx val="1"/>
          <c:order val="1"/>
          <c:tx>
            <c:strRef>
              <c:f>'Chapitre 20'!$A$48</c:f>
              <c:strCache>
                <c:ptCount val="1"/>
                <c:pt idx="0">
                  <c:v>VAN Titre 2</c:v>
                </c:pt>
              </c:strCache>
            </c:strRef>
          </c:tx>
          <c:spPr>
            <a:ln w="12700">
              <a:solidFill>
                <a:srgbClr val="F20884"/>
              </a:solidFill>
              <a:prstDash val="solid"/>
            </a:ln>
          </c:spPr>
          <c:marker>
            <c:symbol val="none"/>
          </c:marker>
          <c:xVal>
            <c:numRef>
              <c:f>'Chapitre 20'!$B$46:$N$46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'Chapitre 20'!$B$48:$N$48</c:f>
              <c:numCache>
                <c:formatCode>0.000</c:formatCode>
                <c:ptCount val="13"/>
                <c:pt idx="0">
                  <c:v>0.71403248799112906</c:v>
                </c:pt>
                <c:pt idx="1">
                  <c:v>0.55394874915399361</c:v>
                </c:pt>
                <c:pt idx="2">
                  <c:v>0.40010719354667768</c:v>
                </c:pt>
                <c:pt idx="3">
                  <c:v>0.25218981372159077</c:v>
                </c:pt>
                <c:pt idx="4">
                  <c:v>0.10989811010715289</c:v>
                </c:pt>
                <c:pt idx="5">
                  <c:v>-2.7048291249088918E-2</c:v>
                </c:pt>
                <c:pt idx="6">
                  <c:v>-0.15891291063885038</c:v>
                </c:pt>
                <c:pt idx="7">
                  <c:v>-0.2859435860955416</c:v>
                </c:pt>
                <c:pt idx="8">
                  <c:v>-0.4083735530425634</c:v>
                </c:pt>
                <c:pt idx="9">
                  <c:v>-0.52642244014705097</c:v>
                </c:pt>
                <c:pt idx="10">
                  <c:v>-0.64029718858353479</c:v>
                </c:pt>
                <c:pt idx="11">
                  <c:v>-0.75019290123456728</c:v>
                </c:pt>
                <c:pt idx="12">
                  <c:v>-0.85629362774682316</c:v>
                </c:pt>
              </c:numCache>
            </c:numRef>
          </c:yVal>
          <c:smooth val="1"/>
          <c:extLst xmlns:c16r2="http://schemas.microsoft.com/office/drawing/2015/06/chart">
            <c:ext xmlns:c16="http://schemas.microsoft.com/office/drawing/2014/chart" uri="{C3380CC4-5D6E-409C-BE32-E72D297353CC}">
              <c16:uniqueId val="{00000001-5DB4-45B0-AB89-FF0D9CADF527}"/>
            </c:ext>
          </c:extLst>
        </c:ser>
        <c:dLbls>
          <c:showLegendKey val="0"/>
          <c:showVal val="0"/>
          <c:showCatName val="0"/>
          <c:showSerName val="0"/>
          <c:showPercent val="0"/>
          <c:showBubbleSize val="0"/>
        </c:dLbls>
        <c:axId val="467551096"/>
        <c:axId val="360162080"/>
      </c:scatterChart>
      <c:valAx>
        <c:axId val="467551096"/>
        <c:scaling>
          <c:orientation val="minMax"/>
          <c:min val="0.08"/>
        </c:scaling>
        <c:delete val="0"/>
        <c:axPos val="b"/>
        <c:title>
          <c:tx>
            <c:rich>
              <a:bodyPr/>
              <a:lstStyle/>
              <a:p>
                <a:pPr>
                  <a:defRPr sz="850" b="1" i="0" u="none" strike="noStrike" baseline="0">
                    <a:solidFill>
                      <a:srgbClr val="000000"/>
                    </a:solidFill>
                    <a:latin typeface="Arial"/>
                    <a:ea typeface="Arial"/>
                    <a:cs typeface="Arial"/>
                  </a:defRPr>
                </a:pPr>
                <a:r>
                  <a:rPr lang="fr-FR"/>
                  <a:t>Taux</a:t>
                </a:r>
              </a:p>
            </c:rich>
          </c:tx>
          <c:layout>
            <c:manualLayout>
              <c:xMode val="edge"/>
              <c:yMode val="edge"/>
              <c:x val="0.43882153329160201"/>
              <c:y val="0.8498892516484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360162080"/>
        <c:crosses val="autoZero"/>
        <c:crossBetween val="midCat"/>
      </c:valAx>
      <c:valAx>
        <c:axId val="360162080"/>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fr-FR"/>
                  <a:t>VAN</a:t>
                </a:r>
              </a:p>
            </c:rich>
          </c:tx>
          <c:layout>
            <c:manualLayout>
              <c:xMode val="edge"/>
              <c:yMode val="edge"/>
              <c:x val="6.2511119164497704E-3"/>
              <c:y val="0.45445426029063402"/>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467551096"/>
        <c:crosses val="autoZero"/>
        <c:crossBetween val="midCat"/>
      </c:valAx>
      <c:spPr>
        <a:solidFill>
          <a:srgbClr val="FFFFFF"/>
        </a:solidFill>
        <a:ln w="12700">
          <a:solidFill>
            <a:srgbClr val="808080"/>
          </a:solidFill>
          <a:prstDash val="solid"/>
        </a:ln>
      </c:spPr>
    </c:plotArea>
    <c:legend>
      <c:legendPos val="r"/>
      <c:layout>
        <c:manualLayout>
          <c:xMode val="edge"/>
          <c:yMode val="edge"/>
          <c:x val="0.88653901651330702"/>
          <c:y val="0.515384615384615"/>
          <c:w val="0.103846218854053"/>
          <c:h val="0.219230769230769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c:v>
                </c:pt>
              </c:numCache>
            </c:numRef>
          </c:xVal>
          <c:yVal>
            <c:numRef>
              <c:f>'Chapitre 28'!#REF!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9115-4BE0-B68E-3256CA775818}"/>
            </c:ext>
          </c:extLst>
        </c:ser>
        <c:dLbls>
          <c:showLegendKey val="0"/>
          <c:showVal val="0"/>
          <c:showCatName val="0"/>
          <c:showSerName val="0"/>
          <c:showPercent val="0"/>
          <c:showBubbleSize val="0"/>
        </c:dLbls>
        <c:axId val="572630088"/>
        <c:axId val="572622640"/>
      </c:scatterChart>
      <c:valAx>
        <c:axId val="57263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22640"/>
        <c:crosses val="autoZero"/>
        <c:crossBetween val="midCat"/>
      </c:valAx>
      <c:valAx>
        <c:axId val="5726226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300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c:v>
                </c:pt>
              </c:numCache>
            </c:numRef>
          </c:xVal>
          <c:yVal>
            <c:numRef>
              <c:f>' Chapitre 29'!#REF!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F03A-4880-87A5-8054EB024511}"/>
            </c:ext>
          </c:extLst>
        </c:ser>
        <c:dLbls>
          <c:showLegendKey val="0"/>
          <c:showVal val="0"/>
          <c:showCatName val="0"/>
          <c:showSerName val="0"/>
          <c:showPercent val="0"/>
          <c:showBubbleSize val="0"/>
        </c:dLbls>
        <c:axId val="572627736"/>
        <c:axId val="572623424"/>
      </c:scatterChart>
      <c:valAx>
        <c:axId val="572627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23424"/>
        <c:crosses val="autoZero"/>
        <c:crossBetween val="midCat"/>
      </c:valAx>
      <c:valAx>
        <c:axId val="5726234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277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c:v>
                </c:pt>
              </c:numCache>
            </c:numRef>
          </c:xVal>
          <c:yVal>
            <c:numRef>
              <c:f>' Chapitre 29'!#REF!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83B0-4237-BD2F-362E7CD4F898}"/>
            </c:ext>
          </c:extLst>
        </c:ser>
        <c:dLbls>
          <c:showLegendKey val="0"/>
          <c:showVal val="0"/>
          <c:showCatName val="0"/>
          <c:showSerName val="0"/>
          <c:showPercent val="0"/>
          <c:showBubbleSize val="0"/>
        </c:dLbls>
        <c:axId val="572628128"/>
        <c:axId val="572628912"/>
      </c:scatterChart>
      <c:valAx>
        <c:axId val="572628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28912"/>
        <c:crosses val="autoZero"/>
        <c:crossBetween val="midCat"/>
      </c:valAx>
      <c:valAx>
        <c:axId val="5726289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6281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c:v>
                </c:pt>
              </c:numCache>
            </c:numRef>
          </c:xVal>
          <c:yVal>
            <c:numRef>
              <c:f>' Chapitre 30'!#REF!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435A-4CF4-A6C0-CE57281D2B3F}"/>
            </c:ext>
          </c:extLst>
        </c:ser>
        <c:dLbls>
          <c:showLegendKey val="0"/>
          <c:showVal val="0"/>
          <c:showCatName val="0"/>
          <c:showSerName val="0"/>
          <c:showPercent val="0"/>
          <c:showBubbleSize val="0"/>
        </c:dLbls>
        <c:axId val="572285448"/>
        <c:axId val="572290936"/>
      </c:scatterChart>
      <c:valAx>
        <c:axId val="572285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90936"/>
        <c:crosses val="autoZero"/>
        <c:crossBetween val="midCat"/>
      </c:valAx>
      <c:valAx>
        <c:axId val="572290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854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c:v>
                </c:pt>
              </c:numCache>
            </c:numRef>
          </c:xVal>
          <c:yVal>
            <c:numRef>
              <c:f>' Chapitre 30'!#REF!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83F6-4906-A708-DC55C10C8836}"/>
            </c:ext>
          </c:extLst>
        </c:ser>
        <c:dLbls>
          <c:showLegendKey val="0"/>
          <c:showVal val="0"/>
          <c:showCatName val="0"/>
          <c:showSerName val="0"/>
          <c:showPercent val="0"/>
          <c:showBubbleSize val="0"/>
        </c:dLbls>
        <c:axId val="572291328"/>
        <c:axId val="572286232"/>
      </c:scatterChart>
      <c:valAx>
        <c:axId val="572291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86232"/>
        <c:crosses val="autoZero"/>
        <c:crossBetween val="midCat"/>
      </c:valAx>
      <c:valAx>
        <c:axId val="5722862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913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c:v>
                </c:pt>
              </c:numCache>
            </c:numRef>
          </c:xVal>
          <c:yVal>
            <c:numRef>
              <c:f>'Chapitre 31'!#REF!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4370-46A1-9536-21B9F346B54F}"/>
            </c:ext>
          </c:extLst>
        </c:ser>
        <c:dLbls>
          <c:showLegendKey val="0"/>
          <c:showVal val="0"/>
          <c:showCatName val="0"/>
          <c:showSerName val="0"/>
          <c:showPercent val="0"/>
          <c:showBubbleSize val="0"/>
        </c:dLbls>
        <c:axId val="572292504"/>
        <c:axId val="572287800"/>
      </c:scatterChart>
      <c:valAx>
        <c:axId val="572292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87800"/>
        <c:crosses val="autoZero"/>
        <c:crossBetween val="midCat"/>
      </c:valAx>
      <c:valAx>
        <c:axId val="5722878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925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c:v>
                </c:pt>
              </c:numCache>
            </c:numRef>
          </c:xVal>
          <c:yVal>
            <c:numRef>
              <c:f>'Chapitre 31'!#REF!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AC78-4D6B-94C0-AC4288CD1E0F}"/>
            </c:ext>
          </c:extLst>
        </c:ser>
        <c:dLbls>
          <c:showLegendKey val="0"/>
          <c:showVal val="0"/>
          <c:showCatName val="0"/>
          <c:showSerName val="0"/>
          <c:showPercent val="0"/>
          <c:showBubbleSize val="0"/>
        </c:dLbls>
        <c:axId val="572292112"/>
        <c:axId val="572288192"/>
      </c:scatterChart>
      <c:valAx>
        <c:axId val="572292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88192"/>
        <c:crosses val="autoZero"/>
        <c:crossBetween val="midCat"/>
      </c:valAx>
      <c:valAx>
        <c:axId val="5722881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921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c:v>
                </c:pt>
              </c:numCache>
            </c:numRef>
          </c:xVal>
          <c:yVal>
            <c:numRef>
              <c:f>'Chapitre 32'!#REF!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B126-4E9F-939E-7DE99EC4759A}"/>
            </c:ext>
          </c:extLst>
        </c:ser>
        <c:dLbls>
          <c:showLegendKey val="0"/>
          <c:showVal val="0"/>
          <c:showCatName val="0"/>
          <c:showSerName val="0"/>
          <c:showPercent val="0"/>
          <c:showBubbleSize val="0"/>
        </c:dLbls>
        <c:axId val="572289368"/>
        <c:axId val="572286624"/>
      </c:scatterChart>
      <c:valAx>
        <c:axId val="572289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86624"/>
        <c:crosses val="autoZero"/>
        <c:crossBetween val="midCat"/>
      </c:valAx>
      <c:valAx>
        <c:axId val="5722866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893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c:v>
                </c:pt>
              </c:numCache>
            </c:numRef>
          </c:xVal>
          <c:yVal>
            <c:numRef>
              <c:f>'Chapitre 32'!#REF!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59EB-4E9C-9B6A-0CEE7CB3A793}"/>
            </c:ext>
          </c:extLst>
        </c:ser>
        <c:dLbls>
          <c:showLegendKey val="0"/>
          <c:showVal val="0"/>
          <c:showCatName val="0"/>
          <c:showSerName val="0"/>
          <c:showPercent val="0"/>
          <c:showBubbleSize val="0"/>
        </c:dLbls>
        <c:axId val="572288976"/>
        <c:axId val="572287016"/>
      </c:scatterChart>
      <c:valAx>
        <c:axId val="572288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87016"/>
        <c:crosses val="autoZero"/>
        <c:crossBetween val="midCat"/>
      </c:valAx>
      <c:valAx>
        <c:axId val="5722870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22889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fr-FR"/>
              <a:t>Profil de VAN</a:t>
            </a:r>
          </a:p>
        </c:rich>
      </c:tx>
      <c:layout>
        <c:manualLayout>
          <c:xMode val="edge"/>
          <c:yMode val="edge"/>
          <c:x val="0.43602657480314999"/>
          <c:y val="5.0251564708257597E-2"/>
        </c:manualLayout>
      </c:layout>
      <c:overlay val="0"/>
      <c:spPr>
        <a:noFill/>
        <a:ln w="25400">
          <a:noFill/>
        </a:ln>
      </c:spPr>
    </c:title>
    <c:autoTitleDeleted val="0"/>
    <c:plotArea>
      <c:layout>
        <c:manualLayout>
          <c:layoutTarget val="inner"/>
          <c:xMode val="edge"/>
          <c:yMode val="edge"/>
          <c:x val="0.12971402233733101"/>
          <c:y val="0.20100584713053801"/>
          <c:w val="0.81110334449487698"/>
          <c:h val="0.52764034871766297"/>
        </c:manualLayout>
      </c:layout>
      <c:scatterChart>
        <c:scatterStyle val="smoothMarker"/>
        <c:varyColors val="0"/>
        <c:ser>
          <c:idx val="0"/>
          <c:order val="0"/>
          <c:tx>
            <c:strRef>
              <c:f>'Chapitre 32'!$A$97</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32'!$B$96:$G$96</c:f>
              <c:numCache>
                <c:formatCode>0%</c:formatCode>
                <c:ptCount val="6"/>
                <c:pt idx="0">
                  <c:v>0.1</c:v>
                </c:pt>
                <c:pt idx="1">
                  <c:v>0.11</c:v>
                </c:pt>
                <c:pt idx="2">
                  <c:v>0.12</c:v>
                </c:pt>
                <c:pt idx="3">
                  <c:v>0.13</c:v>
                </c:pt>
                <c:pt idx="4">
                  <c:v>0.14000000000000001</c:v>
                </c:pt>
                <c:pt idx="5">
                  <c:v>0.15000000000000002</c:v>
                </c:pt>
              </c:numCache>
            </c:numRef>
          </c:xVal>
          <c:yVal>
            <c:numRef>
              <c:f>'Chapitre 32'!$B$97:$G$97</c:f>
              <c:numCache>
                <c:formatCode>0.00</c:formatCode>
                <c:ptCount val="6"/>
                <c:pt idx="0">
                  <c:v>-2.8913421140936243E-2</c:v>
                </c:pt>
                <c:pt idx="1">
                  <c:v>2.2153597771758932E-2</c:v>
                </c:pt>
                <c:pt idx="2">
                  <c:v>6.9955394317827227E-2</c:v>
                </c:pt>
                <c:pt idx="3">
                  <c:v>0.11475130480942275</c:v>
                </c:pt>
                <c:pt idx="4">
                  <c:v>0.1567768707412846</c:v>
                </c:pt>
                <c:pt idx="5">
                  <c:v>0.19624627482915372</c:v>
                </c:pt>
              </c:numCache>
            </c:numRef>
          </c:yVal>
          <c:smooth val="1"/>
          <c:extLst xmlns:c16r2="http://schemas.microsoft.com/office/drawing/2015/06/chart">
            <c:ext xmlns:c16="http://schemas.microsoft.com/office/drawing/2014/chart" uri="{C3380CC4-5D6E-409C-BE32-E72D297353CC}">
              <c16:uniqueId val="{00000000-670C-4A4E-867C-B4BE643BF686}"/>
            </c:ext>
          </c:extLst>
        </c:ser>
        <c:dLbls>
          <c:showLegendKey val="0"/>
          <c:showVal val="0"/>
          <c:showCatName val="0"/>
          <c:showSerName val="0"/>
          <c:showPercent val="0"/>
          <c:showBubbleSize val="0"/>
        </c:dLbls>
        <c:axId val="572290152"/>
        <c:axId val="572290544"/>
      </c:scatterChart>
      <c:valAx>
        <c:axId val="572290152"/>
        <c:scaling>
          <c:orientation val="minMax"/>
          <c:min val="0.09"/>
        </c:scaling>
        <c:delete val="0"/>
        <c:axPos val="b"/>
        <c:title>
          <c:tx>
            <c:rich>
              <a:bodyPr/>
              <a:lstStyle/>
              <a:p>
                <a:pPr>
                  <a:defRPr sz="825" b="1" i="0" u="none" strike="noStrike" baseline="0">
                    <a:solidFill>
                      <a:srgbClr val="000000"/>
                    </a:solidFill>
                    <a:latin typeface="Arial"/>
                    <a:ea typeface="Arial"/>
                    <a:cs typeface="Arial"/>
                  </a:defRPr>
                </a:pPr>
                <a:r>
                  <a:rPr lang="fr-FR"/>
                  <a:t>Taux éxigé</a:t>
                </a:r>
              </a:p>
            </c:rich>
          </c:tx>
          <c:layout>
            <c:manualLayout>
              <c:xMode val="edge"/>
              <c:yMode val="edge"/>
              <c:x val="0.486036909448819"/>
              <c:y val="0.7788976377952759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572290544"/>
        <c:crosses val="autoZero"/>
        <c:crossBetween val="midCat"/>
      </c:valAx>
      <c:valAx>
        <c:axId val="57229054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VAN</a:t>
                </a:r>
              </a:p>
            </c:rich>
          </c:tx>
          <c:layout>
            <c:manualLayout>
              <c:xMode val="edge"/>
              <c:yMode val="edge"/>
              <c:x val="4.2196194225721802E-2"/>
              <c:y val="0.396986607443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5722901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353741321967"/>
          <c:y val="7.0104241645121995E-2"/>
          <c:w val="0.62668105603742597"/>
          <c:h val="0.74193655741087505"/>
        </c:manualLayout>
      </c:layout>
      <c:barChart>
        <c:barDir val="col"/>
        <c:grouping val="stacked"/>
        <c:varyColors val="0"/>
        <c:ser>
          <c:idx val="3"/>
          <c:order val="0"/>
          <c:tx>
            <c:strRef>
              <c:f>'Chapitre 20'!$D$86</c:f>
              <c:strCache>
                <c:ptCount val="1"/>
                <c:pt idx="0">
                  <c:v>Amort. du capital</c:v>
                </c:pt>
              </c:strCache>
            </c:strRef>
          </c:tx>
          <c:spPr>
            <a:solidFill>
              <a:srgbClr val="CCFFFF"/>
            </a:solidFill>
            <a:ln w="12700">
              <a:solidFill>
                <a:srgbClr val="000000"/>
              </a:solidFill>
              <a:prstDash val="solid"/>
            </a:ln>
          </c:spPr>
          <c:invertIfNegative val="0"/>
          <c:val>
            <c:numRef>
              <c:f>'Chapitre 20'!$D$87:$D$90</c:f>
              <c:numCache>
                <c:formatCode>#\ ##0.00\ _F</c:formatCode>
                <c:ptCount val="4"/>
                <c:pt idx="0">
                  <c:v>22.5228</c:v>
                </c:pt>
                <c:pt idx="1">
                  <c:v>24.099395999999999</c:v>
                </c:pt>
                <c:pt idx="2">
                  <c:v>25.786353720000001</c:v>
                </c:pt>
                <c:pt idx="3">
                  <c:v>27.591398480399999</c:v>
                </c:pt>
              </c:numCache>
            </c:numRef>
          </c:val>
          <c:extLst xmlns:c16r2="http://schemas.microsoft.com/office/drawing/2015/06/chart">
            <c:ext xmlns:c16="http://schemas.microsoft.com/office/drawing/2014/chart" uri="{C3380CC4-5D6E-409C-BE32-E72D297353CC}">
              <c16:uniqueId val="{00000000-32BF-450D-82C9-F7A1D00B0DC3}"/>
            </c:ext>
          </c:extLst>
        </c:ser>
        <c:ser>
          <c:idx val="4"/>
          <c:order val="1"/>
          <c:tx>
            <c:strRef>
              <c:f>'Chapitre 20'!$E$86</c:f>
              <c:strCache>
                <c:ptCount val="1"/>
                <c:pt idx="0">
                  <c:v>Intérêts</c:v>
                </c:pt>
              </c:strCache>
            </c:strRef>
          </c:tx>
          <c:spPr>
            <a:solidFill>
              <a:srgbClr val="660066"/>
            </a:solidFill>
            <a:ln w="12700">
              <a:solidFill>
                <a:srgbClr val="000000"/>
              </a:solidFill>
              <a:prstDash val="solid"/>
            </a:ln>
          </c:spPr>
          <c:invertIfNegative val="0"/>
          <c:val>
            <c:numRef>
              <c:f>'Chapitre 20'!$E$87:$E$90</c:f>
              <c:numCache>
                <c:formatCode>#\ ##0.00\ _F</c:formatCode>
                <c:ptCount val="4"/>
                <c:pt idx="0">
                  <c:v>7.0000000000000009</c:v>
                </c:pt>
                <c:pt idx="1">
                  <c:v>5.4234040000000006</c:v>
                </c:pt>
                <c:pt idx="2">
                  <c:v>3.73644628</c:v>
                </c:pt>
                <c:pt idx="3">
                  <c:v>1.9314015195999998</c:v>
                </c:pt>
              </c:numCache>
            </c:numRef>
          </c:val>
          <c:extLst xmlns:c16r2="http://schemas.microsoft.com/office/drawing/2015/06/chart">
            <c:ext xmlns:c16="http://schemas.microsoft.com/office/drawing/2014/chart" uri="{C3380CC4-5D6E-409C-BE32-E72D297353CC}">
              <c16:uniqueId val="{00000001-32BF-450D-82C9-F7A1D00B0DC3}"/>
            </c:ext>
          </c:extLst>
        </c:ser>
        <c:dLbls>
          <c:showLegendKey val="0"/>
          <c:showVal val="0"/>
          <c:showCatName val="0"/>
          <c:showSerName val="0"/>
          <c:showPercent val="0"/>
          <c:showBubbleSize val="0"/>
        </c:dLbls>
        <c:gapWidth val="150"/>
        <c:overlap val="100"/>
        <c:axId val="475144456"/>
        <c:axId val="475140536"/>
      </c:barChart>
      <c:catAx>
        <c:axId val="475144456"/>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fr-FR"/>
                  <a:t>Période</a:t>
                </a:r>
              </a:p>
            </c:rich>
          </c:tx>
          <c:layout>
            <c:manualLayout>
              <c:xMode val="edge"/>
              <c:yMode val="edge"/>
              <c:x val="0.37432629744811302"/>
              <c:y val="0.852934633170854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475140536"/>
        <c:crosses val="autoZero"/>
        <c:auto val="1"/>
        <c:lblAlgn val="ctr"/>
        <c:lblOffset val="100"/>
        <c:tickLblSkip val="1"/>
        <c:tickMarkSkip val="1"/>
        <c:noMultiLvlLbl val="0"/>
      </c:catAx>
      <c:valAx>
        <c:axId val="475140536"/>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a:t>
                </a:r>
              </a:p>
            </c:rich>
          </c:tx>
          <c:layout>
            <c:manualLayout>
              <c:xMode val="edge"/>
              <c:yMode val="edge"/>
              <c:x val="1.05147885926024E-2"/>
              <c:y val="0.408941382327209"/>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fr-FR"/>
          </a:p>
        </c:txPr>
        <c:crossAx val="475144456"/>
        <c:crosses val="autoZero"/>
        <c:crossBetween val="between"/>
      </c:valAx>
      <c:spPr>
        <a:solidFill>
          <a:srgbClr val="C0C0C0"/>
        </a:solidFill>
        <a:ln w="12700">
          <a:solidFill>
            <a:srgbClr val="808080"/>
          </a:solidFill>
          <a:prstDash val="solid"/>
        </a:ln>
      </c:spPr>
    </c:plotArea>
    <c:legend>
      <c:legendPos val="r"/>
      <c:layout>
        <c:manualLayout>
          <c:xMode val="edge"/>
          <c:yMode val="edge"/>
          <c:x val="0.78819146929056205"/>
          <c:y val="0.35741544402619602"/>
          <c:w val="0.189987520285021"/>
          <c:h val="0.2167306415903529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24282953641"/>
          <c:y val="0.119369254723187"/>
          <c:w val="0.85269293053874096"/>
          <c:h val="0.65891828607199399"/>
        </c:manualLayout>
      </c:layout>
      <c:scatterChart>
        <c:scatterStyle val="smoothMarker"/>
        <c:varyColors val="0"/>
        <c:ser>
          <c:idx val="6"/>
          <c:order val="0"/>
          <c:tx>
            <c:strRef>
              <c:f>'Chapitre 32'!$A$175</c:f>
              <c:strCache>
                <c:ptCount val="1"/>
                <c:pt idx="0">
                  <c:v>Flux cumulés et actualisés</c:v>
                </c:pt>
              </c:strCache>
            </c:strRef>
          </c:tx>
          <c:spPr>
            <a:ln w="12700">
              <a:solidFill>
                <a:srgbClr val="008080"/>
              </a:solidFill>
              <a:prstDash val="solid"/>
            </a:ln>
          </c:spPr>
          <c:marker>
            <c:symbol val="plus"/>
            <c:size val="5"/>
            <c:spPr>
              <a:noFill/>
              <a:ln>
                <a:solidFill>
                  <a:srgbClr val="008080"/>
                </a:solidFill>
                <a:prstDash val="solid"/>
              </a:ln>
            </c:spPr>
          </c:marker>
          <c:xVal>
            <c:numRef>
              <c:f>'Chapitre 32'!$B$158:$AF$158</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'Chapitre 32'!$B$175:$AF$175</c:f>
              <c:numCache>
                <c:formatCode>#\ ##0.00\ _F</c:formatCode>
                <c:ptCount val="31"/>
                <c:pt idx="0">
                  <c:v>-8400</c:v>
                </c:pt>
                <c:pt idx="1">
                  <c:v>-6963.636363636364</c:v>
                </c:pt>
                <c:pt idx="2">
                  <c:v>-5657.8512396694223</c:v>
                </c:pt>
                <c:pt idx="3">
                  <c:v>-4470.7738542449297</c:v>
                </c:pt>
                <c:pt idx="4">
                  <c:v>-3391.6125947681185</c:v>
                </c:pt>
                <c:pt idx="5">
                  <c:v>-2410.5569043346536</c:v>
                </c:pt>
                <c:pt idx="6">
                  <c:v>-1518.6880948496855</c:v>
                </c:pt>
                <c:pt idx="7">
                  <c:v>-707.89826804516929</c:v>
                </c:pt>
                <c:pt idx="8">
                  <c:v>29.183392686209118</c:v>
                </c:pt>
                <c:pt idx="9">
                  <c:v>699.25762971473489</c:v>
                </c:pt>
                <c:pt idx="10">
                  <c:v>1308.4160270133946</c:v>
                </c:pt>
                <c:pt idx="11">
                  <c:v>1862.1963881939942</c:v>
                </c:pt>
                <c:pt idx="12">
                  <c:v>2365.6330801763575</c:v>
                </c:pt>
                <c:pt idx="13">
                  <c:v>2823.3028001603243</c:v>
                </c:pt>
                <c:pt idx="14">
                  <c:v>3239.3661819639301</c:v>
                </c:pt>
                <c:pt idx="15">
                  <c:v>3617.6056199672084</c:v>
                </c:pt>
                <c:pt idx="16">
                  <c:v>3961.4596545156433</c:v>
                </c:pt>
                <c:pt idx="17">
                  <c:v>4274.0542313778569</c:v>
                </c:pt>
                <c:pt idx="18">
                  <c:v>4558.2311194344147</c:v>
                </c:pt>
                <c:pt idx="19">
                  <c:v>4816.5737449403759</c:v>
                </c:pt>
                <c:pt idx="20">
                  <c:v>5051.4306772185228</c:v>
                </c:pt>
                <c:pt idx="21">
                  <c:v>5264.936979289565</c:v>
                </c:pt>
                <c:pt idx="22">
                  <c:v>5459.0336175359671</c:v>
                </c:pt>
                <c:pt idx="23">
                  <c:v>5635.4851068508779</c:v>
                </c:pt>
                <c:pt idx="24">
                  <c:v>5795.8955516826154</c:v>
                </c:pt>
                <c:pt idx="25">
                  <c:v>5941.723228802377</c:v>
                </c:pt>
                <c:pt idx="26">
                  <c:v>6074.2938443657958</c:v>
                </c:pt>
                <c:pt idx="27">
                  <c:v>6194.8125857870864</c:v>
                </c:pt>
                <c:pt idx="28">
                  <c:v>6304.3750779882594</c:v>
                </c:pt>
                <c:pt idx="29">
                  <c:v>6403.9773436256892</c:v>
                </c:pt>
                <c:pt idx="30">
                  <c:v>6494.5248578415349</c:v>
                </c:pt>
              </c:numCache>
            </c:numRef>
          </c:yVal>
          <c:smooth val="1"/>
          <c:extLst xmlns:c16r2="http://schemas.microsoft.com/office/drawing/2015/06/chart">
            <c:ext xmlns:c16="http://schemas.microsoft.com/office/drawing/2014/chart" uri="{C3380CC4-5D6E-409C-BE32-E72D297353CC}">
              <c16:uniqueId val="{00000000-8B7C-4492-AE16-0B8B81C799EA}"/>
            </c:ext>
          </c:extLst>
        </c:ser>
        <c:dLbls>
          <c:showLegendKey val="0"/>
          <c:showVal val="0"/>
          <c:showCatName val="0"/>
          <c:showSerName val="0"/>
          <c:showPercent val="0"/>
          <c:showBubbleSize val="0"/>
        </c:dLbls>
        <c:axId val="574214344"/>
        <c:axId val="574217088"/>
      </c:scatterChart>
      <c:valAx>
        <c:axId val="5742143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Année</a:t>
                </a:r>
              </a:p>
            </c:rich>
          </c:tx>
          <c:layout>
            <c:manualLayout>
              <c:xMode val="edge"/>
              <c:yMode val="edge"/>
              <c:x val="0.52569479325867496"/>
              <c:y val="0.826035209013508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74217088"/>
        <c:crosses val="autoZero"/>
        <c:crossBetween val="midCat"/>
      </c:valAx>
      <c:valAx>
        <c:axId val="5742170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Flux cumulés</a:t>
                </a:r>
              </a:p>
            </c:rich>
          </c:tx>
          <c:layout>
            <c:manualLayout>
              <c:xMode val="edge"/>
              <c:yMode val="edge"/>
              <c:x val="1.8166543030021399E-2"/>
              <c:y val="0.26738723513219398"/>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742143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07105047876201"/>
          <c:y val="0.118252156378528"/>
          <c:w val="0.86676941261463902"/>
          <c:h val="0.75954269673900499"/>
        </c:manualLayout>
      </c:layout>
      <c:scatterChart>
        <c:scatterStyle val="smoothMarker"/>
        <c:varyColors val="0"/>
        <c:ser>
          <c:idx val="11"/>
          <c:order val="0"/>
          <c:tx>
            <c:strRef>
              <c:f>'Chapitre 32'!$A$233</c:f>
              <c:strCache>
                <c:ptCount val="1"/>
                <c:pt idx="0">
                  <c:v>Flux cumulés et actualisés</c:v>
                </c:pt>
              </c:strCache>
            </c:strRef>
          </c:tx>
          <c:spPr>
            <a:ln w="12700">
              <a:solidFill>
                <a:srgbClr val="FFFF99"/>
              </a:solidFill>
              <a:prstDash val="solid"/>
            </a:ln>
          </c:spPr>
          <c:marker>
            <c:symbol val="triangle"/>
            <c:size val="5"/>
            <c:spPr>
              <a:solidFill>
                <a:srgbClr val="FFFF99"/>
              </a:solidFill>
              <a:ln>
                <a:solidFill>
                  <a:srgbClr val="FFFF99"/>
                </a:solidFill>
                <a:prstDash val="solid"/>
              </a:ln>
            </c:spPr>
          </c:marker>
          <c:xVal>
            <c:numRef>
              <c:f>'Chapitre 32'!$B$221:$I$221</c:f>
              <c:numCache>
                <c:formatCode>General</c:formatCode>
                <c:ptCount val="8"/>
                <c:pt idx="0">
                  <c:v>0</c:v>
                </c:pt>
                <c:pt idx="1">
                  <c:v>1</c:v>
                </c:pt>
                <c:pt idx="2">
                  <c:v>2</c:v>
                </c:pt>
                <c:pt idx="3">
                  <c:v>3</c:v>
                </c:pt>
                <c:pt idx="4">
                  <c:v>4</c:v>
                </c:pt>
                <c:pt idx="5">
                  <c:v>5</c:v>
                </c:pt>
                <c:pt idx="6">
                  <c:v>6</c:v>
                </c:pt>
                <c:pt idx="7">
                  <c:v>7</c:v>
                </c:pt>
              </c:numCache>
            </c:numRef>
          </c:xVal>
          <c:yVal>
            <c:numRef>
              <c:f>'Chapitre 32'!$B$233:$I$233</c:f>
              <c:numCache>
                <c:formatCode>#\ ##0.00\ _F</c:formatCode>
                <c:ptCount val="8"/>
                <c:pt idx="0">
                  <c:v>-5200</c:v>
                </c:pt>
                <c:pt idx="1">
                  <c:v>-3381.8181818181802</c:v>
                </c:pt>
                <c:pt idx="2">
                  <c:v>-1728.925619834708</c:v>
                </c:pt>
                <c:pt idx="3">
                  <c:v>-226.29601803155174</c:v>
                </c:pt>
                <c:pt idx="4">
                  <c:v>1139.7308926985904</c:v>
                </c:pt>
                <c:pt idx="5">
                  <c:v>2381.5735388169014</c:v>
                </c:pt>
                <c:pt idx="6">
                  <c:v>3510.5213989244567</c:v>
                </c:pt>
                <c:pt idx="7">
                  <c:v>4536.8376353858703</c:v>
                </c:pt>
              </c:numCache>
            </c:numRef>
          </c:yVal>
          <c:smooth val="1"/>
          <c:extLst xmlns:c16r2="http://schemas.microsoft.com/office/drawing/2015/06/chart">
            <c:ext xmlns:c16="http://schemas.microsoft.com/office/drawing/2014/chart" uri="{C3380CC4-5D6E-409C-BE32-E72D297353CC}">
              <c16:uniqueId val="{00000000-E3C4-44EF-BDE9-D7C83D4FF2A9}"/>
            </c:ext>
          </c:extLst>
        </c:ser>
        <c:dLbls>
          <c:showLegendKey val="0"/>
          <c:showVal val="0"/>
          <c:showCatName val="0"/>
          <c:showSerName val="0"/>
          <c:showPercent val="0"/>
          <c:showBubbleSize val="0"/>
        </c:dLbls>
        <c:axId val="574214736"/>
        <c:axId val="574216696"/>
      </c:scatterChart>
      <c:valAx>
        <c:axId val="574214736"/>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fr-FR"/>
                  <a:t>Années</a:t>
                </a:r>
              </a:p>
            </c:rich>
          </c:tx>
          <c:layout>
            <c:manualLayout>
              <c:xMode val="edge"/>
              <c:yMode val="edge"/>
              <c:x val="0.520061641672384"/>
              <c:y val="0.882342916437770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574216696"/>
        <c:crosses val="autoZero"/>
        <c:crossBetween val="midCat"/>
      </c:valAx>
      <c:valAx>
        <c:axId val="574216696"/>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fr-FR"/>
                  <a:t>Flux cumulés et actualisés</a:t>
                </a:r>
              </a:p>
            </c:rich>
          </c:tx>
          <c:layout>
            <c:manualLayout>
              <c:xMode val="edge"/>
              <c:yMode val="edge"/>
              <c:x val="1.1418520817677901E-2"/>
              <c:y val="0.14554110968687101"/>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5742147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07364379526"/>
          <c:y val="0.13326353088019099"/>
          <c:w val="0.835252570339998"/>
          <c:h val="0.73900685306287905"/>
        </c:manualLayout>
      </c:layout>
      <c:scatterChart>
        <c:scatterStyle val="smoothMarker"/>
        <c:varyColors val="0"/>
        <c:ser>
          <c:idx val="0"/>
          <c:order val="0"/>
          <c:tx>
            <c:strRef>
              <c:f>'Chapitre 32'!$A$132</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32'!$B$131:$E$131</c:f>
              <c:numCache>
                <c:formatCode>General</c:formatCode>
                <c:ptCount val="4"/>
                <c:pt idx="0">
                  <c:v>7000</c:v>
                </c:pt>
                <c:pt idx="1">
                  <c:v>8000</c:v>
                </c:pt>
                <c:pt idx="2">
                  <c:v>9000</c:v>
                </c:pt>
                <c:pt idx="3">
                  <c:v>10000</c:v>
                </c:pt>
              </c:numCache>
            </c:numRef>
          </c:xVal>
          <c:yVal>
            <c:numRef>
              <c:f>'Chapitre 32'!$B$132:$E$132</c:f>
              <c:numCache>
                <c:formatCode>#\ ##0\ _F</c:formatCode>
                <c:ptCount val="4"/>
                <c:pt idx="0">
                  <c:v>-5309.7711395136248</c:v>
                </c:pt>
                <c:pt idx="1">
                  <c:v>2678.1660979024491</c:v>
                </c:pt>
                <c:pt idx="2">
                  <c:v>10666.103335318534</c:v>
                </c:pt>
                <c:pt idx="3">
                  <c:v>18654.040572734626</c:v>
                </c:pt>
              </c:numCache>
            </c:numRef>
          </c:yVal>
          <c:smooth val="1"/>
          <c:extLst xmlns:c16r2="http://schemas.microsoft.com/office/drawing/2015/06/chart">
            <c:ext xmlns:c16="http://schemas.microsoft.com/office/drawing/2014/chart" uri="{C3380CC4-5D6E-409C-BE32-E72D297353CC}">
              <c16:uniqueId val="{00000000-8F83-4308-8D64-07EBDDEC1A2B}"/>
            </c:ext>
          </c:extLst>
        </c:ser>
        <c:dLbls>
          <c:showLegendKey val="0"/>
          <c:showVal val="0"/>
          <c:showCatName val="0"/>
          <c:showSerName val="0"/>
          <c:showPercent val="0"/>
          <c:showBubbleSize val="0"/>
        </c:dLbls>
        <c:axId val="574215520"/>
        <c:axId val="574202192"/>
      </c:scatterChart>
      <c:valAx>
        <c:axId val="574215520"/>
        <c:scaling>
          <c:orientation val="minMax"/>
          <c:min val="6000"/>
        </c:scaling>
        <c:delete val="0"/>
        <c:axPos val="b"/>
        <c:title>
          <c:tx>
            <c:rich>
              <a:bodyPr/>
              <a:lstStyle/>
              <a:p>
                <a:pPr>
                  <a:defRPr sz="575" b="1" i="0" u="none" strike="noStrike" baseline="0">
                    <a:solidFill>
                      <a:srgbClr val="000000"/>
                    </a:solidFill>
                    <a:latin typeface="Arial"/>
                    <a:ea typeface="Arial"/>
                    <a:cs typeface="Arial"/>
                  </a:defRPr>
                </a:pPr>
                <a:r>
                  <a:rPr lang="fr-FR"/>
                  <a:t>Nbre de pieces / an</a:t>
                </a:r>
              </a:p>
            </c:rich>
          </c:tx>
          <c:layout>
            <c:manualLayout>
              <c:xMode val="edge"/>
              <c:yMode val="edge"/>
              <c:x val="0.45182839555127602"/>
              <c:y val="0.8843854703347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574202192"/>
        <c:crosses val="autoZero"/>
        <c:crossBetween val="midCat"/>
      </c:valAx>
      <c:valAx>
        <c:axId val="574202192"/>
        <c:scaling>
          <c:orientation val="minMax"/>
        </c:scaling>
        <c:delete val="0"/>
        <c:axPos val="l"/>
        <c:majorGridlines>
          <c:spPr>
            <a:ln w="3175">
              <a:solidFill>
                <a:srgbClr val="000000"/>
              </a:solidFill>
              <a:prstDash val="solid"/>
            </a:ln>
          </c:spPr>
        </c:majorGridlines>
        <c:title>
          <c:tx>
            <c:rich>
              <a:bodyPr/>
              <a:lstStyle/>
              <a:p>
                <a:pPr>
                  <a:defRPr sz="575" b="1" i="0" u="none" strike="noStrike" baseline="0">
                    <a:solidFill>
                      <a:srgbClr val="000000"/>
                    </a:solidFill>
                    <a:latin typeface="Arial"/>
                    <a:ea typeface="Arial"/>
                    <a:cs typeface="Arial"/>
                  </a:defRPr>
                </a:pPr>
                <a:r>
                  <a:rPr lang="fr-FR"/>
                  <a:t>VAN</a:t>
                </a:r>
              </a:p>
            </c:rich>
          </c:tx>
          <c:layout>
            <c:manualLayout>
              <c:xMode val="edge"/>
              <c:yMode val="edge"/>
              <c:x val="1.2600879925980499E-2"/>
              <c:y val="0.42402060853504397"/>
            </c:manualLayout>
          </c:layout>
          <c:overlay val="0"/>
          <c:spPr>
            <a:noFill/>
            <a:ln w="25400">
              <a:noFill/>
            </a:ln>
          </c:spPr>
        </c:title>
        <c:numFmt formatCode="#\ ##0\ _F"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5742155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c:v>
                </c:pt>
              </c:numCache>
            </c:numRef>
          </c:xVal>
          <c:yVal>
            <c:numRef>
              <c:f>' Chapitre 33'!#REF!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ACE6-4083-86BC-7CE0119EE018}"/>
            </c:ext>
          </c:extLst>
        </c:ser>
        <c:dLbls>
          <c:showLegendKey val="0"/>
          <c:showVal val="0"/>
          <c:showCatName val="0"/>
          <c:showSerName val="0"/>
          <c:showPercent val="0"/>
          <c:showBubbleSize val="0"/>
        </c:dLbls>
        <c:axId val="574213168"/>
        <c:axId val="574205720"/>
      </c:scatterChart>
      <c:valAx>
        <c:axId val="574213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05720"/>
        <c:crosses val="autoZero"/>
        <c:crossBetween val="midCat"/>
      </c:valAx>
      <c:valAx>
        <c:axId val="5742057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131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c:v>
                </c:pt>
              </c:numCache>
            </c:numRef>
          </c:xVal>
          <c:yVal>
            <c:numRef>
              <c:f>' Chapitre 33'!#REF!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1C07-47DD-9288-BE1CFC5D31C7}"/>
            </c:ext>
          </c:extLst>
        </c:ser>
        <c:dLbls>
          <c:showLegendKey val="0"/>
          <c:showVal val="0"/>
          <c:showCatName val="0"/>
          <c:showSerName val="0"/>
          <c:showPercent val="0"/>
          <c:showBubbleSize val="0"/>
        </c:dLbls>
        <c:axId val="574207680"/>
        <c:axId val="574210424"/>
      </c:scatterChart>
      <c:valAx>
        <c:axId val="574207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10424"/>
        <c:crosses val="autoZero"/>
        <c:crossBetween val="midCat"/>
      </c:valAx>
      <c:valAx>
        <c:axId val="5742104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076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c:v>
                </c:pt>
              </c:numCache>
            </c:numRef>
          </c:xVal>
          <c:yVal>
            <c:numRef>
              <c:f>'Chapitre 34'!#REF!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0B2C-4BD3-8512-AC9460708257}"/>
            </c:ext>
          </c:extLst>
        </c:ser>
        <c:dLbls>
          <c:showLegendKey val="0"/>
          <c:showVal val="0"/>
          <c:showCatName val="0"/>
          <c:showSerName val="0"/>
          <c:showPercent val="0"/>
          <c:showBubbleSize val="0"/>
        </c:dLbls>
        <c:axId val="574202976"/>
        <c:axId val="574209248"/>
      </c:scatterChart>
      <c:valAx>
        <c:axId val="574202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09248"/>
        <c:crosses val="autoZero"/>
        <c:crossBetween val="midCat"/>
      </c:valAx>
      <c:valAx>
        <c:axId val="574209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029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c:v>
                </c:pt>
              </c:numCache>
            </c:numRef>
          </c:xVal>
          <c:yVal>
            <c:numRef>
              <c:f>'Chapitre 34'!#REF!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2139-488A-8B85-37B90C581725}"/>
            </c:ext>
          </c:extLst>
        </c:ser>
        <c:dLbls>
          <c:showLegendKey val="0"/>
          <c:showVal val="0"/>
          <c:showCatName val="0"/>
          <c:showSerName val="0"/>
          <c:showPercent val="0"/>
          <c:showBubbleSize val="0"/>
        </c:dLbls>
        <c:axId val="574208072"/>
        <c:axId val="574212776"/>
      </c:scatterChart>
      <c:valAx>
        <c:axId val="574208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12776"/>
        <c:crosses val="autoZero"/>
        <c:crossBetween val="midCat"/>
      </c:valAx>
      <c:valAx>
        <c:axId val="5742127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080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c:v>
                </c:pt>
              </c:numCache>
            </c:numRef>
          </c:xVal>
          <c:yVal>
            <c:numRef>
              <c:f>'Chapitre 35'!#REF!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18A6-4CEA-AC85-6321A680EF37}"/>
            </c:ext>
          </c:extLst>
        </c:ser>
        <c:dLbls>
          <c:showLegendKey val="0"/>
          <c:showVal val="0"/>
          <c:showCatName val="0"/>
          <c:showSerName val="0"/>
          <c:showPercent val="0"/>
          <c:showBubbleSize val="0"/>
        </c:dLbls>
        <c:axId val="574206504"/>
        <c:axId val="574213560"/>
      </c:scatterChart>
      <c:valAx>
        <c:axId val="574206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13560"/>
        <c:crosses val="autoZero"/>
        <c:crossBetween val="midCat"/>
      </c:valAx>
      <c:valAx>
        <c:axId val="5742135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065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c:v>
                </c:pt>
              </c:numCache>
            </c:numRef>
          </c:xVal>
          <c:yVal>
            <c:numRef>
              <c:f>'Chapitre 35'!#REF!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3EFC-4761-BDE5-7155541ECB66}"/>
            </c:ext>
          </c:extLst>
        </c:ser>
        <c:dLbls>
          <c:showLegendKey val="0"/>
          <c:showVal val="0"/>
          <c:showCatName val="0"/>
          <c:showSerName val="0"/>
          <c:showPercent val="0"/>
          <c:showBubbleSize val="0"/>
        </c:dLbls>
        <c:axId val="574213952"/>
        <c:axId val="574202584"/>
      </c:scatterChart>
      <c:valAx>
        <c:axId val="574213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02584"/>
        <c:crosses val="autoZero"/>
        <c:crossBetween val="midCat"/>
      </c:valAx>
      <c:valAx>
        <c:axId val="574202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139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c:v>
                </c:pt>
              </c:numCache>
            </c:numRef>
          </c:xVal>
          <c:yVal>
            <c:numRef>
              <c:f>'Chapitre 36'!#REF!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3CA6-4E83-98C3-48823BB39A7B}"/>
            </c:ext>
          </c:extLst>
        </c:ser>
        <c:dLbls>
          <c:showLegendKey val="0"/>
          <c:showVal val="0"/>
          <c:showCatName val="0"/>
          <c:showSerName val="0"/>
          <c:showPercent val="0"/>
          <c:showBubbleSize val="0"/>
        </c:dLbls>
        <c:axId val="574209640"/>
        <c:axId val="574203760"/>
      </c:scatterChart>
      <c:valAx>
        <c:axId val="574209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03760"/>
        <c:crosses val="autoZero"/>
        <c:crossBetween val="midCat"/>
      </c:valAx>
      <c:valAx>
        <c:axId val="5742037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096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3767490073301E-2"/>
          <c:y val="6.3937727317664603E-2"/>
          <c:w val="0.65072604687616398"/>
          <c:h val="0.74981516581624796"/>
        </c:manualLayout>
      </c:layout>
      <c:barChart>
        <c:barDir val="col"/>
        <c:grouping val="stacked"/>
        <c:varyColors val="0"/>
        <c:ser>
          <c:idx val="3"/>
          <c:order val="0"/>
          <c:tx>
            <c:strRef>
              <c:f>'Chapitre 20'!$D$95</c:f>
              <c:strCache>
                <c:ptCount val="1"/>
                <c:pt idx="0">
                  <c:v>Amort. du capital</c:v>
                </c:pt>
              </c:strCache>
            </c:strRef>
          </c:tx>
          <c:spPr>
            <a:solidFill>
              <a:srgbClr val="CCFFFF"/>
            </a:solidFill>
            <a:ln w="12700">
              <a:solidFill>
                <a:srgbClr val="000000"/>
              </a:solidFill>
              <a:prstDash val="solid"/>
            </a:ln>
          </c:spPr>
          <c:invertIfNegative val="0"/>
          <c:val>
            <c:numRef>
              <c:f>'Chapitre 20'!$D$96:$D$99</c:f>
              <c:numCache>
                <c:formatCode>#\ ##0.00\ _F</c:formatCode>
                <c:ptCount val="4"/>
                <c:pt idx="0">
                  <c:v>25</c:v>
                </c:pt>
                <c:pt idx="1">
                  <c:v>25</c:v>
                </c:pt>
                <c:pt idx="2">
                  <c:v>25</c:v>
                </c:pt>
                <c:pt idx="3">
                  <c:v>25</c:v>
                </c:pt>
              </c:numCache>
            </c:numRef>
          </c:val>
          <c:extLst xmlns:c16r2="http://schemas.microsoft.com/office/drawing/2015/06/chart">
            <c:ext xmlns:c16="http://schemas.microsoft.com/office/drawing/2014/chart" uri="{C3380CC4-5D6E-409C-BE32-E72D297353CC}">
              <c16:uniqueId val="{00000000-E227-4DE3-BFA4-82D38DB405AB}"/>
            </c:ext>
          </c:extLst>
        </c:ser>
        <c:ser>
          <c:idx val="4"/>
          <c:order val="1"/>
          <c:tx>
            <c:strRef>
              <c:f>'Chapitre 20'!$E$95</c:f>
              <c:strCache>
                <c:ptCount val="1"/>
                <c:pt idx="0">
                  <c:v>Intérêts</c:v>
                </c:pt>
              </c:strCache>
            </c:strRef>
          </c:tx>
          <c:spPr>
            <a:solidFill>
              <a:srgbClr val="660066"/>
            </a:solidFill>
            <a:ln w="12700">
              <a:solidFill>
                <a:srgbClr val="000000"/>
              </a:solidFill>
              <a:prstDash val="solid"/>
            </a:ln>
          </c:spPr>
          <c:invertIfNegative val="0"/>
          <c:val>
            <c:numRef>
              <c:f>'Chapitre 20'!$E$96:$E$99</c:f>
              <c:numCache>
                <c:formatCode>#\ ##0.00\ _F</c:formatCode>
                <c:ptCount val="4"/>
                <c:pt idx="0">
                  <c:v>7.0000000000000009</c:v>
                </c:pt>
                <c:pt idx="1">
                  <c:v>5.2500000000000009</c:v>
                </c:pt>
                <c:pt idx="2">
                  <c:v>3.5000000000000004</c:v>
                </c:pt>
                <c:pt idx="3">
                  <c:v>1.7500000000000002</c:v>
                </c:pt>
              </c:numCache>
            </c:numRef>
          </c:val>
          <c:extLst xmlns:c16r2="http://schemas.microsoft.com/office/drawing/2015/06/chart">
            <c:ext xmlns:c16="http://schemas.microsoft.com/office/drawing/2014/chart" uri="{C3380CC4-5D6E-409C-BE32-E72D297353CC}">
              <c16:uniqueId val="{00000001-E227-4DE3-BFA4-82D38DB405AB}"/>
            </c:ext>
          </c:extLst>
        </c:ser>
        <c:dLbls>
          <c:showLegendKey val="0"/>
          <c:showVal val="0"/>
          <c:showCatName val="0"/>
          <c:showSerName val="0"/>
          <c:showPercent val="0"/>
          <c:showBubbleSize val="0"/>
        </c:dLbls>
        <c:gapWidth val="150"/>
        <c:overlap val="100"/>
        <c:axId val="475144848"/>
        <c:axId val="475142496"/>
      </c:barChart>
      <c:catAx>
        <c:axId val="4751448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Période</a:t>
                </a:r>
              </a:p>
            </c:rich>
          </c:tx>
          <c:layout>
            <c:manualLayout>
              <c:xMode val="edge"/>
              <c:yMode val="edge"/>
              <c:x val="0.3631471852182"/>
              <c:y val="0.854440354718973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75142496"/>
        <c:crosses val="autoZero"/>
        <c:auto val="1"/>
        <c:lblAlgn val="ctr"/>
        <c:lblOffset val="100"/>
        <c:tickLblSkip val="1"/>
        <c:tickMarkSkip val="1"/>
        <c:noMultiLvlLbl val="0"/>
      </c:catAx>
      <c:valAx>
        <c:axId val="4751424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1.04956062882077E-2"/>
              <c:y val="0.40687632980788702"/>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fr-FR"/>
          </a:p>
        </c:txPr>
        <c:crossAx val="475144848"/>
        <c:crosses val="autoZero"/>
        <c:crossBetween val="between"/>
      </c:valAx>
      <c:spPr>
        <a:solidFill>
          <a:srgbClr val="C0C0C0"/>
        </a:solidFill>
        <a:ln w="12700">
          <a:solidFill>
            <a:srgbClr val="808080"/>
          </a:solidFill>
          <a:prstDash val="solid"/>
        </a:ln>
      </c:spPr>
    </c:plotArea>
    <c:legend>
      <c:legendPos val="r"/>
      <c:layout>
        <c:manualLayout>
          <c:xMode val="edge"/>
          <c:yMode val="edge"/>
          <c:x val="0.78846326598897698"/>
          <c:y val="0.38697354205349599"/>
          <c:w val="0.18974400547376999"/>
          <c:h val="0.218391008881676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c:v>
                </c:pt>
              </c:numCache>
            </c:numRef>
          </c:xVal>
          <c:yVal>
            <c:numRef>
              <c:f>'Chapitre 36'!#REF!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7009-4EE6-BA90-C41784ECAA57}"/>
            </c:ext>
          </c:extLst>
        </c:ser>
        <c:dLbls>
          <c:showLegendKey val="0"/>
          <c:showVal val="0"/>
          <c:showCatName val="0"/>
          <c:showSerName val="0"/>
          <c:showPercent val="0"/>
          <c:showBubbleSize val="0"/>
        </c:dLbls>
        <c:axId val="574204152"/>
        <c:axId val="574210032"/>
      </c:scatterChart>
      <c:valAx>
        <c:axId val="574204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10032"/>
        <c:crosses val="autoZero"/>
        <c:crossBetween val="midCat"/>
      </c:valAx>
      <c:valAx>
        <c:axId val="5742100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041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c:v>
                </c:pt>
              </c:numCache>
            </c:numRef>
          </c:xVal>
          <c:yVal>
            <c:numRef>
              <c:f>' Chapitre 37'!#REF!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9C2A-4917-825C-CD2FBECF3238}"/>
            </c:ext>
          </c:extLst>
        </c:ser>
        <c:dLbls>
          <c:showLegendKey val="0"/>
          <c:showVal val="0"/>
          <c:showCatName val="0"/>
          <c:showSerName val="0"/>
          <c:showPercent val="0"/>
          <c:showBubbleSize val="0"/>
        </c:dLbls>
        <c:axId val="574211600"/>
        <c:axId val="574211992"/>
      </c:scatterChart>
      <c:valAx>
        <c:axId val="57421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11992"/>
        <c:crosses val="autoZero"/>
        <c:crossBetween val="midCat"/>
      </c:valAx>
      <c:valAx>
        <c:axId val="5742119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116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c:v>
                </c:pt>
              </c:numCache>
            </c:numRef>
          </c:xVal>
          <c:yVal>
            <c:numRef>
              <c:f>' Chapitre 37'!#REF!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CEF1-441C-AA2A-06550D8689CC}"/>
            </c:ext>
          </c:extLst>
        </c:ser>
        <c:dLbls>
          <c:showLegendKey val="0"/>
          <c:showVal val="0"/>
          <c:showCatName val="0"/>
          <c:showSerName val="0"/>
          <c:showPercent val="0"/>
          <c:showBubbleSize val="0"/>
        </c:dLbls>
        <c:axId val="574203368"/>
        <c:axId val="575339880"/>
      </c:scatterChart>
      <c:valAx>
        <c:axId val="574203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9880"/>
        <c:crosses val="autoZero"/>
        <c:crossBetween val="midCat"/>
      </c:valAx>
      <c:valAx>
        <c:axId val="5753398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42033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c:v>
                </c:pt>
              </c:numCache>
            </c:numRef>
          </c:xVal>
          <c:yVal>
            <c:numRef>
              <c:f>'Chapitre 38'!#REF!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1192-4605-B6C8-E40D74554E9E}"/>
            </c:ext>
          </c:extLst>
        </c:ser>
        <c:dLbls>
          <c:showLegendKey val="0"/>
          <c:showVal val="0"/>
          <c:showCatName val="0"/>
          <c:showSerName val="0"/>
          <c:showPercent val="0"/>
          <c:showBubbleSize val="0"/>
        </c:dLbls>
        <c:axId val="575335960"/>
        <c:axId val="575343408"/>
      </c:scatterChart>
      <c:valAx>
        <c:axId val="575335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3408"/>
        <c:crosses val="autoZero"/>
        <c:crossBetween val="midCat"/>
      </c:valAx>
      <c:valAx>
        <c:axId val="5753434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59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c:v>
                </c:pt>
              </c:numCache>
            </c:numRef>
          </c:xVal>
          <c:yVal>
            <c:numRef>
              <c:f>'Chapitre 38'!#REF!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C419-4A55-B894-16F12B10727A}"/>
            </c:ext>
          </c:extLst>
        </c:ser>
        <c:dLbls>
          <c:showLegendKey val="0"/>
          <c:showVal val="0"/>
          <c:showCatName val="0"/>
          <c:showSerName val="0"/>
          <c:showPercent val="0"/>
          <c:showBubbleSize val="0"/>
        </c:dLbls>
        <c:axId val="575335176"/>
        <c:axId val="575337528"/>
      </c:scatterChart>
      <c:valAx>
        <c:axId val="575335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7528"/>
        <c:crosses val="autoZero"/>
        <c:crossBetween val="midCat"/>
      </c:valAx>
      <c:valAx>
        <c:axId val="5753375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51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c:v>
                </c:pt>
              </c:numCache>
            </c:numRef>
          </c:xVal>
          <c:yVal>
            <c:numRef>
              <c:f>'Chapitre 39'!#REF!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5CC2-4BE9-828C-A2A5CD628035}"/>
            </c:ext>
          </c:extLst>
        </c:ser>
        <c:dLbls>
          <c:showLegendKey val="0"/>
          <c:showVal val="0"/>
          <c:showCatName val="0"/>
          <c:showSerName val="0"/>
          <c:showPercent val="0"/>
          <c:showBubbleSize val="0"/>
        </c:dLbls>
        <c:axId val="575337136"/>
        <c:axId val="575341448"/>
      </c:scatterChart>
      <c:valAx>
        <c:axId val="575337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1448"/>
        <c:crosses val="autoZero"/>
        <c:crossBetween val="midCat"/>
      </c:valAx>
      <c:valAx>
        <c:axId val="5753414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71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c:v>
                </c:pt>
              </c:numCache>
            </c:numRef>
          </c:xVal>
          <c:yVal>
            <c:numRef>
              <c:f>'Chapitre 39'!#REF!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494C-4F85-A1A5-F08E3D2448AD}"/>
            </c:ext>
          </c:extLst>
        </c:ser>
        <c:dLbls>
          <c:showLegendKey val="0"/>
          <c:showVal val="0"/>
          <c:showCatName val="0"/>
          <c:showSerName val="0"/>
          <c:showPercent val="0"/>
          <c:showBubbleSize val="0"/>
        </c:dLbls>
        <c:axId val="575336352"/>
        <c:axId val="575340272"/>
      </c:scatterChart>
      <c:valAx>
        <c:axId val="575336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0272"/>
        <c:crosses val="autoZero"/>
        <c:crossBetween val="midCat"/>
      </c:valAx>
      <c:valAx>
        <c:axId val="5753402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63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c:v>
                </c:pt>
              </c:numCache>
            </c:numRef>
          </c:xVal>
          <c:yVal>
            <c:numRef>
              <c:f>'Chapitre 40'!#REF!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D7BD-4676-99D0-E54CF6700438}"/>
            </c:ext>
          </c:extLst>
        </c:ser>
        <c:dLbls>
          <c:showLegendKey val="0"/>
          <c:showVal val="0"/>
          <c:showCatName val="0"/>
          <c:showSerName val="0"/>
          <c:showPercent val="0"/>
          <c:showBubbleSize val="0"/>
        </c:dLbls>
        <c:axId val="575338312"/>
        <c:axId val="575340664"/>
      </c:scatterChart>
      <c:valAx>
        <c:axId val="575338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0664"/>
        <c:crosses val="autoZero"/>
        <c:crossBetween val="midCat"/>
      </c:valAx>
      <c:valAx>
        <c:axId val="5753406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83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c:v>
                </c:pt>
              </c:numCache>
            </c:numRef>
          </c:xVal>
          <c:yVal>
            <c:numRef>
              <c:f>'Chapitre 40'!#REF!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0EC7-4F90-8A3C-D1EBA8BA2030}"/>
            </c:ext>
          </c:extLst>
        </c:ser>
        <c:dLbls>
          <c:showLegendKey val="0"/>
          <c:showVal val="0"/>
          <c:showCatName val="0"/>
          <c:showSerName val="0"/>
          <c:showPercent val="0"/>
          <c:showBubbleSize val="0"/>
        </c:dLbls>
        <c:axId val="575339488"/>
        <c:axId val="575331256"/>
      </c:scatterChart>
      <c:valAx>
        <c:axId val="575339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1256"/>
        <c:crosses val="autoZero"/>
        <c:crossBetween val="midCat"/>
      </c:valAx>
      <c:valAx>
        <c:axId val="5753312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94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c:v>
                </c:pt>
              </c:numCache>
            </c:numRef>
          </c:xVal>
          <c:yVal>
            <c:numRef>
              <c:f>'Chapitre 41'!#REF!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3F2B-4E93-9943-35B00B112656}"/>
            </c:ext>
          </c:extLst>
        </c:ser>
        <c:dLbls>
          <c:showLegendKey val="0"/>
          <c:showVal val="0"/>
          <c:showCatName val="0"/>
          <c:showSerName val="0"/>
          <c:showPercent val="0"/>
          <c:showBubbleSize val="0"/>
        </c:dLbls>
        <c:axId val="575334000"/>
        <c:axId val="575339096"/>
      </c:scatterChart>
      <c:valAx>
        <c:axId val="575334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9096"/>
        <c:crosses val="autoZero"/>
        <c:crossBetween val="midCat"/>
      </c:valAx>
      <c:valAx>
        <c:axId val="575339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40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574177087584"/>
          <c:y val="5.9265642357957102E-2"/>
          <c:w val="0.63696978822136396"/>
          <c:h val="0.78033095771310201"/>
        </c:manualLayout>
      </c:layout>
      <c:barChart>
        <c:barDir val="col"/>
        <c:grouping val="stacked"/>
        <c:varyColors val="0"/>
        <c:ser>
          <c:idx val="3"/>
          <c:order val="0"/>
          <c:tx>
            <c:strRef>
              <c:f>'Chapitre 20'!$D$110</c:f>
              <c:strCache>
                <c:ptCount val="1"/>
                <c:pt idx="0">
                  <c:v>Amort. du capital</c:v>
                </c:pt>
              </c:strCache>
            </c:strRef>
          </c:tx>
          <c:spPr>
            <a:solidFill>
              <a:srgbClr val="CCFFFF"/>
            </a:solidFill>
            <a:ln w="12700">
              <a:solidFill>
                <a:srgbClr val="000000"/>
              </a:solidFill>
              <a:prstDash val="solid"/>
            </a:ln>
          </c:spPr>
          <c:invertIfNegative val="0"/>
          <c:val>
            <c:numRef>
              <c:f>'Chapitre 20'!$D$111:$D$117</c:f>
              <c:numCache>
                <c:formatCode>#\ ##0.00\ _F</c:formatCode>
                <c:ptCount val="7"/>
                <c:pt idx="0">
                  <c:v>0</c:v>
                </c:pt>
                <c:pt idx="1">
                  <c:v>0</c:v>
                </c:pt>
                <c:pt idx="2">
                  <c:v>79.683633362603715</c:v>
                </c:pt>
                <c:pt idx="3">
                  <c:v>84.863069531172954</c:v>
                </c:pt>
                <c:pt idx="4">
                  <c:v>90.379169050699204</c:v>
                </c:pt>
                <c:pt idx="5">
                  <c:v>96.253815038994645</c:v>
                </c:pt>
                <c:pt idx="6">
                  <c:v>102.5103130165293</c:v>
                </c:pt>
              </c:numCache>
            </c:numRef>
          </c:val>
          <c:extLst xmlns:c16r2="http://schemas.microsoft.com/office/drawing/2015/06/chart">
            <c:ext xmlns:c16="http://schemas.microsoft.com/office/drawing/2014/chart" uri="{C3380CC4-5D6E-409C-BE32-E72D297353CC}">
              <c16:uniqueId val="{00000000-D0D1-4294-8169-791625418337}"/>
            </c:ext>
          </c:extLst>
        </c:ser>
        <c:ser>
          <c:idx val="4"/>
          <c:order val="1"/>
          <c:tx>
            <c:strRef>
              <c:f>'Chapitre 20'!$E$110</c:f>
              <c:strCache>
                <c:ptCount val="1"/>
                <c:pt idx="0">
                  <c:v>Intérêts</c:v>
                </c:pt>
              </c:strCache>
            </c:strRef>
          </c:tx>
          <c:spPr>
            <a:solidFill>
              <a:srgbClr val="660066"/>
            </a:solidFill>
            <a:ln w="12700">
              <a:solidFill>
                <a:srgbClr val="000000"/>
              </a:solidFill>
              <a:prstDash val="solid"/>
            </a:ln>
          </c:spPr>
          <c:invertIfNegative val="0"/>
          <c:val>
            <c:numRef>
              <c:f>'Chapitre 20'!$E$111:$E$117</c:f>
              <c:numCache>
                <c:formatCode>#\ ##0.00\ _F</c:formatCode>
                <c:ptCount val="7"/>
                <c:pt idx="2">
                  <c:v>29.489850000000001</c:v>
                </c:pt>
                <c:pt idx="3">
                  <c:v>24.310413831430761</c:v>
                </c:pt>
                <c:pt idx="4">
                  <c:v>18.794314311904518</c:v>
                </c:pt>
                <c:pt idx="5">
                  <c:v>12.919668323609072</c:v>
                </c:pt>
                <c:pt idx="6">
                  <c:v>6.6631703460744189</c:v>
                </c:pt>
              </c:numCache>
            </c:numRef>
          </c:val>
          <c:extLst xmlns:c16r2="http://schemas.microsoft.com/office/drawing/2015/06/chart">
            <c:ext xmlns:c16="http://schemas.microsoft.com/office/drawing/2014/chart" uri="{C3380CC4-5D6E-409C-BE32-E72D297353CC}">
              <c16:uniqueId val="{00000001-D0D1-4294-8169-791625418337}"/>
            </c:ext>
          </c:extLst>
        </c:ser>
        <c:dLbls>
          <c:showLegendKey val="0"/>
          <c:showVal val="0"/>
          <c:showCatName val="0"/>
          <c:showSerName val="0"/>
          <c:showPercent val="0"/>
          <c:showBubbleSize val="0"/>
        </c:dLbls>
        <c:gapWidth val="150"/>
        <c:overlap val="100"/>
        <c:axId val="475142888"/>
        <c:axId val="475143280"/>
      </c:barChart>
      <c:catAx>
        <c:axId val="475142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Période</a:t>
                </a:r>
              </a:p>
            </c:rich>
          </c:tx>
          <c:layout>
            <c:manualLayout>
              <c:xMode val="edge"/>
              <c:yMode val="edge"/>
              <c:x val="0.75849701841663097"/>
              <c:y val="0.874168216410134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75143280"/>
        <c:crosses val="autoZero"/>
        <c:auto val="1"/>
        <c:lblAlgn val="ctr"/>
        <c:lblOffset val="100"/>
        <c:tickLblSkip val="1"/>
        <c:tickMarkSkip val="1"/>
        <c:noMultiLvlLbl val="0"/>
      </c:catAx>
      <c:valAx>
        <c:axId val="4751432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1.0476504244500799E-2"/>
              <c:y val="0.424737334968807"/>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Arial"/>
                <a:ea typeface="Arial"/>
                <a:cs typeface="Arial"/>
              </a:defRPr>
            </a:pPr>
            <a:endParaRPr lang="fr-FR"/>
          </a:p>
        </c:txPr>
        <c:crossAx val="475142888"/>
        <c:crosses val="autoZero"/>
        <c:crossBetween val="between"/>
      </c:valAx>
      <c:spPr>
        <a:solidFill>
          <a:srgbClr val="C0C0C0"/>
        </a:solidFill>
        <a:ln w="12700">
          <a:solidFill>
            <a:srgbClr val="808080"/>
          </a:solidFill>
          <a:prstDash val="solid"/>
        </a:ln>
      </c:spPr>
    </c:plotArea>
    <c:legend>
      <c:legendPos val="r"/>
      <c:layout>
        <c:manualLayout>
          <c:xMode val="edge"/>
          <c:yMode val="edge"/>
          <c:x val="0.77749360613810803"/>
          <c:y val="0.39482325427049902"/>
          <c:w val="0.18414322250639401"/>
          <c:h val="0.184466602405069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c:v>
                </c:pt>
              </c:numCache>
            </c:numRef>
          </c:xVal>
          <c:yVal>
            <c:numRef>
              <c:f>'Chapitre 41'!#REF!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9268-49BD-8531-BC045FFAC6B3}"/>
            </c:ext>
          </c:extLst>
        </c:ser>
        <c:dLbls>
          <c:showLegendKey val="0"/>
          <c:showVal val="0"/>
          <c:showCatName val="0"/>
          <c:showSerName val="0"/>
          <c:showPercent val="0"/>
          <c:showBubbleSize val="0"/>
        </c:dLbls>
        <c:axId val="575341840"/>
        <c:axId val="575342232"/>
      </c:scatterChart>
      <c:valAx>
        <c:axId val="57534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2232"/>
        <c:crosses val="autoZero"/>
        <c:crossBetween val="midCat"/>
      </c:valAx>
      <c:valAx>
        <c:axId val="5753422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18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c:v>
                </c:pt>
              </c:numCache>
            </c:numRef>
          </c:xVal>
          <c:yVal>
            <c:numRef>
              <c:f>' Chapitre 42'!#REF!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2FED-45F0-89AB-965BE44B330D}"/>
            </c:ext>
          </c:extLst>
        </c:ser>
        <c:dLbls>
          <c:showLegendKey val="0"/>
          <c:showVal val="0"/>
          <c:showCatName val="0"/>
          <c:showSerName val="0"/>
          <c:showPercent val="0"/>
          <c:showBubbleSize val="0"/>
        </c:dLbls>
        <c:axId val="575332040"/>
        <c:axId val="575334392"/>
      </c:scatterChart>
      <c:valAx>
        <c:axId val="575332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4392"/>
        <c:crosses val="autoZero"/>
        <c:crossBetween val="midCat"/>
      </c:valAx>
      <c:valAx>
        <c:axId val="5753343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20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c:v>
                </c:pt>
              </c:numCache>
            </c:numRef>
          </c:xVal>
          <c:yVal>
            <c:numRef>
              <c:f>' Chapitre 42'!#REF!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E71C-4D9E-AF38-C797E8964D3B}"/>
            </c:ext>
          </c:extLst>
        </c:ser>
        <c:dLbls>
          <c:showLegendKey val="0"/>
          <c:showVal val="0"/>
          <c:showCatName val="0"/>
          <c:showSerName val="0"/>
          <c:showPercent val="0"/>
          <c:showBubbleSize val="0"/>
        </c:dLbls>
        <c:axId val="575335568"/>
        <c:axId val="575336744"/>
      </c:scatterChart>
      <c:valAx>
        <c:axId val="575335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6744"/>
        <c:crosses val="autoZero"/>
        <c:crossBetween val="midCat"/>
      </c:valAx>
      <c:valAx>
        <c:axId val="5753367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355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xmlns:c16r2="http://schemas.microsoft.com/office/drawing/2015/06/chart">
            <c:ext xmlns:c16="http://schemas.microsoft.com/office/drawing/2014/chart" uri="{C3380CC4-5D6E-409C-BE32-E72D297353CC}">
              <c16:uniqueId val="{00000000-4A17-4735-BBB9-AD81A66BB5B5}"/>
            </c:ext>
          </c:extLst>
        </c:ser>
        <c:dLbls>
          <c:showLegendKey val="0"/>
          <c:showVal val="0"/>
          <c:showCatName val="0"/>
          <c:showSerName val="0"/>
          <c:showPercent val="0"/>
          <c:showBubbleSize val="0"/>
        </c:dLbls>
        <c:axId val="575345760"/>
        <c:axId val="575344584"/>
      </c:scatterChart>
      <c:valAx>
        <c:axId val="575345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4584"/>
        <c:crosses val="autoZero"/>
        <c:crossBetween val="midCat"/>
      </c:valAx>
      <c:valAx>
        <c:axId val="575344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57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xmlns:c16r2="http://schemas.microsoft.com/office/drawing/2015/06/chart">
            <c:ext xmlns:c16="http://schemas.microsoft.com/office/drawing/2014/chart" uri="{C3380CC4-5D6E-409C-BE32-E72D297353CC}">
              <c16:uniqueId val="{00000000-6185-44F5-8911-4453A48F84FE}"/>
            </c:ext>
          </c:extLst>
        </c:ser>
        <c:dLbls>
          <c:showLegendKey val="0"/>
          <c:showVal val="0"/>
          <c:showCatName val="0"/>
          <c:showSerName val="0"/>
          <c:showPercent val="0"/>
          <c:showBubbleSize val="0"/>
        </c:dLbls>
        <c:axId val="575346544"/>
        <c:axId val="575346936"/>
      </c:scatterChart>
      <c:valAx>
        <c:axId val="575346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6936"/>
        <c:crosses val="autoZero"/>
        <c:crossBetween val="midCat"/>
      </c:valAx>
      <c:valAx>
        <c:axId val="575346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65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xmlns:c16r2="http://schemas.microsoft.com/office/drawing/2015/06/chart">
            <c:ext xmlns:c16="http://schemas.microsoft.com/office/drawing/2014/chart" uri="{C3380CC4-5D6E-409C-BE32-E72D297353CC}">
              <c16:uniqueId val="{00000000-6BF3-42BA-B6E0-6708C054EA03}"/>
            </c:ext>
          </c:extLst>
        </c:ser>
        <c:dLbls>
          <c:showLegendKey val="0"/>
          <c:showVal val="0"/>
          <c:showCatName val="0"/>
          <c:showSerName val="0"/>
          <c:showPercent val="0"/>
          <c:showBubbleSize val="0"/>
        </c:dLbls>
        <c:axId val="575344192"/>
        <c:axId val="575345368"/>
      </c:scatterChart>
      <c:valAx>
        <c:axId val="575344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5368"/>
        <c:crosses val="autoZero"/>
        <c:crossBetween val="midCat"/>
      </c:valAx>
      <c:valAx>
        <c:axId val="5753453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53441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xmlns:c16r2="http://schemas.microsoft.com/office/drawing/2015/06/chart">
            <c:ext xmlns:c16="http://schemas.microsoft.com/office/drawing/2014/chart" uri="{C3380CC4-5D6E-409C-BE32-E72D297353CC}">
              <c16:uniqueId val="{00000000-0059-4696-890E-38D626C84E5C}"/>
            </c:ext>
          </c:extLst>
        </c:ser>
        <c:dLbls>
          <c:showLegendKey val="0"/>
          <c:showVal val="0"/>
          <c:showCatName val="0"/>
          <c:showSerName val="0"/>
          <c:showPercent val="0"/>
          <c:showBubbleSize val="0"/>
        </c:dLbls>
        <c:axId val="576998400"/>
        <c:axId val="576994872"/>
      </c:scatterChart>
      <c:valAx>
        <c:axId val="576998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4872"/>
        <c:crosses val="autoZero"/>
        <c:crossBetween val="midCat"/>
      </c:valAx>
      <c:valAx>
        <c:axId val="576994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84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c:v>
                </c:pt>
              </c:numCache>
            </c:numRef>
          </c:xVal>
          <c:yVal>
            <c:numRef>
              <c:f>'Chapitre 45'!#REF!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7653-4FD3-8902-17E92A594C0F}"/>
            </c:ext>
          </c:extLst>
        </c:ser>
        <c:dLbls>
          <c:showLegendKey val="0"/>
          <c:showVal val="0"/>
          <c:showCatName val="0"/>
          <c:showSerName val="0"/>
          <c:showPercent val="0"/>
          <c:showBubbleSize val="0"/>
        </c:dLbls>
        <c:axId val="576993304"/>
        <c:axId val="577000752"/>
      </c:scatterChart>
      <c:valAx>
        <c:axId val="576993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7000752"/>
        <c:crosses val="autoZero"/>
        <c:crossBetween val="midCat"/>
      </c:valAx>
      <c:valAx>
        <c:axId val="5770007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33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c:v>
                </c:pt>
              </c:numCache>
            </c:numRef>
          </c:xVal>
          <c:yVal>
            <c:numRef>
              <c:f>'Chapitre 45'!#REF!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4D27-4EAB-830A-CFCABF6BD81A}"/>
            </c:ext>
          </c:extLst>
        </c:ser>
        <c:dLbls>
          <c:showLegendKey val="0"/>
          <c:showVal val="0"/>
          <c:showCatName val="0"/>
          <c:showSerName val="0"/>
          <c:showPercent val="0"/>
          <c:showBubbleSize val="0"/>
        </c:dLbls>
        <c:axId val="577003496"/>
        <c:axId val="576995264"/>
      </c:scatterChart>
      <c:valAx>
        <c:axId val="577003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5264"/>
        <c:crosses val="autoZero"/>
        <c:crossBetween val="midCat"/>
      </c:valAx>
      <c:valAx>
        <c:axId val="5769952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70034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c:v>
                </c:pt>
              </c:numCache>
            </c:numRef>
          </c:xVal>
          <c:yVal>
            <c:numRef>
              <c:f>'Chapitre 49'!#REF!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E697-47EE-AFF6-072509CA84A2}"/>
            </c:ext>
          </c:extLst>
        </c:ser>
        <c:dLbls>
          <c:showLegendKey val="0"/>
          <c:showVal val="0"/>
          <c:showCatName val="0"/>
          <c:showSerName val="0"/>
          <c:showPercent val="0"/>
          <c:showBubbleSize val="0"/>
        </c:dLbls>
        <c:axId val="576996048"/>
        <c:axId val="576992128"/>
      </c:scatterChart>
      <c:valAx>
        <c:axId val="576996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2128"/>
        <c:crosses val="autoZero"/>
        <c:crossBetween val="midCat"/>
      </c:valAx>
      <c:valAx>
        <c:axId val="576992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60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574177087584"/>
          <c:y val="5.90124491391016E-2"/>
          <c:w val="0.63487449286537301"/>
          <c:h val="0.78191495109309705"/>
        </c:manualLayout>
      </c:layout>
      <c:barChart>
        <c:barDir val="col"/>
        <c:grouping val="stacked"/>
        <c:varyColors val="0"/>
        <c:ser>
          <c:idx val="3"/>
          <c:order val="0"/>
          <c:tx>
            <c:strRef>
              <c:f>'Chapitre 20'!$D$125</c:f>
              <c:strCache>
                <c:ptCount val="1"/>
                <c:pt idx="0">
                  <c:v>Amort. du capital</c:v>
                </c:pt>
              </c:strCache>
            </c:strRef>
          </c:tx>
          <c:spPr>
            <a:solidFill>
              <a:srgbClr val="CCFFFF"/>
            </a:solidFill>
            <a:ln w="12700">
              <a:solidFill>
                <a:srgbClr val="000000"/>
              </a:solidFill>
              <a:prstDash val="solid"/>
            </a:ln>
          </c:spPr>
          <c:invertIfNegative val="0"/>
          <c:val>
            <c:numRef>
              <c:f>'Chapitre 20'!$D$126:$D$132</c:f>
              <c:numCache>
                <c:formatCode>#\ ##0.00\ _F</c:formatCode>
                <c:ptCount val="7"/>
                <c:pt idx="2">
                  <c:v>90.738</c:v>
                </c:pt>
                <c:pt idx="3">
                  <c:v>90.738</c:v>
                </c:pt>
                <c:pt idx="4">
                  <c:v>90.738</c:v>
                </c:pt>
                <c:pt idx="5">
                  <c:v>90.738</c:v>
                </c:pt>
                <c:pt idx="6">
                  <c:v>90.738</c:v>
                </c:pt>
              </c:numCache>
            </c:numRef>
          </c:val>
          <c:extLst xmlns:c16r2="http://schemas.microsoft.com/office/drawing/2015/06/chart">
            <c:ext xmlns:c16="http://schemas.microsoft.com/office/drawing/2014/chart" uri="{C3380CC4-5D6E-409C-BE32-E72D297353CC}">
              <c16:uniqueId val="{00000000-D2AD-48D9-A04A-DAB82A02286A}"/>
            </c:ext>
          </c:extLst>
        </c:ser>
        <c:ser>
          <c:idx val="4"/>
          <c:order val="1"/>
          <c:tx>
            <c:strRef>
              <c:f>'Chapitre 20'!$E$125</c:f>
              <c:strCache>
                <c:ptCount val="1"/>
                <c:pt idx="0">
                  <c:v>Intérêts</c:v>
                </c:pt>
              </c:strCache>
            </c:strRef>
          </c:tx>
          <c:spPr>
            <a:solidFill>
              <a:srgbClr val="660066"/>
            </a:solidFill>
            <a:ln w="12700">
              <a:solidFill>
                <a:srgbClr val="000000"/>
              </a:solidFill>
              <a:prstDash val="solid"/>
            </a:ln>
          </c:spPr>
          <c:invertIfNegative val="0"/>
          <c:val>
            <c:numRef>
              <c:f>'Chapitre 20'!$E$126:$E$132</c:f>
              <c:numCache>
                <c:formatCode>#\ ##0.00\ _F</c:formatCode>
                <c:ptCount val="7"/>
                <c:pt idx="2">
                  <c:v>29.489850000000001</c:v>
                </c:pt>
                <c:pt idx="3">
                  <c:v>23.59188</c:v>
                </c:pt>
                <c:pt idx="4">
                  <c:v>17.693909999999999</c:v>
                </c:pt>
                <c:pt idx="5">
                  <c:v>11.79594</c:v>
                </c:pt>
                <c:pt idx="6">
                  <c:v>5.8979699999999999</c:v>
                </c:pt>
              </c:numCache>
            </c:numRef>
          </c:val>
          <c:extLst xmlns:c16r2="http://schemas.microsoft.com/office/drawing/2015/06/chart">
            <c:ext xmlns:c16="http://schemas.microsoft.com/office/drawing/2014/chart" uri="{C3380CC4-5D6E-409C-BE32-E72D297353CC}">
              <c16:uniqueId val="{00000001-D2AD-48D9-A04A-DAB82A02286A}"/>
            </c:ext>
          </c:extLst>
        </c:ser>
        <c:dLbls>
          <c:showLegendKey val="0"/>
          <c:showVal val="0"/>
          <c:showCatName val="0"/>
          <c:showSerName val="0"/>
          <c:showPercent val="0"/>
          <c:showBubbleSize val="0"/>
        </c:dLbls>
        <c:gapWidth val="150"/>
        <c:overlap val="100"/>
        <c:axId val="475146808"/>
        <c:axId val="475147200"/>
      </c:barChart>
      <c:catAx>
        <c:axId val="47514680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Période</a:t>
                </a:r>
              </a:p>
            </c:rich>
          </c:tx>
          <c:layout>
            <c:manualLayout>
              <c:xMode val="edge"/>
              <c:yMode val="edge"/>
              <c:x val="0.75430643044619405"/>
              <c:y val="0.875351181102361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75147200"/>
        <c:crosses val="autoZero"/>
        <c:auto val="1"/>
        <c:lblAlgn val="ctr"/>
        <c:lblOffset val="100"/>
        <c:tickLblSkip val="1"/>
        <c:tickMarkSkip val="1"/>
        <c:noMultiLvlLbl val="0"/>
      </c:catAx>
      <c:valAx>
        <c:axId val="4751472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1.04763779527559E-2"/>
              <c:y val="0.42292230971128603"/>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Arial"/>
                <a:ea typeface="Arial"/>
                <a:cs typeface="Arial"/>
              </a:defRPr>
            </a:pPr>
            <a:endParaRPr lang="fr-FR"/>
          </a:p>
        </c:txPr>
        <c:crossAx val="475146808"/>
        <c:crosses val="autoZero"/>
        <c:crossBetween val="between"/>
      </c:valAx>
      <c:spPr>
        <a:solidFill>
          <a:srgbClr val="C0C0C0"/>
        </a:solidFill>
        <a:ln w="12700">
          <a:solidFill>
            <a:srgbClr val="808080"/>
          </a:solidFill>
          <a:prstDash val="solid"/>
        </a:ln>
      </c:spPr>
    </c:plotArea>
    <c:legend>
      <c:legendPos val="r"/>
      <c:layout>
        <c:manualLayout>
          <c:xMode val="edge"/>
          <c:yMode val="edge"/>
          <c:x val="0.78598799449019197"/>
          <c:y val="0.39228480590336401"/>
          <c:w val="0.188535207754536"/>
          <c:h val="0.183280606036818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c:v>
                </c:pt>
              </c:numCache>
            </c:numRef>
          </c:xVal>
          <c:yVal>
            <c:numRef>
              <c:f>'Chapitre 49'!#REF!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5BCC-4288-A76C-A09839FA63B1}"/>
            </c:ext>
          </c:extLst>
        </c:ser>
        <c:dLbls>
          <c:showLegendKey val="0"/>
          <c:showVal val="0"/>
          <c:showCatName val="0"/>
          <c:showSerName val="0"/>
          <c:showPercent val="0"/>
          <c:showBubbleSize val="0"/>
        </c:dLbls>
        <c:axId val="576999968"/>
        <c:axId val="576994480"/>
      </c:scatterChart>
      <c:valAx>
        <c:axId val="576999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4480"/>
        <c:crosses val="autoZero"/>
        <c:crossBetween val="midCat"/>
      </c:valAx>
      <c:valAx>
        <c:axId val="5769944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99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c:v>
                </c:pt>
              </c:numCache>
            </c:numRef>
          </c:xVal>
          <c:yVal>
            <c:numRef>
              <c:f>'Chapitre 51'!#REF!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221C-4FD0-96CD-4E7E89649639}"/>
            </c:ext>
          </c:extLst>
        </c:ser>
        <c:dLbls>
          <c:showLegendKey val="0"/>
          <c:showVal val="0"/>
          <c:showCatName val="0"/>
          <c:showSerName val="0"/>
          <c:showPercent val="0"/>
          <c:showBubbleSize val="0"/>
        </c:dLbls>
        <c:axId val="576996440"/>
        <c:axId val="577002712"/>
      </c:scatterChart>
      <c:valAx>
        <c:axId val="576996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7002712"/>
        <c:crosses val="autoZero"/>
        <c:crossBetween val="midCat"/>
      </c:valAx>
      <c:valAx>
        <c:axId val="5770027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64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c:v>
                </c:pt>
              </c:numCache>
            </c:numRef>
          </c:xVal>
          <c:yVal>
            <c:numRef>
              <c:f>'Chapitre 51'!#REF!</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0-4A46-4E26-8A9E-27687DD09688}"/>
            </c:ext>
          </c:extLst>
        </c:ser>
        <c:dLbls>
          <c:showLegendKey val="0"/>
          <c:showVal val="0"/>
          <c:showCatName val="0"/>
          <c:showSerName val="0"/>
          <c:showPercent val="0"/>
          <c:showBubbleSize val="0"/>
        </c:dLbls>
        <c:axId val="576991736"/>
        <c:axId val="576992520"/>
      </c:scatterChart>
      <c:valAx>
        <c:axId val="576991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2520"/>
        <c:crosses val="autoZero"/>
        <c:crossBetween val="midCat"/>
      </c:valAx>
      <c:valAx>
        <c:axId val="576992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17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40705563093601"/>
          <c:y val="9.6153846153846201E-2"/>
          <c:w val="0.86974219810040698"/>
          <c:h val="0.72692307692307701"/>
        </c:manualLayout>
      </c:layout>
      <c:scatterChart>
        <c:scatterStyle val="smoothMarker"/>
        <c:varyColors val="0"/>
        <c:ser>
          <c:idx val="18"/>
          <c:order val="0"/>
          <c:tx>
            <c:strRef>
              <c:f>'Chapitre 52'!$A$60</c:f>
              <c:strCache>
                <c:ptCount val="1"/>
                <c:pt idx="0">
                  <c:v>VAN</c:v>
                </c:pt>
              </c:strCache>
            </c:strRef>
          </c:tx>
          <c:spPr>
            <a:ln w="25400">
              <a:solidFill>
                <a:srgbClr val="FFCC00"/>
              </a:solidFill>
              <a:prstDash val="solid"/>
            </a:ln>
          </c:spPr>
          <c:marker>
            <c:symbol val="diamond"/>
            <c:size val="5"/>
            <c:spPr>
              <a:solidFill>
                <a:srgbClr val="FFCC00"/>
              </a:solidFill>
              <a:ln>
                <a:solidFill>
                  <a:srgbClr val="FFCC00"/>
                </a:solidFill>
                <a:prstDash val="solid"/>
              </a:ln>
            </c:spPr>
          </c:marker>
          <c:xVal>
            <c:numRef>
              <c:f>'Chapitre 52'!$B$45:$F$45</c:f>
              <c:numCache>
                <c:formatCode>General</c:formatCode>
                <c:ptCount val="5"/>
                <c:pt idx="0">
                  <c:v>0</c:v>
                </c:pt>
                <c:pt idx="1">
                  <c:v>15</c:v>
                </c:pt>
                <c:pt idx="2">
                  <c:v>30</c:v>
                </c:pt>
                <c:pt idx="3">
                  <c:v>45</c:v>
                </c:pt>
                <c:pt idx="4">
                  <c:v>60</c:v>
                </c:pt>
              </c:numCache>
            </c:numRef>
          </c:xVal>
          <c:yVal>
            <c:numRef>
              <c:f>'Chapitre 52'!$B$60:$F$60</c:f>
              <c:numCache>
                <c:formatCode>0.00</c:formatCode>
                <c:ptCount val="5"/>
                <c:pt idx="0">
                  <c:v>0</c:v>
                </c:pt>
                <c:pt idx="1">
                  <c:v>9.521739130434753</c:v>
                </c:pt>
                <c:pt idx="2">
                  <c:v>25.260393873085377</c:v>
                </c:pt>
                <c:pt idx="3">
                  <c:v>5.7513368983957207</c:v>
                </c:pt>
                <c:pt idx="4">
                  <c:v>-0.4675066312997842</c:v>
                </c:pt>
              </c:numCache>
            </c:numRef>
          </c:yVal>
          <c:smooth val="1"/>
          <c:extLst xmlns:c16r2="http://schemas.microsoft.com/office/drawing/2015/06/chart">
            <c:ext xmlns:c16="http://schemas.microsoft.com/office/drawing/2014/chart" uri="{C3380CC4-5D6E-409C-BE32-E72D297353CC}">
              <c16:uniqueId val="{00000000-22E9-4C6A-85D6-4724D7D98C6D}"/>
            </c:ext>
          </c:extLst>
        </c:ser>
        <c:dLbls>
          <c:showLegendKey val="0"/>
          <c:showVal val="0"/>
          <c:showCatName val="0"/>
          <c:showSerName val="0"/>
          <c:showPercent val="0"/>
          <c:showBubbleSize val="0"/>
        </c:dLbls>
        <c:axId val="576996832"/>
        <c:axId val="576999184"/>
      </c:scatterChart>
      <c:valAx>
        <c:axId val="5769968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725907223553602"/>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76999184"/>
        <c:crosses val="autoZero"/>
        <c:crossBetween val="midCat"/>
      </c:valAx>
      <c:valAx>
        <c:axId val="5769991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2.1709602875727499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769968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3446404341899"/>
          <c:y val="9.6153846153846201E-2"/>
          <c:w val="0.86431478968792397"/>
          <c:h val="0.72692307692307701"/>
        </c:manualLayout>
      </c:layout>
      <c:scatterChart>
        <c:scatterStyle val="smoothMarker"/>
        <c:varyColors val="0"/>
        <c:ser>
          <c:idx val="14"/>
          <c:order val="0"/>
          <c:tx>
            <c:strRef>
              <c:f>'Chapitre 52'!$A$97</c:f>
              <c:strCache>
                <c:ptCount val="1"/>
                <c:pt idx="0">
                  <c:v>VAN</c:v>
                </c:pt>
              </c:strCache>
            </c:strRef>
          </c:tx>
          <c:spPr>
            <a:ln w="25400">
              <a:solidFill>
                <a:srgbClr val="FFCC00"/>
              </a:solidFill>
              <a:prstDash val="solid"/>
            </a:ln>
          </c:spPr>
          <c:marker>
            <c:symbol val="circle"/>
            <c:size val="5"/>
            <c:spPr>
              <a:solidFill>
                <a:srgbClr val="FFCC00"/>
              </a:solidFill>
              <a:ln>
                <a:solidFill>
                  <a:srgbClr val="FFCC00"/>
                </a:solidFill>
                <a:prstDash val="solid"/>
              </a:ln>
            </c:spPr>
          </c:marker>
          <c:xVal>
            <c:numRef>
              <c:f>'Chapitre 52'!$B$83:$F$83</c:f>
              <c:numCache>
                <c:formatCode>General</c:formatCode>
                <c:ptCount val="5"/>
                <c:pt idx="0">
                  <c:v>0</c:v>
                </c:pt>
                <c:pt idx="1">
                  <c:v>15</c:v>
                </c:pt>
                <c:pt idx="2">
                  <c:v>30</c:v>
                </c:pt>
                <c:pt idx="3">
                  <c:v>45</c:v>
                </c:pt>
                <c:pt idx="4">
                  <c:v>60</c:v>
                </c:pt>
              </c:numCache>
            </c:numRef>
          </c:xVal>
          <c:yVal>
            <c:numRef>
              <c:f>'Chapitre 52'!$B$97:$F$97</c:f>
              <c:numCache>
                <c:formatCode>0.00</c:formatCode>
                <c:ptCount val="5"/>
                <c:pt idx="0">
                  <c:v>0</c:v>
                </c:pt>
                <c:pt idx="1">
                  <c:v>-10.513253924361607</c:v>
                </c:pt>
                <c:pt idx="2">
                  <c:v>-15.083758667871507</c:v>
                </c:pt>
                <c:pt idx="3">
                  <c:v>-23.986439994709713</c:v>
                </c:pt>
                <c:pt idx="4">
                  <c:v>-40.137640859933867</c:v>
                </c:pt>
              </c:numCache>
            </c:numRef>
          </c:yVal>
          <c:smooth val="1"/>
          <c:extLst xmlns:c16r2="http://schemas.microsoft.com/office/drawing/2015/06/chart">
            <c:ext xmlns:c16="http://schemas.microsoft.com/office/drawing/2014/chart" uri="{C3380CC4-5D6E-409C-BE32-E72D297353CC}">
              <c16:uniqueId val="{00000000-C8F4-44D4-A0C8-15BB64A0ED94}"/>
            </c:ext>
          </c:extLst>
        </c:ser>
        <c:dLbls>
          <c:showLegendKey val="0"/>
          <c:showVal val="0"/>
          <c:showCatName val="0"/>
          <c:showSerName val="0"/>
          <c:showPercent val="0"/>
          <c:showBubbleSize val="0"/>
        </c:dLbls>
        <c:axId val="577001928"/>
        <c:axId val="576998792"/>
      </c:scatterChart>
      <c:valAx>
        <c:axId val="57700192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997289740956299"/>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76998792"/>
        <c:crosses val="autoZero"/>
        <c:crossBetween val="midCat"/>
      </c:valAx>
      <c:valAx>
        <c:axId val="5769987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2.1709602875727499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770019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c:v>
                </c:pt>
              </c:numCache>
            </c:numRef>
          </c:xVal>
          <c:yVal>
            <c:numRef>
              <c:f>' Chapitre 54'!#REF!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3F46-46ED-B207-8C2233A329D5}"/>
            </c:ext>
          </c:extLst>
        </c:ser>
        <c:dLbls>
          <c:showLegendKey val="0"/>
          <c:showVal val="0"/>
          <c:showCatName val="0"/>
          <c:showSerName val="0"/>
          <c:showPercent val="0"/>
          <c:showBubbleSize val="0"/>
        </c:dLbls>
        <c:axId val="576999576"/>
        <c:axId val="576992912"/>
      </c:scatterChart>
      <c:valAx>
        <c:axId val="57699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2912"/>
        <c:crosses val="autoZero"/>
        <c:crossBetween val="midCat"/>
      </c:valAx>
      <c:valAx>
        <c:axId val="5769929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69995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c:v>
                </c:pt>
              </c:numCache>
            </c:numRef>
          </c:xVal>
          <c:yVal>
            <c:numRef>
              <c:f>' Chapitre 54'!#REF!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4D69-49BD-B910-C4302B8243AF}"/>
            </c:ext>
          </c:extLst>
        </c:ser>
        <c:dLbls>
          <c:showLegendKey val="0"/>
          <c:showVal val="0"/>
          <c:showCatName val="0"/>
          <c:showSerName val="0"/>
          <c:showPercent val="0"/>
          <c:showBubbleSize val="0"/>
        </c:dLbls>
        <c:axId val="577006632"/>
        <c:axId val="577006240"/>
      </c:scatterChart>
      <c:valAx>
        <c:axId val="577006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7006240"/>
        <c:crosses val="autoZero"/>
        <c:crossBetween val="midCat"/>
      </c:valAx>
      <c:valAx>
        <c:axId val="5770062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770066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Portefeuille H,C</a:t>
            </a:r>
          </a:p>
        </c:rich>
      </c:tx>
      <c:layout>
        <c:manualLayout>
          <c:xMode val="edge"/>
          <c:yMode val="edge"/>
          <c:x val="0.39602210049830699"/>
          <c:y val="3.9215686274509803E-2"/>
        </c:manualLayout>
      </c:layout>
      <c:overlay val="0"/>
      <c:spPr>
        <a:noFill/>
        <a:ln w="25400">
          <a:noFill/>
        </a:ln>
      </c:spPr>
    </c:title>
    <c:autoTitleDeleted val="0"/>
    <c:plotArea>
      <c:layout>
        <c:manualLayout>
          <c:layoutTarget val="inner"/>
          <c:xMode val="edge"/>
          <c:yMode val="edge"/>
          <c:x val="0.16636542718466299"/>
          <c:y val="0.25098135332932497"/>
          <c:w val="0.76672762093801305"/>
          <c:h val="0.48627637207556701"/>
        </c:manualLayout>
      </c:layout>
      <c:scatterChart>
        <c:scatterStyle val="smoothMarker"/>
        <c:varyColors val="0"/>
        <c:ser>
          <c:idx val="0"/>
          <c:order val="0"/>
          <c:tx>
            <c:strRef>
              <c:f>'Chapitre 22'!$A$27</c:f>
              <c:strCache>
                <c:ptCount val="1"/>
                <c:pt idx="0">
                  <c:v>E(r H,C)</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22'!$B$26:$L$26</c:f>
              <c:numCache>
                <c:formatCode>0.00%</c:formatCode>
                <c:ptCount val="11"/>
                <c:pt idx="0">
                  <c:v>0.1</c:v>
                </c:pt>
                <c:pt idx="1">
                  <c:v>9.6472794092427955E-2</c:v>
                </c:pt>
                <c:pt idx="2">
                  <c:v>9.57257260831504E-2</c:v>
                </c:pt>
                <c:pt idx="3">
                  <c:v>9.8198777996470005E-2</c:v>
                </c:pt>
                <c:pt idx="4">
                  <c:v>0.10330537256115968</c:v>
                </c:pt>
                <c:pt idx="5">
                  <c:v>0.1107925990308017</c:v>
                </c:pt>
                <c:pt idx="6">
                  <c:v>0.12021647141718976</c:v>
                </c:pt>
                <c:pt idx="7">
                  <c:v>0.13116020738013492</c:v>
                </c:pt>
                <c:pt idx="8">
                  <c:v>0.14327595750857858</c:v>
                </c:pt>
                <c:pt idx="9">
                  <c:v>0.15629139451678076</c:v>
                </c:pt>
                <c:pt idx="10">
                  <c:v>0.17</c:v>
                </c:pt>
              </c:numCache>
            </c:numRef>
          </c:xVal>
          <c:yVal>
            <c:numRef>
              <c:f>'Chapitre 22'!$B$27:$L$27</c:f>
              <c:numCache>
                <c:formatCode>0.00%</c:formatCode>
                <c:ptCount val="11"/>
                <c:pt idx="0">
                  <c:v>0.06</c:v>
                </c:pt>
                <c:pt idx="1">
                  <c:v>6.7000000000000004E-2</c:v>
                </c:pt>
                <c:pt idx="2">
                  <c:v>7.1951219512195116E-2</c:v>
                </c:pt>
                <c:pt idx="3">
                  <c:v>8.0999999999999989E-2</c:v>
                </c:pt>
                <c:pt idx="4">
                  <c:v>8.7999999999999995E-2</c:v>
                </c:pt>
                <c:pt idx="5">
                  <c:v>9.5000000000000001E-2</c:v>
                </c:pt>
                <c:pt idx="6">
                  <c:v>0.10200000000000001</c:v>
                </c:pt>
                <c:pt idx="7">
                  <c:v>0.109</c:v>
                </c:pt>
                <c:pt idx="8">
                  <c:v>0.11600000000000001</c:v>
                </c:pt>
                <c:pt idx="9">
                  <c:v>0.123</c:v>
                </c:pt>
                <c:pt idx="10">
                  <c:v>0.13</c:v>
                </c:pt>
              </c:numCache>
            </c:numRef>
          </c:yVal>
          <c:smooth val="1"/>
          <c:extLst xmlns:c16r2="http://schemas.microsoft.com/office/drawing/2015/06/chart">
            <c:ext xmlns:c16="http://schemas.microsoft.com/office/drawing/2014/chart" uri="{C3380CC4-5D6E-409C-BE32-E72D297353CC}">
              <c16:uniqueId val="{00000000-1E2D-4351-A41B-5BDF1F67045D}"/>
            </c:ext>
          </c:extLst>
        </c:ser>
        <c:dLbls>
          <c:showLegendKey val="0"/>
          <c:showVal val="0"/>
          <c:showCatName val="0"/>
          <c:showSerName val="0"/>
          <c:showPercent val="0"/>
          <c:showBubbleSize val="0"/>
        </c:dLbls>
        <c:axId val="475142104"/>
        <c:axId val="475140144"/>
      </c:scatterChart>
      <c:valAx>
        <c:axId val="47514210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925" b="1" i="0" u="none" strike="noStrike" baseline="0">
                    <a:solidFill>
                      <a:srgbClr val="000000"/>
                    </a:solidFill>
                    <a:latin typeface="Arial"/>
                    <a:cs typeface="Arial"/>
                  </a:rPr>
                  <a:t>σ H,C</a:t>
                </a:r>
              </a:p>
            </c:rich>
          </c:tx>
          <c:layout>
            <c:manualLayout>
              <c:xMode val="edge"/>
              <c:yMode val="edge"/>
              <c:x val="0.52079615048118999"/>
              <c:y val="0.854905254490248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475140144"/>
        <c:crosses val="autoZero"/>
        <c:crossBetween val="midCat"/>
      </c:valAx>
      <c:valAx>
        <c:axId val="47514014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E(r H,C)</a:t>
                </a:r>
              </a:p>
            </c:rich>
          </c:tx>
          <c:layout>
            <c:manualLayout>
              <c:xMode val="edge"/>
              <c:yMode val="edge"/>
              <c:x val="2.8933013808056601E-2"/>
              <c:y val="0.407844784107869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4751421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3829401088929"/>
          <c:y val="3.636387842824000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fr-FR"/>
        </a:p>
      </c:txPr>
    </c:title>
    <c:autoTitleDeleted val="0"/>
    <c:plotArea>
      <c:layout>
        <c:manualLayout>
          <c:layoutTarget val="inner"/>
          <c:xMode val="edge"/>
          <c:yMode val="edge"/>
          <c:x val="0.17241379310344801"/>
          <c:y val="0.218181818181818"/>
          <c:w val="0.75862068965517304"/>
          <c:h val="0.530909090909091"/>
        </c:manualLayout>
      </c:layout>
      <c:scatterChart>
        <c:scatterStyle val="smoothMarker"/>
        <c:varyColors val="0"/>
        <c:ser>
          <c:idx val="0"/>
          <c:order val="0"/>
          <c:tx>
            <c:strRef>
              <c:f>'Chapitre 22'!$A$56</c:f>
              <c:strCache>
                <c:ptCount val="1"/>
                <c:pt idx="0">
                  <c:v>Rentabilité attendue</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22'!$C$55:$H$55</c:f>
              <c:numCache>
                <c:formatCode>0.00%</c:formatCode>
                <c:ptCount val="6"/>
                <c:pt idx="0">
                  <c:v>0.15</c:v>
                </c:pt>
                <c:pt idx="1">
                  <c:v>0.14523687548277814</c:v>
                </c:pt>
                <c:pt idx="2">
                  <c:v>0.15</c:v>
                </c:pt>
                <c:pt idx="3">
                  <c:v>0.18371173070873834</c:v>
                </c:pt>
                <c:pt idx="4">
                  <c:v>0.23717082451262844</c:v>
                </c:pt>
                <c:pt idx="5">
                  <c:v>0.3</c:v>
                </c:pt>
              </c:numCache>
            </c:numRef>
          </c:xVal>
          <c:yVal>
            <c:numRef>
              <c:f>'Chapitre 22'!$C$56:$H$56</c:f>
              <c:numCache>
                <c:formatCode>0.00%</c:formatCode>
                <c:ptCount val="6"/>
                <c:pt idx="0">
                  <c:v>0.1</c:v>
                </c:pt>
                <c:pt idx="1">
                  <c:v>0.11250000000000002</c:v>
                </c:pt>
                <c:pt idx="2">
                  <c:v>0.125</c:v>
                </c:pt>
                <c:pt idx="3">
                  <c:v>0.15000000000000002</c:v>
                </c:pt>
                <c:pt idx="4">
                  <c:v>0.17500000000000002</c:v>
                </c:pt>
                <c:pt idx="5">
                  <c:v>0.2</c:v>
                </c:pt>
              </c:numCache>
            </c:numRef>
          </c:yVal>
          <c:smooth val="1"/>
          <c:extLst xmlns:c16r2="http://schemas.microsoft.com/office/drawing/2015/06/chart">
            <c:ext xmlns:c16="http://schemas.microsoft.com/office/drawing/2014/chart" uri="{C3380CC4-5D6E-409C-BE32-E72D297353CC}">
              <c16:uniqueId val="{00000000-5558-4AD6-94A2-5F0A3F8B0B89}"/>
            </c:ext>
          </c:extLst>
        </c:ser>
        <c:dLbls>
          <c:showLegendKey val="0"/>
          <c:showVal val="0"/>
          <c:showCatName val="0"/>
          <c:showSerName val="0"/>
          <c:showPercent val="0"/>
          <c:showBubbleSize val="0"/>
        </c:dLbls>
        <c:axId val="475144064"/>
        <c:axId val="475145632"/>
      </c:scatterChart>
      <c:valAx>
        <c:axId val="47514406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Ecart-type</a:t>
                </a:r>
              </a:p>
            </c:rich>
          </c:tx>
          <c:layout>
            <c:manualLayout>
              <c:xMode val="edge"/>
              <c:yMode val="edge"/>
              <c:x val="0.49183303085299501"/>
              <c:y val="0.8618182509794970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475145632"/>
        <c:crosses val="autoZero"/>
        <c:crossBetween val="midCat"/>
      </c:valAx>
      <c:valAx>
        <c:axId val="47514563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Rentabilité attendue</a:t>
                </a:r>
              </a:p>
            </c:rich>
          </c:tx>
          <c:layout>
            <c:manualLayout>
              <c:xMode val="edge"/>
              <c:yMode val="edge"/>
              <c:x val="2.9038112522686E-2"/>
              <c:y val="0.243636121571760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4751440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c:v>
                </c:pt>
              </c:numCache>
            </c:numRef>
          </c:xVal>
          <c:yVal>
            <c:numRef>
              <c:f>'Chapitre 23'!#REF!</c:f>
              <c:numCache>
                <c:formatCode>General</c:formatCode>
                <c:ptCount val="1"/>
                <c:pt idx="0">
                  <c:v>1</c:v>
                </c:pt>
              </c:numCache>
            </c:numRef>
          </c:yVal>
          <c:smooth val="1"/>
          <c:extLst xmlns:c16r2="http://schemas.microsoft.com/office/drawing/2015/06/chart">
            <c:ext xmlns:c16="http://schemas.microsoft.com/office/drawing/2014/chart" uri="{C3380CC4-5D6E-409C-BE32-E72D297353CC}">
              <c16:uniqueId val="{00000000-CF1D-4271-8E06-E83E6A72D07D}"/>
            </c:ext>
          </c:extLst>
        </c:ser>
        <c:dLbls>
          <c:showLegendKey val="0"/>
          <c:showVal val="0"/>
          <c:showCatName val="0"/>
          <c:showSerName val="0"/>
          <c:showPercent val="0"/>
          <c:showBubbleSize val="0"/>
        </c:dLbls>
        <c:axId val="475141712"/>
        <c:axId val="475146416"/>
      </c:scatterChart>
      <c:valAx>
        <c:axId val="47514171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1800" b="0" i="0" u="none" strike="noStrike" baseline="0">
                    <a:solidFill>
                      <a:srgbClr val="000000"/>
                    </a:solidFill>
                    <a:latin typeface="Calibri"/>
                  </a:rPr>
                  <a:t>σ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146416"/>
        <c:crosses val="autoZero"/>
        <c:crossBetween val="midCat"/>
      </c:valAx>
      <c:valAx>
        <c:axId val="475146416"/>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E(r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4751417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5</xdr:col>
      <xdr:colOff>120650</xdr:colOff>
      <xdr:row>19</xdr:row>
      <xdr:rowOff>9525</xdr:rowOff>
    </xdr:from>
    <xdr:to>
      <xdr:col>9</xdr:col>
      <xdr:colOff>711035</xdr:colOff>
      <xdr:row>22</xdr:row>
      <xdr:rowOff>82585</xdr:rowOff>
    </xdr:to>
    <xdr:sp macro="" textlink="">
      <xdr:nvSpPr>
        <xdr:cNvPr id="3073" name="Text Box 1"/>
        <xdr:cNvSpPr txBox="1">
          <a:spLocks noChangeArrowheads="1"/>
        </xdr:cNvSpPr>
      </xdr:nvSpPr>
      <xdr:spPr bwMode="auto">
        <a:xfrm>
          <a:off x="3438525" y="3267075"/>
          <a:ext cx="3724275" cy="552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M détient 80% de S: intégration globale</a:t>
          </a:r>
        </a:p>
        <a:p>
          <a:pPr algn="l" rtl="0">
            <a:defRPr sz="1000"/>
          </a:pPr>
          <a:r>
            <a:rPr lang="fr-FR" sz="1000" b="0" i="0" u="none" strike="noStrike" baseline="0">
              <a:solidFill>
                <a:srgbClr val="000000"/>
              </a:solidFill>
              <a:latin typeface="Verdana"/>
            </a:rPr>
            <a:t>M détient 50% de S: intégration proportionnelle</a:t>
          </a:r>
        </a:p>
        <a:p>
          <a:pPr algn="l" rtl="0">
            <a:defRPr sz="1000"/>
          </a:pPr>
          <a:r>
            <a:rPr lang="fr-FR" sz="1000" b="0" i="0" u="none" strike="noStrike" baseline="0">
              <a:solidFill>
                <a:srgbClr val="000000"/>
              </a:solidFill>
              <a:latin typeface="Verdana"/>
            </a:rPr>
            <a:t>M détient 20% de S: intégration par mise en équivalence</a:t>
          </a:r>
        </a:p>
      </xdr:txBody>
    </xdr:sp>
    <xdr:clientData/>
  </xdr:twoCellAnchor>
  <xdr:twoCellAnchor>
    <xdr:from>
      <xdr:col>0</xdr:col>
      <xdr:colOff>546100</xdr:colOff>
      <xdr:row>55</xdr:row>
      <xdr:rowOff>130175</xdr:rowOff>
    </xdr:from>
    <xdr:to>
      <xdr:col>6</xdr:col>
      <xdr:colOff>120580</xdr:colOff>
      <xdr:row>68</xdr:row>
      <xdr:rowOff>158750</xdr:rowOff>
    </xdr:to>
    <xdr:sp macro="" textlink="">
      <xdr:nvSpPr>
        <xdr:cNvPr id="3074" name="Text Box 2"/>
        <xdr:cNvSpPr txBox="1">
          <a:spLocks noChangeArrowheads="1"/>
        </xdr:cNvSpPr>
      </xdr:nvSpPr>
      <xdr:spPr bwMode="auto">
        <a:xfrm>
          <a:off x="495300" y="9553575"/>
          <a:ext cx="5010150" cy="2133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Verdana"/>
            </a:rPr>
            <a:t>. Pour consolider F, H utilise l'intégration globale car H contrôle F (H détient 56% de F).</a:t>
          </a:r>
        </a:p>
        <a:p>
          <a:pPr algn="l" rtl="0">
            <a:defRPr sz="1000"/>
          </a:pPr>
          <a:endParaRPr lang="fr-FR" sz="1000" b="0" i="0" u="none" strike="noStrike" baseline="0">
            <a:solidFill>
              <a:srgbClr val="000000"/>
            </a:solidFill>
            <a:latin typeface="Verdana"/>
          </a:endParaRPr>
        </a:p>
        <a:p>
          <a:pPr algn="l" rtl="0">
            <a:defRPr sz="1000"/>
          </a:pPr>
          <a:r>
            <a:rPr lang="fr-FR" sz="1000" b="0" i="0" u="none" strike="noStrike" baseline="0">
              <a:solidFill>
                <a:srgbClr val="000000"/>
              </a:solidFill>
              <a:latin typeface="Verdana"/>
            </a:rPr>
            <a:t>. Pour consolider H, V utilise l'intégration proportionnelle car V partage le contrôe de H avec K (50% / 50%).</a:t>
          </a:r>
        </a:p>
        <a:p>
          <a:pPr algn="l" rtl="0">
            <a:defRPr sz="1000"/>
          </a:pPr>
          <a:endParaRPr lang="fr-FR" sz="1000" b="0" i="0" u="none" strike="noStrike" baseline="0">
            <a:solidFill>
              <a:srgbClr val="000000"/>
            </a:solidFill>
            <a:latin typeface="Verdana"/>
          </a:endParaRPr>
        </a:p>
        <a:p>
          <a:pPr algn="l" rtl="0">
            <a:lnSpc>
              <a:spcPts val="1100"/>
            </a:lnSpc>
            <a:defRPr sz="1000"/>
          </a:pPr>
          <a:r>
            <a:rPr lang="fr-FR" sz="1000" b="0" i="0" u="none" strike="noStrike" baseline="0">
              <a:solidFill>
                <a:srgbClr val="000000"/>
              </a:solidFill>
              <a:latin typeface="Verdana"/>
            </a:rPr>
            <a:t>. Si le résultat net de F est de 100, H en constatera 100 dans ses comptes dont 44 en minoritaires et V en constatera 50 dans ses comptes dont 50% x 56% = 28 en part du groupe et 50% x 44 = 22 en minoritaires.</a:t>
          </a:r>
        </a:p>
        <a:p>
          <a:pPr algn="l" rtl="0">
            <a:defRPr sz="1000"/>
          </a:pPr>
          <a:endParaRPr lang="fr-FR" sz="1000" b="0" i="0" u="none" strike="noStrike" baseline="0">
            <a:solidFill>
              <a:srgbClr val="000000"/>
            </a:solidFill>
            <a:latin typeface="Verdana"/>
          </a:endParaRPr>
        </a:p>
        <a:p>
          <a:pPr algn="l" rtl="0">
            <a:lnSpc>
              <a:spcPts val="1100"/>
            </a:lnSpc>
            <a:defRPr sz="1000"/>
          </a:pPr>
          <a:r>
            <a:rPr lang="fr-FR" sz="1000" b="0" i="0" u="none" strike="noStrike" baseline="0">
              <a:solidFill>
                <a:srgbClr val="000000"/>
              </a:solidFill>
              <a:latin typeface="Verdana"/>
            </a:rPr>
            <a:t>Mais avec les nouvelles normes IFRS, suivant la gouvernance dans la société H, V pourrait à l'avenir être contraint de consolidé H par mise en équivalence.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4577"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8"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9"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853205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853205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504825</xdr:colOff>
      <xdr:row>0</xdr:row>
      <xdr:rowOff>0</xdr:rowOff>
    </xdr:from>
    <xdr:to>
      <xdr:col>5</xdr:col>
      <xdr:colOff>339858</xdr:colOff>
      <xdr:row>0</xdr:row>
      <xdr:rowOff>0</xdr:rowOff>
    </xdr:to>
    <xdr:sp macro="" textlink="">
      <xdr:nvSpPr>
        <xdr:cNvPr id="24582" name="Text Box 6"/>
        <xdr:cNvSpPr txBox="1">
          <a:spLocks noChangeArrowheads="1"/>
        </xdr:cNvSpPr>
      </xdr:nvSpPr>
      <xdr:spPr bwMode="auto">
        <a:xfrm>
          <a:off x="3171825" y="0"/>
          <a:ext cx="23622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attention, il s'agit de le déduire des impôts et non du revenu avant impôt… (ce qui a encore moins de chance d'être voté !)</a:t>
          </a:r>
        </a:p>
      </xdr:txBody>
    </xdr:sp>
    <xdr:clientData/>
  </xdr:twoCellAnchor>
  <xdr:twoCellAnchor>
    <xdr:from>
      <xdr:col>2</xdr:col>
      <xdr:colOff>466725</xdr:colOff>
      <xdr:row>0</xdr:row>
      <xdr:rowOff>0</xdr:rowOff>
    </xdr:from>
    <xdr:to>
      <xdr:col>4</xdr:col>
      <xdr:colOff>710990</xdr:colOff>
      <xdr:row>0</xdr:row>
      <xdr:rowOff>0</xdr:rowOff>
    </xdr:to>
    <xdr:sp macro="" textlink="">
      <xdr:nvSpPr>
        <xdr:cNvPr id="24583" name="Text Box 7"/>
        <xdr:cNvSpPr txBox="1">
          <a:spLocks noChangeArrowheads="1"/>
        </xdr:cNvSpPr>
      </xdr:nvSpPr>
      <xdr:spPr bwMode="auto">
        <a:xfrm>
          <a:off x="3133725" y="0"/>
          <a:ext cx="18954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Léger écart</a:t>
          </a:r>
        </a:p>
      </xdr:txBody>
    </xdr:sp>
    <xdr:clientData/>
  </xdr:twoCellAnchor>
  <xdr:twoCellAnchor>
    <xdr:from>
      <xdr:col>6</xdr:col>
      <xdr:colOff>476250</xdr:colOff>
      <xdr:row>48</xdr:row>
      <xdr:rowOff>69850</xdr:rowOff>
    </xdr:from>
    <xdr:to>
      <xdr:col>11</xdr:col>
      <xdr:colOff>196850</xdr:colOff>
      <xdr:row>57</xdr:row>
      <xdr:rowOff>120650</xdr:rowOff>
    </xdr:to>
    <xdr:graphicFrame macro="">
      <xdr:nvGraphicFramePr>
        <xdr:cNvPr id="8532062"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5601"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2"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3"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643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6435"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584200</xdr:colOff>
      <xdr:row>1</xdr:row>
      <xdr:rowOff>130175</xdr:rowOff>
    </xdr:from>
    <xdr:to>
      <xdr:col>4</xdr:col>
      <xdr:colOff>339700</xdr:colOff>
      <xdr:row>6</xdr:row>
      <xdr:rowOff>9658</xdr:rowOff>
    </xdr:to>
    <xdr:sp macro="" textlink="">
      <xdr:nvSpPr>
        <xdr:cNvPr id="25608" name="Text Box 8"/>
        <xdr:cNvSpPr txBox="1">
          <a:spLocks noChangeArrowheads="1"/>
        </xdr:cNvSpPr>
      </xdr:nvSpPr>
      <xdr:spPr bwMode="auto">
        <a:xfrm>
          <a:off x="533400" y="323850"/>
          <a:ext cx="3676650" cy="6762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Il s'agit d'une option d'achat à prix d'exercice nul couplé à une option de vente à prix d'exercice nul dont la valeur dépend de l'affluence au concert.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6865"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6"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7"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7559"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7560"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7105"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6"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7"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779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779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6625"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6"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7"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759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759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298450</xdr:colOff>
      <xdr:row>19</xdr:row>
      <xdr:rowOff>38100</xdr:rowOff>
    </xdr:from>
    <xdr:to>
      <xdr:col>1</xdr:col>
      <xdr:colOff>673100</xdr:colOff>
      <xdr:row>19</xdr:row>
      <xdr:rowOff>127000</xdr:rowOff>
    </xdr:to>
    <xdr:sp macro="" textlink="">
      <xdr:nvSpPr>
        <xdr:cNvPr id="27597" name="AutoShape 7"/>
        <xdr:cNvSpPr>
          <a:spLocks noChangeArrowheads="1"/>
        </xdr:cNvSpPr>
      </xdr:nvSpPr>
      <xdr:spPr bwMode="auto">
        <a:xfrm>
          <a:off x="2012950" y="32956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298450</xdr:colOff>
      <xdr:row>21</xdr:row>
      <xdr:rowOff>38100</xdr:rowOff>
    </xdr:from>
    <xdr:to>
      <xdr:col>1</xdr:col>
      <xdr:colOff>673100</xdr:colOff>
      <xdr:row>21</xdr:row>
      <xdr:rowOff>127000</xdr:rowOff>
    </xdr:to>
    <xdr:sp macro="" textlink="">
      <xdr:nvSpPr>
        <xdr:cNvPr id="27598" name="AutoShape 8"/>
        <xdr:cNvSpPr>
          <a:spLocks noChangeArrowheads="1"/>
        </xdr:cNvSpPr>
      </xdr:nvSpPr>
      <xdr:spPr bwMode="auto">
        <a:xfrm>
          <a:off x="2012950" y="36385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8129"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0"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1"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890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8903"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0721"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2"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3"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04724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047245"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69850</xdr:colOff>
      <xdr:row>97</xdr:row>
      <xdr:rowOff>12700</xdr:rowOff>
    </xdr:from>
    <xdr:to>
      <xdr:col>5</xdr:col>
      <xdr:colOff>266700</xdr:colOff>
      <xdr:row>108</xdr:row>
      <xdr:rowOff>88900</xdr:rowOff>
    </xdr:to>
    <xdr:graphicFrame macro="">
      <xdr:nvGraphicFramePr>
        <xdr:cNvPr id="6047246"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1085850</xdr:colOff>
      <xdr:row>175</xdr:row>
      <xdr:rowOff>69850</xdr:rowOff>
    </xdr:from>
    <xdr:to>
      <xdr:col>8</xdr:col>
      <xdr:colOff>889000</xdr:colOff>
      <xdr:row>187</xdr:row>
      <xdr:rowOff>82550</xdr:rowOff>
    </xdr:to>
    <xdr:graphicFrame macro="">
      <xdr:nvGraphicFramePr>
        <xdr:cNvPr id="6047247"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233</xdr:row>
      <xdr:rowOff>133350</xdr:rowOff>
    </xdr:from>
    <xdr:to>
      <xdr:col>8</xdr:col>
      <xdr:colOff>774700</xdr:colOff>
      <xdr:row>246</xdr:row>
      <xdr:rowOff>69850</xdr:rowOff>
    </xdr:to>
    <xdr:graphicFrame macro="">
      <xdr:nvGraphicFramePr>
        <xdr:cNvPr id="6047248"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876300</xdr:colOff>
      <xdr:row>132</xdr:row>
      <xdr:rowOff>50800</xdr:rowOff>
    </xdr:from>
    <xdr:to>
      <xdr:col>5</xdr:col>
      <xdr:colOff>203200</xdr:colOff>
      <xdr:row>141</xdr:row>
      <xdr:rowOff>139700</xdr:rowOff>
    </xdr:to>
    <xdr:graphicFrame macro="">
      <xdr:nvGraphicFramePr>
        <xdr:cNvPr id="6047249"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120650</xdr:colOff>
      <xdr:row>146</xdr:row>
      <xdr:rowOff>158750</xdr:rowOff>
    </xdr:from>
    <xdr:to>
      <xdr:col>5</xdr:col>
      <xdr:colOff>285682</xdr:colOff>
      <xdr:row>151</xdr:row>
      <xdr:rowOff>47652</xdr:rowOff>
    </xdr:to>
    <xdr:sp macro="" textlink="">
      <xdr:nvSpPr>
        <xdr:cNvPr id="30735" name="Text Box 15"/>
        <xdr:cNvSpPr txBox="1">
          <a:spLocks noChangeArrowheads="1"/>
        </xdr:cNvSpPr>
      </xdr:nvSpPr>
      <xdr:spPr bwMode="auto">
        <a:xfrm>
          <a:off x="3371850" y="23926800"/>
          <a:ext cx="2809875" cy="704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800"/>
            </a:lnSpc>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sachant que la construction a pris un an, seule la deuxième année a pu être consacrée à l'exploitation. Ce bilan correspond donc à 1 an d'exercice et est pris comme ref pour les suivants.</a:t>
          </a:r>
        </a:p>
      </xdr:txBody>
    </xdr:sp>
    <xdr:clientData/>
  </xdr:twoCellAnchor>
  <xdr:twoCellAnchor>
    <xdr:from>
      <xdr:col>2</xdr:col>
      <xdr:colOff>152400</xdr:colOff>
      <xdr:row>188</xdr:row>
      <xdr:rowOff>28575</xdr:rowOff>
    </xdr:from>
    <xdr:to>
      <xdr:col>5</xdr:col>
      <xdr:colOff>257158</xdr:colOff>
      <xdr:row>190</xdr:row>
      <xdr:rowOff>47625</xdr:rowOff>
    </xdr:to>
    <xdr:sp macro="" textlink="">
      <xdr:nvSpPr>
        <xdr:cNvPr id="30737" name="Text Box 17"/>
        <xdr:cNvSpPr txBox="1">
          <a:spLocks noChangeArrowheads="1"/>
        </xdr:cNvSpPr>
      </xdr:nvSpPr>
      <xdr:spPr bwMode="auto">
        <a:xfrm>
          <a:off x="3400425" y="30603825"/>
          <a:ext cx="2752725"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Si les flux ne sont pas actualisés alors le délai de récupération est de 6,3 années.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1745"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6"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7"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2579"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2580"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50800</xdr:colOff>
      <xdr:row>31</xdr:row>
      <xdr:rowOff>158750</xdr:rowOff>
    </xdr:from>
    <xdr:to>
      <xdr:col>7</xdr:col>
      <xdr:colOff>787400</xdr:colOff>
      <xdr:row>34</xdr:row>
      <xdr:rowOff>38100</xdr:rowOff>
    </xdr:to>
    <xdr:sp macro="" textlink="">
      <xdr:nvSpPr>
        <xdr:cNvPr id="32581" name="Text Box 9"/>
        <xdr:cNvSpPr txBox="1">
          <a:spLocks noChangeArrowheads="1"/>
        </xdr:cNvSpPr>
      </xdr:nvSpPr>
      <xdr:spPr bwMode="auto">
        <a:xfrm>
          <a:off x="2425700" y="6159500"/>
          <a:ext cx="5810250" cy="393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2769"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0"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1"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3600"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3601"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79375</xdr:colOff>
      <xdr:row>16</xdr:row>
      <xdr:rowOff>47625</xdr:rowOff>
    </xdr:from>
    <xdr:to>
      <xdr:col>5</xdr:col>
      <xdr:colOff>47663</xdr:colOff>
      <xdr:row>32</xdr:row>
      <xdr:rowOff>130209</xdr:rowOff>
    </xdr:to>
    <xdr:sp macro="" textlink="">
      <xdr:nvSpPr>
        <xdr:cNvPr id="32774" name="Text Box 6"/>
        <xdr:cNvSpPr txBox="1">
          <a:spLocks noChangeArrowheads="1"/>
        </xdr:cNvSpPr>
      </xdr:nvSpPr>
      <xdr:spPr bwMode="auto">
        <a:xfrm>
          <a:off x="66675" y="2857500"/>
          <a:ext cx="4600575" cy="2676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 coût de l'électrivité varie dans l'année et s'il peut ne pas être économiquement viable de faire fonctionner la centrale à tout moment, le management d'Enron se fondait sur des données historiques montrant que ponctuellement le prix de l'électricité pouvait grimper de 40$ à 7000$ certains jours de très forte consommation. La centrale pouvait alors être rentable en ne fonctionnant que quelques jours par an.</a:t>
          </a:r>
        </a:p>
        <a:p>
          <a:pPr algn="l" rtl="0">
            <a:defRPr sz="1000"/>
          </a:pPr>
          <a:endParaRPr lang="fr-FR" sz="1000" b="0" i="0" u="none" strike="noStrike" baseline="0">
            <a:solidFill>
              <a:srgbClr val="000000"/>
            </a:solidFill>
            <a:latin typeface="Verdana"/>
          </a:endParaRPr>
        </a:p>
        <a:p>
          <a:pPr algn="l" rtl="0">
            <a:lnSpc>
              <a:spcPts val="1100"/>
            </a:lnSpc>
            <a:defRPr sz="1000"/>
          </a:pPr>
          <a:r>
            <a:rPr lang="fr-FR" sz="1000" b="0" i="0" u="none" strike="noStrike" baseline="0">
              <a:solidFill>
                <a:srgbClr val="000000"/>
              </a:solidFill>
              <a:latin typeface="Verdana"/>
            </a:rPr>
            <a:t>Les limites de ce raisonnement sont la capacité de n'opérer que quelques jours par an (nécessité d'avoir la centrale parfaitement disponible, difficulté de gestion des ressources humaines, capacité de mettre en oeuvre la production suffisamment rapidement...), la très forte dépendance à la volatilité de la consommation d'électricité (et donc très fort risque pris: et si deux années de suite, l'hivers est très doux!), la capcité à maintenir réduit les coûts de maintenance lorsque la centrale ne fonctionne pas... Rien d'évident!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9937"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8"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9"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077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0775"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45</xdr:row>
      <xdr:rowOff>12700</xdr:rowOff>
    </xdr:from>
    <xdr:to>
      <xdr:col>6</xdr:col>
      <xdr:colOff>717550</xdr:colOff>
      <xdr:row>46</xdr:row>
      <xdr:rowOff>50800</xdr:rowOff>
    </xdr:to>
    <xdr:sp macro="" textlink="">
      <xdr:nvSpPr>
        <xdr:cNvPr id="40776" name="AutoShape 11"/>
        <xdr:cNvSpPr>
          <a:spLocks noChangeArrowheads="1"/>
        </xdr:cNvSpPr>
      </xdr:nvSpPr>
      <xdr:spPr bwMode="auto">
        <a:xfrm rot="-10779736">
          <a:off x="7112000" y="7702550"/>
          <a:ext cx="590550" cy="2095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94</xdr:row>
      <xdr:rowOff>85725</xdr:rowOff>
    </xdr:from>
    <xdr:to>
      <xdr:col>3</xdr:col>
      <xdr:colOff>835079</xdr:colOff>
      <xdr:row>108</xdr:row>
      <xdr:rowOff>47666</xdr:rowOff>
    </xdr:to>
    <xdr:sp macro="" textlink="">
      <xdr:nvSpPr>
        <xdr:cNvPr id="10251" name="Text Box 11"/>
        <xdr:cNvSpPr txBox="1">
          <a:spLocks noChangeArrowheads="1"/>
        </xdr:cNvSpPr>
      </xdr:nvSpPr>
      <xdr:spPr bwMode="auto">
        <a:xfrm>
          <a:off x="647700" y="16040100"/>
          <a:ext cx="4238625" cy="2209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Verdana"/>
            </a:rPr>
            <a:t>Jusqu'en 1995, Air Liquide profite d'investissements antérieurs à 1990 et dégage un flux de trésorerie d'exploitation stagnant mais largement supérieur à ses investissements. </a:t>
          </a:r>
        </a:p>
        <a:p>
          <a:pPr algn="l" rtl="0">
            <a:defRPr sz="1000"/>
          </a:pPr>
          <a:r>
            <a:rPr lang="fr-FR" sz="1000" b="0" i="0" u="none" strike="noStrike" baseline="0">
              <a:solidFill>
                <a:srgbClr val="000000"/>
              </a:solidFill>
              <a:latin typeface="Verdana"/>
            </a:rPr>
            <a:t>De 1996 à 1998, afin de retrouver une croissance, Air Liquide fait un gros effort d'investissement qui est payant puisqu'il entraîne une forte progression de ses flux de trésorerie d'exploitation.</a:t>
          </a:r>
        </a:p>
        <a:p>
          <a:pPr algn="l" rtl="0">
            <a:defRPr sz="1000"/>
          </a:pPr>
          <a:r>
            <a:rPr lang="fr-FR" sz="1000" b="0" i="0" u="none" strike="noStrike" baseline="0">
              <a:solidFill>
                <a:srgbClr val="000000"/>
              </a:solidFill>
              <a:latin typeface="Verdana"/>
            </a:rPr>
            <a:t>Cet effort fait, le groupe peut alors réduire pour quelques années (2000 à 2005) son volume d'investissements.</a:t>
          </a:r>
        </a:p>
        <a:p>
          <a:pPr algn="l" rtl="0">
            <a:defRPr sz="1000"/>
          </a:pPr>
          <a:r>
            <a:rPr lang="fr-FR" sz="1000" b="0" i="0" u="none" strike="noStrike" baseline="0">
              <a:solidFill>
                <a:srgbClr val="000000"/>
              </a:solidFill>
              <a:latin typeface="Verdana"/>
            </a:rPr>
            <a:t>Les flux de trésorerie d'exploitation stagnant à nouveau en 2002-2005, le groupe entreprend un nouveau grand programme d'investissement (investissements annuels plus que doublés) en 2006-2007 qui se traduit par une poursuite de la croissance des flux de trésorerie d'exploitation. </a:t>
          </a:r>
        </a:p>
        <a:p>
          <a:pPr algn="l" rtl="0">
            <a:defRPr sz="1000"/>
          </a:pPr>
          <a:r>
            <a:rPr lang="fr-FR" sz="1000" b="0" i="0" u="none" strike="noStrike" baseline="0">
              <a:solidFill>
                <a:srgbClr val="000000"/>
              </a:solidFill>
              <a:latin typeface="Verdana"/>
            </a:rPr>
            <a:t>Air Liquide peut alors réduire ses investissements en 2008 et 2011, avant de les relancers dans un nouveau cycle en 2012 qui se traduit par une nouvelle progression des flux de trésorerie d'exploitation.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7649"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0"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1"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834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834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8673"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867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8675"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937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9375"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9697"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8"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9"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0393"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0394"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8913"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5"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960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960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3793"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5"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448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448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4817"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8"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9"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551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5512"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5841"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2"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3"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6540"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6541"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190416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90416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36390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36390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9153"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 </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5"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998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998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593725</xdr:colOff>
      <xdr:row>20</xdr:row>
      <xdr:rowOff>0</xdr:rowOff>
    </xdr:from>
    <xdr:to>
      <xdr:col>4</xdr:col>
      <xdr:colOff>212658</xdr:colOff>
      <xdr:row>31</xdr:row>
      <xdr:rowOff>130165</xdr:rowOff>
    </xdr:to>
    <xdr:sp macro="" textlink="">
      <xdr:nvSpPr>
        <xdr:cNvPr id="49159" name="Text Box 7"/>
        <xdr:cNvSpPr txBox="1">
          <a:spLocks noChangeArrowheads="1"/>
        </xdr:cNvSpPr>
      </xdr:nvSpPr>
      <xdr:spPr bwMode="auto">
        <a:xfrm>
          <a:off x="561975" y="3295650"/>
          <a:ext cx="4019550" cy="1905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Actionnariat</a:t>
          </a:r>
        </a:p>
        <a:p>
          <a:pPr algn="l" rtl="0">
            <a:defRPr sz="1000"/>
          </a:pPr>
          <a:r>
            <a:rPr lang="fr-FR" sz="1000" b="0" i="0" u="none" strike="noStrike" baseline="0">
              <a:solidFill>
                <a:srgbClr val="000000"/>
              </a:solidFill>
              <a:latin typeface="Verdana"/>
            </a:rPr>
            <a:t>     . Stable: 2-5</a:t>
          </a:r>
        </a:p>
        <a:p>
          <a:pPr algn="l" rtl="0">
            <a:defRPr sz="1000"/>
          </a:pPr>
          <a:r>
            <a:rPr lang="fr-FR" sz="1000" b="0" i="0" u="none" strike="noStrike" baseline="0">
              <a:solidFill>
                <a:srgbClr val="000000"/>
              </a:solidFill>
              <a:latin typeface="Verdana"/>
            </a:rPr>
            <a:t>     . Instable: 1-3-4</a:t>
          </a:r>
        </a:p>
        <a:p>
          <a:pPr algn="l" rtl="0">
            <a:defRPr sz="1000"/>
          </a:pPr>
          <a:endParaRPr lang="fr-FR" sz="1000" b="0" i="0" u="none" strike="noStrike" baseline="0">
            <a:solidFill>
              <a:srgbClr val="000000"/>
            </a:solidFill>
            <a:latin typeface="Verdana"/>
          </a:endParaRPr>
        </a:p>
        <a:p>
          <a:pPr algn="l" rtl="0">
            <a:defRPr sz="1000"/>
          </a:pPr>
          <a:r>
            <a:rPr lang="fr-FR" sz="1000" b="0" i="0" u="none" strike="noStrike" baseline="0">
              <a:solidFill>
                <a:srgbClr val="000000"/>
              </a:solidFill>
              <a:latin typeface="Verdana"/>
            </a:rPr>
            <a:t>Dirigeants</a:t>
          </a:r>
        </a:p>
        <a:p>
          <a:pPr algn="l" rtl="0">
            <a:defRPr sz="1000"/>
          </a:pPr>
          <a:r>
            <a:rPr lang="fr-FR" sz="1000" b="0" i="0" u="none" strike="noStrike" baseline="0">
              <a:solidFill>
                <a:srgbClr val="000000"/>
              </a:solidFill>
              <a:latin typeface="Verdana"/>
            </a:rPr>
            <a:t>    . 1) Très contrôlé</a:t>
          </a:r>
        </a:p>
        <a:p>
          <a:pPr algn="l" rtl="0">
            <a:defRPr sz="1000"/>
          </a:pPr>
          <a:r>
            <a:rPr lang="fr-FR" sz="1000" b="0" i="0" u="none" strike="noStrike" baseline="0">
              <a:solidFill>
                <a:srgbClr val="000000"/>
              </a:solidFill>
              <a:latin typeface="Verdana"/>
            </a:rPr>
            <a:t>    . 2) Stable</a:t>
          </a:r>
        </a:p>
        <a:p>
          <a:pPr algn="l" rtl="0">
            <a:defRPr sz="1000"/>
          </a:pPr>
          <a:r>
            <a:rPr lang="fr-FR" sz="1000" b="0" i="0" u="none" strike="noStrike" baseline="0">
              <a:solidFill>
                <a:srgbClr val="000000"/>
              </a:solidFill>
              <a:latin typeface="Verdana"/>
            </a:rPr>
            <a:t>    . 3) Seul risque est celui d'une OPA</a:t>
          </a:r>
        </a:p>
        <a:p>
          <a:pPr algn="l" rtl="0">
            <a:defRPr sz="1000"/>
          </a:pPr>
          <a:r>
            <a:rPr lang="fr-FR" sz="1000" b="0" i="0" u="none" strike="noStrike" baseline="0">
              <a:solidFill>
                <a:srgbClr val="000000"/>
              </a:solidFill>
              <a:latin typeface="Verdana"/>
            </a:rPr>
            <a:t>    . 4) Risque d'une OPA si le financier vend sa participation à un concurrent de l'industriel</a:t>
          </a:r>
        </a:p>
        <a:p>
          <a:pPr algn="l" rtl="0">
            <a:defRPr sz="1000"/>
          </a:pPr>
          <a:r>
            <a:rPr lang="fr-FR" sz="1000" b="0" i="0" u="none" strike="noStrike" baseline="0">
              <a:solidFill>
                <a:srgbClr val="000000"/>
              </a:solidFill>
              <a:latin typeface="Verdana"/>
            </a:rPr>
            <a:t>    . 5) Stable (retrait de Bourse non exclu)</a:t>
          </a:r>
        </a:p>
        <a:p>
          <a:pPr algn="l" rtl="0">
            <a:defRPr sz="1000"/>
          </a:pPr>
          <a:r>
            <a:rPr lang="fr-FR" sz="1000" b="0" i="0" u="none" strike="noStrike" baseline="0">
              <a:solidFill>
                <a:srgbClr val="000000"/>
              </a:solidFill>
              <a:latin typeface="Verdana"/>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666750</xdr:colOff>
      <xdr:row>4</xdr:row>
      <xdr:rowOff>0</xdr:rowOff>
    </xdr:from>
    <xdr:to>
      <xdr:col>11</xdr:col>
      <xdr:colOff>612777</xdr:colOff>
      <xdr:row>8</xdr:row>
      <xdr:rowOff>130150</xdr:rowOff>
    </xdr:to>
    <xdr:sp macro="" textlink="">
      <xdr:nvSpPr>
        <xdr:cNvPr id="11268" name="Text Box 4"/>
        <xdr:cNvSpPr txBox="1">
          <a:spLocks noChangeArrowheads="1"/>
        </xdr:cNvSpPr>
      </xdr:nvSpPr>
      <xdr:spPr bwMode="auto">
        <a:xfrm>
          <a:off x="7019925" y="666750"/>
          <a:ext cx="415290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L'entreprise en forte croissance, et en période d'investissement ne peut maîtriser son besoin en fonds de roulement, ce qui génère un fort déficit de trésorerie. Celui-ci est comblé par de l'endettement; les frais financiers augmentent donc fortement.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0961"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2"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3"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165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165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0177"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8"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9"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096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096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114300</xdr:colOff>
      <xdr:row>62</xdr:row>
      <xdr:rowOff>88900</xdr:rowOff>
    </xdr:from>
    <xdr:to>
      <xdr:col>6</xdr:col>
      <xdr:colOff>95250</xdr:colOff>
      <xdr:row>77</xdr:row>
      <xdr:rowOff>139700</xdr:rowOff>
    </xdr:to>
    <xdr:graphicFrame macro="">
      <xdr:nvGraphicFramePr>
        <xdr:cNvPr id="5864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98</xdr:row>
      <xdr:rowOff>88900</xdr:rowOff>
    </xdr:from>
    <xdr:to>
      <xdr:col>6</xdr:col>
      <xdr:colOff>95250</xdr:colOff>
      <xdr:row>113</xdr:row>
      <xdr:rowOff>139700</xdr:rowOff>
    </xdr:to>
    <xdr:graphicFrame macro="">
      <xdr:nvGraphicFramePr>
        <xdr:cNvPr id="58646"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1985"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6"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7"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2993"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2994"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130175</xdr:colOff>
      <xdr:row>0</xdr:row>
      <xdr:rowOff>130175</xdr:rowOff>
    </xdr:from>
    <xdr:to>
      <xdr:col>8</xdr:col>
      <xdr:colOff>901734</xdr:colOff>
      <xdr:row>7</xdr:row>
      <xdr:rowOff>123801</xdr:rowOff>
    </xdr:to>
    <xdr:sp macro="" textlink="">
      <xdr:nvSpPr>
        <xdr:cNvPr id="42013" name="AutoShape 29"/>
        <xdr:cNvSpPr>
          <a:spLocks noChangeArrowheads="1"/>
        </xdr:cNvSpPr>
      </xdr:nvSpPr>
      <xdr:spPr bwMode="auto">
        <a:xfrm>
          <a:off x="4486275" y="133350"/>
          <a:ext cx="4143375" cy="1285875"/>
        </a:xfrm>
        <a:prstGeom prst="wedgeRectCallout">
          <a:avLst>
            <a:gd name="adj1" fmla="val -94394"/>
            <a:gd name="adj2" fmla="val 4111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1 USD à vendre:</a:t>
          </a:r>
        </a:p>
        <a:p>
          <a:pPr algn="l" rtl="0">
            <a:defRPr sz="1000"/>
          </a:pPr>
          <a:r>
            <a:rPr lang="fr-FR" sz="800" b="0" i="0" u="none" strike="noStrike" baseline="0">
              <a:solidFill>
                <a:srgbClr val="000000"/>
              </a:solidFill>
              <a:latin typeface="Verdana"/>
            </a:rPr>
            <a:t>&gt; quelle somme dois-je emprunter aujoud'hui en USD pour avoir 1 USD à rembourser dans 3 mois? (Cf B11)</a:t>
          </a:r>
        </a:p>
        <a:p>
          <a:pPr algn="l" rtl="0">
            <a:defRPr sz="1000"/>
          </a:pPr>
          <a:r>
            <a:rPr lang="fr-FR" sz="800" b="0" i="0" u="none" strike="noStrike" baseline="0">
              <a:solidFill>
                <a:srgbClr val="000000"/>
              </a:solidFill>
              <a:latin typeface="Verdana"/>
            </a:rPr>
            <a:t>&gt; la banque m'achète cette somme contre des EUR, d'où une nouvelle somme en EUR (Cf B13)</a:t>
          </a:r>
        </a:p>
        <a:p>
          <a:pPr algn="l" rtl="0">
            <a:defRPr sz="1000"/>
          </a:pPr>
          <a:r>
            <a:rPr lang="fr-FR" sz="800" b="0" i="0" u="none" strike="noStrike" baseline="0">
              <a:solidFill>
                <a:srgbClr val="000000"/>
              </a:solidFill>
              <a:latin typeface="Verdana"/>
            </a:rPr>
            <a:t>&gt; enfin je place cette somme en EUR, d'où 3 mois plus tard une somme x taux rémunéré (Cf B15)</a:t>
          </a:r>
        </a:p>
        <a:p>
          <a:pPr algn="l" rtl="0">
            <a:defRPr sz="1000"/>
          </a:pPr>
          <a:r>
            <a:rPr lang="fr-FR" sz="800" b="0" i="0" u="none" strike="noStrike" baseline="0">
              <a:solidFill>
                <a:srgbClr val="000000"/>
              </a:solidFill>
              <a:latin typeface="Verdana"/>
            </a:rPr>
            <a:t>&gt; Au bout de 3 mois, pour 1 USD que je pourrais rembourser, j'aurais donc 0,9803 EUR (Cf B17)</a:t>
          </a:r>
        </a:p>
        <a:p>
          <a:pPr algn="l" rtl="0">
            <a:defRPr sz="1000"/>
          </a:pPr>
          <a:endParaRPr lang="fr-FR" sz="800" b="0" i="0" u="none" strike="noStrike" baseline="0">
            <a:solidFill>
              <a:srgbClr val="000000"/>
            </a:solidFill>
            <a:latin typeface="Verdana"/>
          </a:endParaRPr>
        </a:p>
      </xdr:txBody>
    </xdr:sp>
    <xdr:clientData/>
  </xdr:twoCellAnchor>
  <xdr:twoCellAnchor>
    <xdr:from>
      <xdr:col>3</xdr:col>
      <xdr:colOff>609600</xdr:colOff>
      <xdr:row>7</xdr:row>
      <xdr:rowOff>288925</xdr:rowOff>
    </xdr:from>
    <xdr:to>
      <xdr:col>9</xdr:col>
      <xdr:colOff>9676</xdr:colOff>
      <xdr:row>12</xdr:row>
      <xdr:rowOff>129513</xdr:rowOff>
    </xdr:to>
    <xdr:sp macro="" textlink="">
      <xdr:nvSpPr>
        <xdr:cNvPr id="42014" name="AutoShape 30"/>
        <xdr:cNvSpPr>
          <a:spLocks noChangeArrowheads="1"/>
        </xdr:cNvSpPr>
      </xdr:nvSpPr>
      <xdr:spPr bwMode="auto">
        <a:xfrm>
          <a:off x="4105275" y="1647825"/>
          <a:ext cx="4543425" cy="1276350"/>
        </a:xfrm>
        <a:prstGeom prst="wedgeRectCallout">
          <a:avLst>
            <a:gd name="adj1" fmla="val -64042"/>
            <a:gd name="adj2" fmla="val -47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besoin d'1 USD à acheter:</a:t>
          </a:r>
        </a:p>
        <a:p>
          <a:pPr algn="l" rtl="0">
            <a:defRPr sz="1000"/>
          </a:pPr>
          <a:r>
            <a:rPr lang="fr-FR" sz="800" b="0" i="0" u="none" strike="noStrike" baseline="0">
              <a:solidFill>
                <a:srgbClr val="000000"/>
              </a:solidFill>
              <a:latin typeface="Verdana"/>
            </a:rPr>
            <a:t>&gt; quelle somme dois-je placer aujoud'hui en USD pour avoir 1 USD dans 3 mois? (Cf C11)</a:t>
          </a:r>
        </a:p>
        <a:p>
          <a:pPr algn="l" rtl="0">
            <a:defRPr sz="1000"/>
          </a:pPr>
          <a:r>
            <a:rPr lang="fr-FR" sz="800" b="0" i="0" u="none" strike="noStrike" baseline="0">
              <a:solidFill>
                <a:srgbClr val="000000"/>
              </a:solidFill>
              <a:latin typeface="Verdana"/>
            </a:rPr>
            <a:t>&gt; la banque me vend donc aujourd'hui cette somme contre des EUR, d'où une nouvelle somme en EUR (Cf C13)</a:t>
          </a:r>
        </a:p>
        <a:p>
          <a:pPr algn="l" rtl="0">
            <a:defRPr sz="1000"/>
          </a:pPr>
          <a:r>
            <a:rPr lang="fr-FR" sz="800" b="0" i="0" u="none" strike="noStrike" baseline="0">
              <a:solidFill>
                <a:srgbClr val="000000"/>
              </a:solidFill>
              <a:latin typeface="Verdana"/>
            </a:rPr>
            <a:t>&gt; mais en fait je ne les ai pas; quelle somme que j'emprunte devrais-je donc rembourser dans 3 mois (Cf C15)</a:t>
          </a:r>
        </a:p>
        <a:p>
          <a:pPr algn="l" rtl="0">
            <a:defRPr sz="1000"/>
          </a:pPr>
          <a:r>
            <a:rPr lang="fr-FR" sz="800" b="0" i="0" u="none" strike="noStrike" baseline="0">
              <a:solidFill>
                <a:srgbClr val="000000"/>
              </a:solidFill>
              <a:latin typeface="Verdana"/>
            </a:rPr>
            <a:t>&gt; Au bout de 3 mois, pour 1 USD que la banque me vendra, je paierai 0,9819 EUR (Cf C17)</a:t>
          </a:r>
        </a:p>
        <a:p>
          <a:pPr algn="l" rtl="0">
            <a:defRPr sz="1000"/>
          </a:pPr>
          <a:endParaRPr lang="fr-FR" sz="800" b="0" i="0" u="none" strike="noStrike" baseline="0">
            <a:solidFill>
              <a:srgbClr val="000000"/>
            </a:solidFill>
            <a:latin typeface="Verdan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85725</xdr:rowOff>
    </xdr:from>
    <xdr:to>
      <xdr:col>0</xdr:col>
      <xdr:colOff>0</xdr:colOff>
      <xdr:row>42</xdr:row>
      <xdr:rowOff>167</xdr:rowOff>
    </xdr:to>
    <xdr:sp macro="" textlink="">
      <xdr:nvSpPr>
        <xdr:cNvPr id="16385" name="Text Box 1"/>
        <xdr:cNvSpPr txBox="1">
          <a:spLocks noChangeArrowheads="1"/>
        </xdr:cNvSpPr>
      </xdr:nvSpPr>
      <xdr:spPr bwMode="auto">
        <a:xfrm>
          <a:off x="0" y="6953250"/>
          <a:ext cx="0" cy="552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42</xdr:row>
      <xdr:rowOff>38100</xdr:rowOff>
    </xdr:from>
    <xdr:to>
      <xdr:col>0</xdr:col>
      <xdr:colOff>0</xdr:colOff>
      <xdr:row>46</xdr:row>
      <xdr:rowOff>0</xdr:rowOff>
    </xdr:to>
    <xdr:sp macro="" textlink="">
      <xdr:nvSpPr>
        <xdr:cNvPr id="16386" name="Text Box 2"/>
        <xdr:cNvSpPr txBox="1">
          <a:spLocks noChangeArrowheads="1"/>
        </xdr:cNvSpPr>
      </xdr:nvSpPr>
      <xdr:spPr bwMode="auto">
        <a:xfrm>
          <a:off x="0" y="7543800"/>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3</xdr:col>
      <xdr:colOff>12700</xdr:colOff>
      <xdr:row>6</xdr:row>
      <xdr:rowOff>0</xdr:rowOff>
    </xdr:from>
    <xdr:to>
      <xdr:col>8</xdr:col>
      <xdr:colOff>12700</xdr:colOff>
      <xdr:row>21</xdr:row>
      <xdr:rowOff>158750</xdr:rowOff>
    </xdr:to>
    <xdr:graphicFrame macro="">
      <xdr:nvGraphicFramePr>
        <xdr:cNvPr id="1680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28</xdr:row>
      <xdr:rowOff>85725</xdr:rowOff>
    </xdr:from>
    <xdr:to>
      <xdr:col>0</xdr:col>
      <xdr:colOff>0</xdr:colOff>
      <xdr:row>34</xdr:row>
      <xdr:rowOff>57150</xdr:rowOff>
    </xdr:to>
    <xdr:sp macro="" textlink="">
      <xdr:nvSpPr>
        <xdr:cNvPr id="17409" name="Text Box 1"/>
        <xdr:cNvSpPr txBox="1">
          <a:spLocks noChangeArrowheads="1"/>
        </xdr:cNvSpPr>
      </xdr:nvSpPr>
      <xdr:spPr bwMode="auto">
        <a:xfrm>
          <a:off x="0" y="4867275"/>
          <a:ext cx="0" cy="952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44</xdr:row>
      <xdr:rowOff>38100</xdr:rowOff>
    </xdr:from>
    <xdr:to>
      <xdr:col>0</xdr:col>
      <xdr:colOff>0</xdr:colOff>
      <xdr:row>49</xdr:row>
      <xdr:rowOff>0</xdr:rowOff>
    </xdr:to>
    <xdr:sp macro="" textlink="">
      <xdr:nvSpPr>
        <xdr:cNvPr id="17410" name="Text Box 2"/>
        <xdr:cNvSpPr txBox="1">
          <a:spLocks noChangeArrowheads="1"/>
        </xdr:cNvSpPr>
      </xdr:nvSpPr>
      <xdr:spPr bwMode="auto">
        <a:xfrm>
          <a:off x="0" y="7419975"/>
          <a:ext cx="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279400</xdr:colOff>
      <xdr:row>49</xdr:row>
      <xdr:rowOff>31750</xdr:rowOff>
    </xdr:from>
    <xdr:to>
      <xdr:col>8</xdr:col>
      <xdr:colOff>641350</xdr:colOff>
      <xdr:row>58</xdr:row>
      <xdr:rowOff>139700</xdr:rowOff>
    </xdr:to>
    <xdr:graphicFrame macro="">
      <xdr:nvGraphicFramePr>
        <xdr:cNvPr id="1838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95250</xdr:colOff>
      <xdr:row>83</xdr:row>
      <xdr:rowOff>158750</xdr:rowOff>
    </xdr:from>
    <xdr:to>
      <xdr:col>10</xdr:col>
      <xdr:colOff>469900</xdr:colOff>
      <xdr:row>93</xdr:row>
      <xdr:rowOff>31750</xdr:rowOff>
    </xdr:to>
    <xdr:graphicFrame macro="">
      <xdr:nvGraphicFramePr>
        <xdr:cNvPr id="18390"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95250</xdr:colOff>
      <xdr:row>93</xdr:row>
      <xdr:rowOff>133350</xdr:rowOff>
    </xdr:from>
    <xdr:to>
      <xdr:col>10</xdr:col>
      <xdr:colOff>476250</xdr:colOff>
      <xdr:row>102</xdr:row>
      <xdr:rowOff>165100</xdr:rowOff>
    </xdr:to>
    <xdr:graphicFrame macro="">
      <xdr:nvGraphicFramePr>
        <xdr:cNvPr id="18391"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95250</xdr:colOff>
      <xdr:row>107</xdr:row>
      <xdr:rowOff>133350</xdr:rowOff>
    </xdr:from>
    <xdr:to>
      <xdr:col>11</xdr:col>
      <xdr:colOff>488950</xdr:colOff>
      <xdr:row>118</xdr:row>
      <xdr:rowOff>0</xdr:rowOff>
    </xdr:to>
    <xdr:graphicFrame macro="">
      <xdr:nvGraphicFramePr>
        <xdr:cNvPr id="18392"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95250</xdr:colOff>
      <xdr:row>122</xdr:row>
      <xdr:rowOff>82550</xdr:rowOff>
    </xdr:from>
    <xdr:to>
      <xdr:col>11</xdr:col>
      <xdr:colOff>508000</xdr:colOff>
      <xdr:row>132</xdr:row>
      <xdr:rowOff>133350</xdr:rowOff>
    </xdr:to>
    <xdr:graphicFrame macro="">
      <xdr:nvGraphicFramePr>
        <xdr:cNvPr id="18393"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73025</xdr:rowOff>
    </xdr:from>
    <xdr:to>
      <xdr:col>0</xdr:col>
      <xdr:colOff>0</xdr:colOff>
      <xdr:row>4</xdr:row>
      <xdr:rowOff>57277</xdr:rowOff>
    </xdr:to>
    <xdr:sp macro="" textlink="">
      <xdr:nvSpPr>
        <xdr:cNvPr id="18433" name="Text Box 1"/>
        <xdr:cNvSpPr txBox="1">
          <a:spLocks noChangeArrowheads="1"/>
        </xdr:cNvSpPr>
      </xdr:nvSpPr>
      <xdr:spPr bwMode="auto">
        <a:xfrm>
          <a:off x="0" y="95250"/>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13</xdr:row>
      <xdr:rowOff>38100</xdr:rowOff>
    </xdr:from>
    <xdr:to>
      <xdr:col>0</xdr:col>
      <xdr:colOff>0</xdr:colOff>
      <xdr:row>17</xdr:row>
      <xdr:rowOff>0</xdr:rowOff>
    </xdr:to>
    <xdr:sp macro="" textlink="">
      <xdr:nvSpPr>
        <xdr:cNvPr id="18434" name="Text Box 2"/>
        <xdr:cNvSpPr txBox="1">
          <a:spLocks noChangeArrowheads="1"/>
        </xdr:cNvSpPr>
      </xdr:nvSpPr>
      <xdr:spPr bwMode="auto">
        <a:xfrm>
          <a:off x="0" y="2162175"/>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30</xdr:row>
      <xdr:rowOff>85725</xdr:rowOff>
    </xdr:from>
    <xdr:to>
      <xdr:col>0</xdr:col>
      <xdr:colOff>0</xdr:colOff>
      <xdr:row>34</xdr:row>
      <xdr:rowOff>57150</xdr:rowOff>
    </xdr:to>
    <xdr:sp macro="" textlink="">
      <xdr:nvSpPr>
        <xdr:cNvPr id="20481" name="Text Box 1"/>
        <xdr:cNvSpPr txBox="1">
          <a:spLocks noChangeArrowheads="1"/>
        </xdr:cNvSpPr>
      </xdr:nvSpPr>
      <xdr:spPr bwMode="auto">
        <a:xfrm>
          <a:off x="0" y="5314950"/>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43</xdr:row>
      <xdr:rowOff>38100</xdr:rowOff>
    </xdr:from>
    <xdr:to>
      <xdr:col>0</xdr:col>
      <xdr:colOff>0</xdr:colOff>
      <xdr:row>47</xdr:row>
      <xdr:rowOff>0</xdr:rowOff>
    </xdr:to>
    <xdr:sp macro="" textlink="">
      <xdr:nvSpPr>
        <xdr:cNvPr id="20482" name="Text Box 2"/>
        <xdr:cNvSpPr txBox="1">
          <a:spLocks noChangeArrowheads="1"/>
        </xdr:cNvSpPr>
      </xdr:nvSpPr>
      <xdr:spPr bwMode="auto">
        <a:xfrm>
          <a:off x="0" y="7362825"/>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2</xdr:col>
      <xdr:colOff>44450</xdr:colOff>
      <xdr:row>28</xdr:row>
      <xdr:rowOff>31750</xdr:rowOff>
    </xdr:from>
    <xdr:to>
      <xdr:col>8</xdr:col>
      <xdr:colOff>292100</xdr:colOff>
      <xdr:row>43</xdr:row>
      <xdr:rowOff>31750</xdr:rowOff>
    </xdr:to>
    <xdr:graphicFrame macro="">
      <xdr:nvGraphicFramePr>
        <xdr:cNvPr id="2118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209550</xdr:colOff>
      <xdr:row>56</xdr:row>
      <xdr:rowOff>101600</xdr:rowOff>
    </xdr:from>
    <xdr:to>
      <xdr:col>8</xdr:col>
      <xdr:colOff>444500</xdr:colOff>
      <xdr:row>72</xdr:row>
      <xdr:rowOff>139700</xdr:rowOff>
    </xdr:to>
    <xdr:graphicFrame macro="">
      <xdr:nvGraphicFramePr>
        <xdr:cNvPr id="21183"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869950</xdr:colOff>
      <xdr:row>64</xdr:row>
      <xdr:rowOff>28575</xdr:rowOff>
    </xdr:from>
    <xdr:ext cx="190309" cy="178960"/>
    <xdr:sp macro="" textlink="">
      <xdr:nvSpPr>
        <xdr:cNvPr id="20494" name="Text Box 14"/>
        <xdr:cNvSpPr txBox="1">
          <a:spLocks noChangeArrowheads="1"/>
        </xdr:cNvSpPr>
      </xdr:nvSpPr>
      <xdr:spPr bwMode="auto">
        <a:xfrm>
          <a:off x="5791200" y="11001375"/>
          <a:ext cx="190309" cy="178960"/>
        </a:xfrm>
        <a:prstGeom prst="rect">
          <a:avLst/>
        </a:prstGeom>
        <a:noFill/>
        <a:ln>
          <a:noFill/>
        </a:ln>
        <a:extLst/>
      </xdr:spPr>
      <xdr:txBody>
        <a:bodyPr wrap="none" lIns="27432" tIns="22860" rIns="0" bIns="0" anchor="t" upright="1">
          <a:spAutoFit/>
        </a:bodyPr>
        <a:lstStyle/>
        <a:p>
          <a:pPr algn="l" rtl="0">
            <a:defRPr sz="1000"/>
          </a:pPr>
          <a:r>
            <a:rPr lang="fr-FR" sz="1000" b="0" i="0" u="none" strike="noStrike" baseline="0">
              <a:solidFill>
                <a:srgbClr val="000000"/>
              </a:solidFill>
              <a:latin typeface="Verdana"/>
            </a:rPr>
            <a:t>E*</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35</xdr:row>
      <xdr:rowOff>85725</xdr:rowOff>
    </xdr:from>
    <xdr:to>
      <xdr:col>0</xdr:col>
      <xdr:colOff>0</xdr:colOff>
      <xdr:row>38</xdr:row>
      <xdr:rowOff>238</xdr:rowOff>
    </xdr:to>
    <xdr:sp macro="" textlink="">
      <xdr:nvSpPr>
        <xdr:cNvPr id="21505" name="Text Box 1"/>
        <xdr:cNvSpPr txBox="1">
          <a:spLocks noChangeArrowheads="1"/>
        </xdr:cNvSpPr>
      </xdr:nvSpPr>
      <xdr:spPr bwMode="auto">
        <a:xfrm>
          <a:off x="0" y="5838825"/>
          <a:ext cx="0" cy="390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38</xdr:row>
      <xdr:rowOff>0</xdr:rowOff>
    </xdr:from>
    <xdr:to>
      <xdr:col>0</xdr:col>
      <xdr:colOff>0</xdr:colOff>
      <xdr:row>38</xdr:row>
      <xdr:rowOff>0</xdr:rowOff>
    </xdr:to>
    <xdr:sp macro="" textlink="">
      <xdr:nvSpPr>
        <xdr:cNvPr id="21506" name="Text Box 2"/>
        <xdr:cNvSpPr txBox="1">
          <a:spLocks noChangeArrowheads="1"/>
        </xdr:cNvSpPr>
      </xdr:nvSpPr>
      <xdr:spPr bwMode="auto">
        <a:xfrm>
          <a:off x="0" y="62293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1</xdr:row>
      <xdr:rowOff>38100</xdr:rowOff>
    </xdr:from>
    <xdr:to>
      <xdr:col>0</xdr:col>
      <xdr:colOff>0</xdr:colOff>
      <xdr:row>4</xdr:row>
      <xdr:rowOff>85889</xdr:rowOff>
    </xdr:to>
    <xdr:sp macro="" textlink="">
      <xdr:nvSpPr>
        <xdr:cNvPr id="21507" name="Text Box 3"/>
        <xdr:cNvSpPr txBox="1">
          <a:spLocks noChangeArrowheads="1"/>
        </xdr:cNvSpPr>
      </xdr:nvSpPr>
      <xdr:spPr bwMode="auto">
        <a:xfrm>
          <a:off x="0" y="219075"/>
          <a:ext cx="0" cy="542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32</xdr:row>
      <xdr:rowOff>101600</xdr:rowOff>
    </xdr:from>
    <xdr:to>
      <xdr:col>0</xdr:col>
      <xdr:colOff>0</xdr:colOff>
      <xdr:row>38</xdr:row>
      <xdr:rowOff>0</xdr:rowOff>
    </xdr:to>
    <xdr:graphicFrame macro="">
      <xdr:nvGraphicFramePr>
        <xdr:cNvPr id="2234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0</xdr:col>
      <xdr:colOff>0</xdr:colOff>
      <xdr:row>38</xdr:row>
      <xdr:rowOff>0</xdr:rowOff>
    </xdr:to>
    <xdr:graphicFrame macro="">
      <xdr:nvGraphicFramePr>
        <xdr:cNvPr id="22342"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56</xdr:row>
      <xdr:rowOff>69850</xdr:rowOff>
    </xdr:from>
    <xdr:to>
      <xdr:col>5</xdr:col>
      <xdr:colOff>584200</xdr:colOff>
      <xdr:row>70</xdr:row>
      <xdr:rowOff>101600</xdr:rowOff>
    </xdr:to>
    <xdr:graphicFrame macro="">
      <xdr:nvGraphicFramePr>
        <xdr:cNvPr id="22343"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6321"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2"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3"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7153"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7154"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196850</xdr:colOff>
      <xdr:row>77</xdr:row>
      <xdr:rowOff>0</xdr:rowOff>
    </xdr:from>
    <xdr:to>
      <xdr:col>4</xdr:col>
      <xdr:colOff>260350</xdr:colOff>
      <xdr:row>77</xdr:row>
      <xdr:rowOff>0</xdr:rowOff>
    </xdr:to>
    <xdr:sp macro="" textlink="">
      <xdr:nvSpPr>
        <xdr:cNvPr id="56326" name="Text Box 6"/>
        <xdr:cNvSpPr txBox="1">
          <a:spLocks noChangeArrowheads="1"/>
        </xdr:cNvSpPr>
      </xdr:nvSpPr>
      <xdr:spPr bwMode="auto">
        <a:xfrm>
          <a:off x="2990850" y="12887325"/>
          <a:ext cx="17335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Légère différence.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CC39"/>
  <sheetViews>
    <sheetView showGridLines="0" workbookViewId="0"/>
  </sheetViews>
  <sheetFormatPr baseColWidth="10" defaultRowHeight="13.5" x14ac:dyDescent="0.3"/>
  <cols>
    <col min="1" max="1" width="37.3828125" style="3" customWidth="1"/>
    <col min="2" max="2" width="8.15234375" customWidth="1"/>
    <col min="3" max="5" width="8.3828125" customWidth="1"/>
    <col min="6" max="81" width="8.15234375" customWidth="1"/>
  </cols>
  <sheetData>
    <row r="1" spans="1:81" x14ac:dyDescent="0.3">
      <c r="A1" s="360" t="s">
        <v>270</v>
      </c>
    </row>
    <row r="2" spans="1:81" x14ac:dyDescent="0.3">
      <c r="A2" s="2" t="s">
        <v>1096</v>
      </c>
      <c r="B2" s="4" t="s">
        <v>1563</v>
      </c>
      <c r="C2" s="4" t="s">
        <v>1560</v>
      </c>
      <c r="D2" s="4" t="s">
        <v>1561</v>
      </c>
      <c r="E2" s="4" t="s">
        <v>1597</v>
      </c>
      <c r="F2" s="4" t="s">
        <v>1598</v>
      </c>
      <c r="G2" s="4" t="s">
        <v>1599</v>
      </c>
    </row>
    <row r="3" spans="1:81" x14ac:dyDescent="0.3">
      <c r="A3" s="3" t="s">
        <v>1097</v>
      </c>
      <c r="B3">
        <v>165</v>
      </c>
      <c r="C3">
        <v>200</v>
      </c>
      <c r="D3">
        <v>240</v>
      </c>
      <c r="E3">
        <v>280</v>
      </c>
      <c r="F3">
        <v>320</v>
      </c>
      <c r="G3">
        <v>360</v>
      </c>
    </row>
    <row r="4" spans="1:81" x14ac:dyDescent="0.3">
      <c r="A4" s="3" t="s">
        <v>1098</v>
      </c>
      <c r="B4">
        <v>165</v>
      </c>
      <c r="C4">
        <v>175</v>
      </c>
      <c r="D4">
        <v>180</v>
      </c>
      <c r="E4">
        <v>185</v>
      </c>
      <c r="F4">
        <v>180</v>
      </c>
      <c r="G4">
        <v>190</v>
      </c>
    </row>
    <row r="5" spans="1:81" x14ac:dyDescent="0.3">
      <c r="A5" s="2" t="s">
        <v>1099</v>
      </c>
      <c r="B5">
        <f t="shared" ref="B5:G5" si="0">B3-B4</f>
        <v>0</v>
      </c>
      <c r="C5">
        <f t="shared" si="0"/>
        <v>25</v>
      </c>
      <c r="D5">
        <f t="shared" si="0"/>
        <v>60</v>
      </c>
      <c r="E5">
        <f t="shared" si="0"/>
        <v>95</v>
      </c>
      <c r="F5">
        <f t="shared" si="0"/>
        <v>140</v>
      </c>
      <c r="G5">
        <f t="shared" si="0"/>
        <v>170</v>
      </c>
    </row>
    <row r="6" spans="1:81" x14ac:dyDescent="0.3">
      <c r="A6" s="3" t="s">
        <v>1100</v>
      </c>
      <c r="B6">
        <v>-200</v>
      </c>
    </row>
    <row r="7" spans="1:81" x14ac:dyDescent="0.3">
      <c r="A7" s="2" t="s">
        <v>1101</v>
      </c>
      <c r="B7">
        <f>B5+B6</f>
        <v>-200</v>
      </c>
      <c r="C7">
        <f>C5-C6</f>
        <v>25</v>
      </c>
      <c r="D7">
        <f>D5-D6</f>
        <v>60</v>
      </c>
      <c r="E7">
        <f>E5-E6</f>
        <v>95</v>
      </c>
      <c r="F7">
        <f>F5-F6</f>
        <v>140</v>
      </c>
      <c r="G7">
        <f>G5-G6</f>
        <v>170</v>
      </c>
    </row>
    <row r="8" spans="1:81" x14ac:dyDescent="0.3">
      <c r="A8" s="3" t="s">
        <v>1102</v>
      </c>
      <c r="B8">
        <f>B6/2</f>
        <v>-100</v>
      </c>
      <c r="C8">
        <f>-$B8*0.05</f>
        <v>5</v>
      </c>
      <c r="D8">
        <f>-$B8*0.05</f>
        <v>5</v>
      </c>
      <c r="E8">
        <f>-$B8*0.05</f>
        <v>5</v>
      </c>
      <c r="F8">
        <f>-$B8*0.05</f>
        <v>5</v>
      </c>
      <c r="G8">
        <f>-$B8*0.05-B8</f>
        <v>105</v>
      </c>
      <c r="H8" s="1">
        <f>SUM(B8:G8)</f>
        <v>25</v>
      </c>
    </row>
    <row r="9" spans="1:81" x14ac:dyDescent="0.3">
      <c r="A9" s="3" t="s">
        <v>1103</v>
      </c>
      <c r="B9">
        <f>B6/2</f>
        <v>-100</v>
      </c>
      <c r="C9">
        <f>C7-C8</f>
        <v>20</v>
      </c>
      <c r="D9">
        <f>D7-D8</f>
        <v>55</v>
      </c>
      <c r="E9">
        <f>E7-E8</f>
        <v>90</v>
      </c>
      <c r="F9">
        <f>F7-F8</f>
        <v>135</v>
      </c>
      <c r="G9">
        <f>G7-G8</f>
        <v>65</v>
      </c>
      <c r="H9" s="1">
        <f>SUM(B9:G9)</f>
        <v>265</v>
      </c>
    </row>
    <row r="11" spans="1:81" x14ac:dyDescent="0.3">
      <c r="A11" s="33" t="s">
        <v>271</v>
      </c>
    </row>
    <row r="12" spans="1:81" x14ac:dyDescent="0.3">
      <c r="A12" s="10" t="s">
        <v>1110</v>
      </c>
      <c r="F12" s="9">
        <f>YEAR(F13)-1999</f>
        <v>1</v>
      </c>
      <c r="G12" s="9">
        <f t="shared" ref="G12:AO12" si="1">YEAR(G13)-1999</f>
        <v>1</v>
      </c>
      <c r="H12" s="9">
        <f t="shared" si="1"/>
        <v>1</v>
      </c>
      <c r="I12" s="9">
        <f t="shared" si="1"/>
        <v>1</v>
      </c>
      <c r="J12" s="9">
        <f t="shared" si="1"/>
        <v>1</v>
      </c>
      <c r="K12" s="9">
        <f t="shared" si="1"/>
        <v>1</v>
      </c>
      <c r="L12" s="9">
        <f t="shared" si="1"/>
        <v>1</v>
      </c>
      <c r="M12" s="9">
        <f t="shared" si="1"/>
        <v>1</v>
      </c>
      <c r="N12" s="9">
        <f t="shared" si="1"/>
        <v>1</v>
      </c>
      <c r="O12" s="9">
        <f t="shared" si="1"/>
        <v>1</v>
      </c>
      <c r="P12" s="9">
        <f t="shared" si="1"/>
        <v>1</v>
      </c>
      <c r="Q12" s="9">
        <f t="shared" si="1"/>
        <v>1</v>
      </c>
      <c r="R12" s="9">
        <f t="shared" si="1"/>
        <v>2</v>
      </c>
      <c r="S12" s="9">
        <f t="shared" si="1"/>
        <v>2</v>
      </c>
      <c r="T12" s="9">
        <f t="shared" si="1"/>
        <v>2</v>
      </c>
      <c r="U12" s="9">
        <f t="shared" si="1"/>
        <v>2</v>
      </c>
      <c r="V12" s="9">
        <f t="shared" si="1"/>
        <v>2</v>
      </c>
      <c r="W12" s="9">
        <f t="shared" si="1"/>
        <v>2</v>
      </c>
      <c r="X12" s="9">
        <f t="shared" si="1"/>
        <v>2</v>
      </c>
      <c r="Y12" s="9">
        <f t="shared" si="1"/>
        <v>2</v>
      </c>
      <c r="Z12" s="9">
        <f t="shared" si="1"/>
        <v>2</v>
      </c>
      <c r="AA12" s="9">
        <f t="shared" si="1"/>
        <v>2</v>
      </c>
      <c r="AB12" s="9">
        <f t="shared" si="1"/>
        <v>2</v>
      </c>
      <c r="AC12" s="9">
        <f t="shared" si="1"/>
        <v>2</v>
      </c>
      <c r="AD12" s="9">
        <f t="shared" si="1"/>
        <v>3</v>
      </c>
      <c r="AE12" s="9">
        <f t="shared" si="1"/>
        <v>3</v>
      </c>
      <c r="AF12" s="9">
        <f t="shared" si="1"/>
        <v>3</v>
      </c>
      <c r="AG12" s="9">
        <f t="shared" si="1"/>
        <v>3</v>
      </c>
      <c r="AH12" s="9">
        <f t="shared" si="1"/>
        <v>3</v>
      </c>
      <c r="AI12" s="9">
        <f t="shared" si="1"/>
        <v>3</v>
      </c>
      <c r="AJ12" s="9">
        <f t="shared" si="1"/>
        <v>3</v>
      </c>
      <c r="AK12" s="9">
        <f t="shared" si="1"/>
        <v>3</v>
      </c>
      <c r="AL12" s="9">
        <f t="shared" si="1"/>
        <v>3</v>
      </c>
      <c r="AM12" s="9">
        <f t="shared" si="1"/>
        <v>3</v>
      </c>
      <c r="AN12" s="9">
        <f t="shared" si="1"/>
        <v>3</v>
      </c>
      <c r="AO12" s="9">
        <f t="shared" si="1"/>
        <v>3</v>
      </c>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row>
    <row r="13" spans="1:81" s="3" customFormat="1" ht="27" x14ac:dyDescent="0.3">
      <c r="A13" s="2" t="s">
        <v>1096</v>
      </c>
      <c r="B13" s="437" t="s">
        <v>1600</v>
      </c>
      <c r="C13" s="437" t="s">
        <v>1601</v>
      </c>
      <c r="D13" s="437" t="s">
        <v>1602</v>
      </c>
      <c r="E13" s="437" t="s">
        <v>1603</v>
      </c>
      <c r="F13" s="436">
        <f t="shared" ref="F13:AK13" si="2">DATE(2000,COLUMN(B11)-1,1)</f>
        <v>36526</v>
      </c>
      <c r="G13" s="436">
        <f t="shared" si="2"/>
        <v>36557</v>
      </c>
      <c r="H13" s="436">
        <f t="shared" si="2"/>
        <v>36586</v>
      </c>
      <c r="I13" s="436">
        <f t="shared" si="2"/>
        <v>36617</v>
      </c>
      <c r="J13" s="436">
        <f t="shared" si="2"/>
        <v>36647</v>
      </c>
      <c r="K13" s="436">
        <f t="shared" si="2"/>
        <v>36678</v>
      </c>
      <c r="L13" s="436">
        <f t="shared" si="2"/>
        <v>36708</v>
      </c>
      <c r="M13" s="436">
        <f t="shared" si="2"/>
        <v>36739</v>
      </c>
      <c r="N13" s="436">
        <f t="shared" si="2"/>
        <v>36770</v>
      </c>
      <c r="O13" s="436">
        <f t="shared" si="2"/>
        <v>36800</v>
      </c>
      <c r="P13" s="436">
        <f t="shared" si="2"/>
        <v>36831</v>
      </c>
      <c r="Q13" s="436">
        <f t="shared" si="2"/>
        <v>36861</v>
      </c>
      <c r="R13" s="436">
        <f t="shared" si="2"/>
        <v>36892</v>
      </c>
      <c r="S13" s="436">
        <f t="shared" si="2"/>
        <v>36923</v>
      </c>
      <c r="T13" s="436">
        <f t="shared" si="2"/>
        <v>36951</v>
      </c>
      <c r="U13" s="436">
        <f t="shared" si="2"/>
        <v>36982</v>
      </c>
      <c r="V13" s="436">
        <f t="shared" si="2"/>
        <v>37012</v>
      </c>
      <c r="W13" s="436">
        <f t="shared" si="2"/>
        <v>37043</v>
      </c>
      <c r="X13" s="436">
        <f t="shared" si="2"/>
        <v>37073</v>
      </c>
      <c r="Y13" s="436">
        <f t="shared" si="2"/>
        <v>37104</v>
      </c>
      <c r="Z13" s="436">
        <f t="shared" si="2"/>
        <v>37135</v>
      </c>
      <c r="AA13" s="436">
        <f t="shared" si="2"/>
        <v>37165</v>
      </c>
      <c r="AB13" s="436">
        <f t="shared" si="2"/>
        <v>37196</v>
      </c>
      <c r="AC13" s="436">
        <f t="shared" si="2"/>
        <v>37226</v>
      </c>
      <c r="AD13" s="436">
        <f t="shared" si="2"/>
        <v>37257</v>
      </c>
      <c r="AE13" s="436">
        <f t="shared" si="2"/>
        <v>37288</v>
      </c>
      <c r="AF13" s="436">
        <f t="shared" si="2"/>
        <v>37316</v>
      </c>
      <c r="AG13" s="436">
        <f t="shared" si="2"/>
        <v>37347</v>
      </c>
      <c r="AH13" s="436">
        <f t="shared" si="2"/>
        <v>37377</v>
      </c>
      <c r="AI13" s="436">
        <f t="shared" si="2"/>
        <v>37408</v>
      </c>
      <c r="AJ13" s="436">
        <f t="shared" si="2"/>
        <v>37438</v>
      </c>
      <c r="AK13" s="436">
        <f t="shared" si="2"/>
        <v>37469</v>
      </c>
      <c r="AL13" s="436">
        <f>DATE(2000,COLUMN(AH11)-1,1)</f>
        <v>37500</v>
      </c>
      <c r="AM13" s="436">
        <f>DATE(2000,COLUMN(AI11)-1,1)</f>
        <v>37530</v>
      </c>
      <c r="AN13" s="436">
        <f>DATE(2000,COLUMN(AJ11)-1,1)</f>
        <v>37561</v>
      </c>
      <c r="AO13" s="436">
        <f>DATE(2000,COLUMN(AK11)-1,1)</f>
        <v>37591</v>
      </c>
      <c r="AP13" s="436"/>
      <c r="AQ13" s="436"/>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c r="BS13" s="436"/>
      <c r="BT13" s="436"/>
      <c r="BU13" s="436"/>
      <c r="BV13" s="436"/>
      <c r="BW13" s="436"/>
      <c r="BX13" s="436"/>
      <c r="BY13" s="436"/>
      <c r="BZ13" s="436"/>
      <c r="CA13" s="436"/>
      <c r="CB13" s="436"/>
      <c r="CC13" s="436"/>
    </row>
    <row r="14" spans="1:81" x14ac:dyDescent="0.3">
      <c r="A14" s="3" t="s">
        <v>1314</v>
      </c>
      <c r="B14" s="438">
        <f t="shared" ref="B14:B25" si="3">SUM(F14:CB14)</f>
        <v>384</v>
      </c>
      <c r="C14" s="428">
        <f>SUM(F14:Q14)</f>
        <v>96</v>
      </c>
      <c r="D14" s="428">
        <f>SUM(R14:AC14)</f>
        <v>144</v>
      </c>
      <c r="E14" s="435">
        <f>SUM(AD14:AO14)</f>
        <v>144</v>
      </c>
      <c r="F14" s="107"/>
      <c r="G14" s="107"/>
      <c r="H14" s="107"/>
      <c r="I14" s="107"/>
      <c r="J14" s="107">
        <v>12</v>
      </c>
      <c r="K14" s="107">
        <v>12</v>
      </c>
      <c r="L14" s="107">
        <v>12</v>
      </c>
      <c r="M14" s="107">
        <v>12</v>
      </c>
      <c r="N14" s="107">
        <v>12</v>
      </c>
      <c r="O14" s="107">
        <v>12</v>
      </c>
      <c r="P14" s="107">
        <v>12</v>
      </c>
      <c r="Q14" s="107">
        <v>12</v>
      </c>
      <c r="R14" s="107">
        <v>12</v>
      </c>
      <c r="S14" s="107">
        <v>12</v>
      </c>
      <c r="T14" s="107">
        <v>12</v>
      </c>
      <c r="U14" s="107">
        <v>12</v>
      </c>
      <c r="V14" s="107">
        <v>12</v>
      </c>
      <c r="W14" s="107">
        <v>12</v>
      </c>
      <c r="X14" s="107">
        <v>12</v>
      </c>
      <c r="Y14" s="107">
        <v>12</v>
      </c>
      <c r="Z14" s="107">
        <v>12</v>
      </c>
      <c r="AA14" s="107">
        <v>12</v>
      </c>
      <c r="AB14" s="107">
        <v>12</v>
      </c>
      <c r="AC14" s="107">
        <v>12</v>
      </c>
      <c r="AD14" s="107">
        <v>12</v>
      </c>
      <c r="AE14" s="107">
        <v>12</v>
      </c>
      <c r="AF14" s="107">
        <v>12</v>
      </c>
      <c r="AG14" s="107">
        <v>12</v>
      </c>
      <c r="AH14" s="107">
        <v>12</v>
      </c>
      <c r="AI14" s="107">
        <v>12</v>
      </c>
      <c r="AJ14" s="107">
        <v>12</v>
      </c>
      <c r="AK14" s="107">
        <v>12</v>
      </c>
      <c r="AL14" s="107">
        <v>12</v>
      </c>
      <c r="AM14" s="107">
        <v>12</v>
      </c>
      <c r="AN14" s="107">
        <v>12</v>
      </c>
      <c r="AO14" s="107">
        <v>12</v>
      </c>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row>
    <row r="15" spans="1:81" x14ac:dyDescent="0.3">
      <c r="A15" s="3" t="s">
        <v>1098</v>
      </c>
      <c r="B15" s="439">
        <f t="shared" si="3"/>
        <v>350</v>
      </c>
      <c r="C15" s="432">
        <f t="shared" ref="C15:C25" si="4">SUM(F15:Q15)</f>
        <v>110</v>
      </c>
      <c r="D15" s="432">
        <f t="shared" ref="D15:D25" si="5">SUM(R15:AC15)</f>
        <v>120</v>
      </c>
      <c r="E15" s="57">
        <f t="shared" ref="E15:E25" si="6">SUM(AD15:AO15)</f>
        <v>120</v>
      </c>
      <c r="F15" s="107">
        <f>SUM(F16:F18)</f>
        <v>4</v>
      </c>
      <c r="G15" s="107">
        <f t="shared" ref="G15:AO15" si="7">SUM(G16:G18)</f>
        <v>6</v>
      </c>
      <c r="H15" s="107">
        <f t="shared" si="7"/>
        <v>6</v>
      </c>
      <c r="I15" s="107">
        <f t="shared" si="7"/>
        <v>14</v>
      </c>
      <c r="J15" s="107">
        <f t="shared" si="7"/>
        <v>10</v>
      </c>
      <c r="K15" s="107">
        <f t="shared" si="7"/>
        <v>10</v>
      </c>
      <c r="L15" s="107">
        <f t="shared" si="7"/>
        <v>10</v>
      </c>
      <c r="M15" s="107">
        <f t="shared" si="7"/>
        <v>10</v>
      </c>
      <c r="N15" s="107">
        <f t="shared" si="7"/>
        <v>10</v>
      </c>
      <c r="O15" s="107">
        <f t="shared" si="7"/>
        <v>10</v>
      </c>
      <c r="P15" s="107">
        <f t="shared" si="7"/>
        <v>10</v>
      </c>
      <c r="Q15" s="107">
        <f t="shared" si="7"/>
        <v>10</v>
      </c>
      <c r="R15" s="107">
        <f t="shared" si="7"/>
        <v>10</v>
      </c>
      <c r="S15" s="107">
        <f t="shared" si="7"/>
        <v>10</v>
      </c>
      <c r="T15" s="107">
        <f t="shared" si="7"/>
        <v>10</v>
      </c>
      <c r="U15" s="107">
        <f t="shared" si="7"/>
        <v>10</v>
      </c>
      <c r="V15" s="107">
        <f t="shared" si="7"/>
        <v>10</v>
      </c>
      <c r="W15" s="107">
        <f t="shared" si="7"/>
        <v>10</v>
      </c>
      <c r="X15" s="107">
        <f t="shared" si="7"/>
        <v>10</v>
      </c>
      <c r="Y15" s="107">
        <f t="shared" si="7"/>
        <v>10</v>
      </c>
      <c r="Z15" s="107">
        <f t="shared" si="7"/>
        <v>10</v>
      </c>
      <c r="AA15" s="107">
        <f t="shared" si="7"/>
        <v>10</v>
      </c>
      <c r="AB15" s="107">
        <f t="shared" si="7"/>
        <v>10</v>
      </c>
      <c r="AC15" s="107">
        <f t="shared" si="7"/>
        <v>10</v>
      </c>
      <c r="AD15" s="107">
        <f t="shared" si="7"/>
        <v>10</v>
      </c>
      <c r="AE15" s="107">
        <f t="shared" si="7"/>
        <v>10</v>
      </c>
      <c r="AF15" s="107">
        <f t="shared" si="7"/>
        <v>10</v>
      </c>
      <c r="AG15" s="107">
        <f t="shared" si="7"/>
        <v>10</v>
      </c>
      <c r="AH15" s="107">
        <f t="shared" si="7"/>
        <v>10</v>
      </c>
      <c r="AI15" s="107">
        <f t="shared" si="7"/>
        <v>10</v>
      </c>
      <c r="AJ15" s="107">
        <f t="shared" si="7"/>
        <v>10</v>
      </c>
      <c r="AK15" s="107">
        <f t="shared" si="7"/>
        <v>10</v>
      </c>
      <c r="AL15" s="107">
        <f t="shared" si="7"/>
        <v>10</v>
      </c>
      <c r="AM15" s="107">
        <f t="shared" si="7"/>
        <v>10</v>
      </c>
      <c r="AN15" s="107">
        <f t="shared" si="7"/>
        <v>10</v>
      </c>
      <c r="AO15" s="107">
        <f t="shared" si="7"/>
        <v>10</v>
      </c>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row>
    <row r="16" spans="1:81" s="8" customFormat="1" ht="10" x14ac:dyDescent="0.3">
      <c r="A16" s="6" t="s">
        <v>1337</v>
      </c>
      <c r="B16" s="440">
        <f t="shared" si="3"/>
        <v>136</v>
      </c>
      <c r="C16" s="433">
        <f t="shared" si="4"/>
        <v>40</v>
      </c>
      <c r="D16" s="433">
        <f t="shared" si="5"/>
        <v>48</v>
      </c>
      <c r="E16" s="431">
        <f t="shared" si="6"/>
        <v>48</v>
      </c>
      <c r="F16" s="441"/>
      <c r="G16" s="441"/>
      <c r="H16" s="441"/>
      <c r="I16" s="441">
        <v>8</v>
      </c>
      <c r="J16" s="441">
        <v>4</v>
      </c>
      <c r="K16" s="441">
        <v>4</v>
      </c>
      <c r="L16" s="441">
        <v>4</v>
      </c>
      <c r="M16" s="441">
        <v>4</v>
      </c>
      <c r="N16" s="441">
        <v>4</v>
      </c>
      <c r="O16" s="441">
        <v>4</v>
      </c>
      <c r="P16" s="441">
        <v>4</v>
      </c>
      <c r="Q16" s="441">
        <v>4</v>
      </c>
      <c r="R16" s="441">
        <v>4</v>
      </c>
      <c r="S16" s="441">
        <v>4</v>
      </c>
      <c r="T16" s="441">
        <v>4</v>
      </c>
      <c r="U16" s="441">
        <v>4</v>
      </c>
      <c r="V16" s="441">
        <v>4</v>
      </c>
      <c r="W16" s="441">
        <v>4</v>
      </c>
      <c r="X16" s="441">
        <v>4</v>
      </c>
      <c r="Y16" s="441">
        <v>4</v>
      </c>
      <c r="Z16" s="441">
        <v>4</v>
      </c>
      <c r="AA16" s="441">
        <v>4</v>
      </c>
      <c r="AB16" s="441">
        <v>4</v>
      </c>
      <c r="AC16" s="441">
        <v>4</v>
      </c>
      <c r="AD16" s="441">
        <v>4</v>
      </c>
      <c r="AE16" s="441">
        <v>4</v>
      </c>
      <c r="AF16" s="441">
        <v>4</v>
      </c>
      <c r="AG16" s="441">
        <v>4</v>
      </c>
      <c r="AH16" s="441">
        <v>4</v>
      </c>
      <c r="AI16" s="441">
        <v>4</v>
      </c>
      <c r="AJ16" s="441">
        <v>4</v>
      </c>
      <c r="AK16" s="441">
        <v>4</v>
      </c>
      <c r="AL16" s="441">
        <v>4</v>
      </c>
      <c r="AM16" s="441">
        <v>4</v>
      </c>
      <c r="AN16" s="441">
        <v>4</v>
      </c>
      <c r="AO16" s="441">
        <v>4</v>
      </c>
      <c r="AP16" s="441"/>
      <c r="AQ16" s="441"/>
      <c r="AR16" s="441"/>
      <c r="AS16" s="441"/>
      <c r="AT16" s="441"/>
      <c r="AU16" s="441"/>
      <c r="AV16" s="441"/>
      <c r="AW16" s="441"/>
      <c r="AX16" s="441"/>
      <c r="AY16" s="441"/>
      <c r="AZ16" s="441"/>
      <c r="BA16" s="441"/>
      <c r="BB16" s="441"/>
      <c r="BC16" s="441"/>
      <c r="BD16" s="441"/>
      <c r="BE16" s="441"/>
      <c r="BF16" s="441"/>
      <c r="BG16" s="441"/>
      <c r="BH16" s="441"/>
      <c r="BI16" s="441"/>
      <c r="BJ16" s="441"/>
      <c r="BK16" s="441"/>
      <c r="BL16" s="441"/>
      <c r="BM16" s="441"/>
      <c r="BN16" s="441"/>
      <c r="BO16" s="441"/>
      <c r="BP16" s="441"/>
      <c r="BQ16" s="441"/>
      <c r="BR16" s="441"/>
      <c r="BS16" s="441"/>
      <c r="BT16" s="441"/>
      <c r="BU16" s="441"/>
      <c r="BV16" s="441"/>
      <c r="BW16" s="441"/>
      <c r="BX16" s="441"/>
      <c r="BY16" s="441"/>
      <c r="BZ16" s="441"/>
      <c r="CA16" s="441"/>
      <c r="CB16" s="441"/>
      <c r="CC16" s="441"/>
    </row>
    <row r="17" spans="1:81" s="8" customFormat="1" ht="10" x14ac:dyDescent="0.3">
      <c r="A17" s="6" t="s">
        <v>1106</v>
      </c>
      <c r="B17" s="440">
        <f t="shared" si="3"/>
        <v>70</v>
      </c>
      <c r="C17" s="433">
        <f t="shared" si="4"/>
        <v>22</v>
      </c>
      <c r="D17" s="433">
        <f t="shared" si="5"/>
        <v>24</v>
      </c>
      <c r="E17" s="431">
        <f t="shared" si="6"/>
        <v>24</v>
      </c>
      <c r="F17" s="441">
        <v>0</v>
      </c>
      <c r="G17" s="441">
        <v>2</v>
      </c>
      <c r="H17" s="441">
        <v>2</v>
      </c>
      <c r="I17" s="441">
        <v>2</v>
      </c>
      <c r="J17" s="441">
        <v>2</v>
      </c>
      <c r="K17" s="441">
        <v>2</v>
      </c>
      <c r="L17" s="441">
        <v>2</v>
      </c>
      <c r="M17" s="441">
        <v>2</v>
      </c>
      <c r="N17" s="441">
        <v>2</v>
      </c>
      <c r="O17" s="441">
        <v>2</v>
      </c>
      <c r="P17" s="441">
        <v>2</v>
      </c>
      <c r="Q17" s="441">
        <v>2</v>
      </c>
      <c r="R17" s="441">
        <v>2</v>
      </c>
      <c r="S17" s="441">
        <v>2</v>
      </c>
      <c r="T17" s="441">
        <v>2</v>
      </c>
      <c r="U17" s="441">
        <v>2</v>
      </c>
      <c r="V17" s="441">
        <v>2</v>
      </c>
      <c r="W17" s="441">
        <v>2</v>
      </c>
      <c r="X17" s="441">
        <v>2</v>
      </c>
      <c r="Y17" s="441">
        <v>2</v>
      </c>
      <c r="Z17" s="441">
        <v>2</v>
      </c>
      <c r="AA17" s="441">
        <v>2</v>
      </c>
      <c r="AB17" s="441">
        <v>2</v>
      </c>
      <c r="AC17" s="441">
        <v>2</v>
      </c>
      <c r="AD17" s="441">
        <v>2</v>
      </c>
      <c r="AE17" s="441">
        <v>2</v>
      </c>
      <c r="AF17" s="441">
        <v>2</v>
      </c>
      <c r="AG17" s="441">
        <v>2</v>
      </c>
      <c r="AH17" s="441">
        <v>2</v>
      </c>
      <c r="AI17" s="441">
        <v>2</v>
      </c>
      <c r="AJ17" s="441">
        <v>2</v>
      </c>
      <c r="AK17" s="441">
        <v>2</v>
      </c>
      <c r="AL17" s="441">
        <v>2</v>
      </c>
      <c r="AM17" s="441">
        <v>2</v>
      </c>
      <c r="AN17" s="441">
        <v>2</v>
      </c>
      <c r="AO17" s="441">
        <v>2</v>
      </c>
      <c r="AP17" s="441"/>
      <c r="AQ17" s="441"/>
      <c r="AR17" s="441"/>
      <c r="AS17" s="441"/>
      <c r="AT17" s="441"/>
      <c r="AU17" s="441"/>
      <c r="AV17" s="441"/>
      <c r="AW17" s="441"/>
      <c r="AX17" s="441"/>
      <c r="AY17" s="441"/>
      <c r="AZ17" s="441"/>
      <c r="BA17" s="441"/>
      <c r="BB17" s="441"/>
      <c r="BC17" s="441"/>
      <c r="BD17" s="441"/>
      <c r="BE17" s="441"/>
      <c r="BF17" s="441"/>
      <c r="BG17" s="441"/>
      <c r="BH17" s="441"/>
      <c r="BI17" s="441"/>
      <c r="BJ17" s="441"/>
      <c r="BK17" s="441"/>
      <c r="BL17" s="441"/>
      <c r="BM17" s="441"/>
      <c r="BN17" s="441"/>
      <c r="BO17" s="441"/>
      <c r="BP17" s="441"/>
      <c r="BQ17" s="441"/>
      <c r="BR17" s="441"/>
      <c r="BS17" s="441"/>
      <c r="BT17" s="441"/>
      <c r="BU17" s="441"/>
      <c r="BV17" s="441"/>
      <c r="BW17" s="441"/>
      <c r="BX17" s="441"/>
      <c r="BY17" s="441"/>
      <c r="BZ17" s="441"/>
      <c r="CA17" s="441"/>
      <c r="CB17" s="441"/>
      <c r="CC17" s="441"/>
    </row>
    <row r="18" spans="1:81" s="8" customFormat="1" ht="10" x14ac:dyDescent="0.3">
      <c r="A18" s="6" t="s">
        <v>1105</v>
      </c>
      <c r="B18" s="440">
        <f t="shared" si="3"/>
        <v>144</v>
      </c>
      <c r="C18" s="433">
        <f t="shared" si="4"/>
        <v>48</v>
      </c>
      <c r="D18" s="433">
        <f t="shared" si="5"/>
        <v>48</v>
      </c>
      <c r="E18" s="431">
        <f t="shared" si="6"/>
        <v>48</v>
      </c>
      <c r="F18" s="441">
        <v>4</v>
      </c>
      <c r="G18" s="441">
        <v>4</v>
      </c>
      <c r="H18" s="441">
        <v>4</v>
      </c>
      <c r="I18" s="441">
        <v>4</v>
      </c>
      <c r="J18" s="441">
        <v>4</v>
      </c>
      <c r="K18" s="441">
        <v>4</v>
      </c>
      <c r="L18" s="441">
        <v>4</v>
      </c>
      <c r="M18" s="441">
        <v>4</v>
      </c>
      <c r="N18" s="441">
        <v>4</v>
      </c>
      <c r="O18" s="441">
        <v>4</v>
      </c>
      <c r="P18" s="441">
        <v>4</v>
      </c>
      <c r="Q18" s="441">
        <v>4</v>
      </c>
      <c r="R18" s="441">
        <v>4</v>
      </c>
      <c r="S18" s="441">
        <v>4</v>
      </c>
      <c r="T18" s="441">
        <v>4</v>
      </c>
      <c r="U18" s="441">
        <v>4</v>
      </c>
      <c r="V18" s="441">
        <v>4</v>
      </c>
      <c r="W18" s="441">
        <v>4</v>
      </c>
      <c r="X18" s="441">
        <v>4</v>
      </c>
      <c r="Y18" s="441">
        <v>4</v>
      </c>
      <c r="Z18" s="441">
        <v>4</v>
      </c>
      <c r="AA18" s="441">
        <v>4</v>
      </c>
      <c r="AB18" s="441">
        <v>4</v>
      </c>
      <c r="AC18" s="441">
        <v>4</v>
      </c>
      <c r="AD18" s="441">
        <v>4</v>
      </c>
      <c r="AE18" s="441">
        <v>4</v>
      </c>
      <c r="AF18" s="441">
        <v>4</v>
      </c>
      <c r="AG18" s="441">
        <v>4</v>
      </c>
      <c r="AH18" s="441">
        <v>4</v>
      </c>
      <c r="AI18" s="441">
        <v>4</v>
      </c>
      <c r="AJ18" s="441">
        <v>4</v>
      </c>
      <c r="AK18" s="441">
        <v>4</v>
      </c>
      <c r="AL18" s="441">
        <v>4</v>
      </c>
      <c r="AM18" s="441">
        <v>4</v>
      </c>
      <c r="AN18" s="441">
        <v>4</v>
      </c>
      <c r="AO18" s="441">
        <v>4</v>
      </c>
      <c r="AP18" s="441"/>
      <c r="AQ18" s="441"/>
      <c r="AR18" s="441"/>
      <c r="AS18" s="441"/>
      <c r="AT18" s="441"/>
      <c r="AU18" s="441"/>
      <c r="AV18" s="441"/>
      <c r="AW18" s="441"/>
      <c r="AX18" s="441"/>
      <c r="AY18" s="441"/>
      <c r="AZ18" s="441"/>
      <c r="BA18" s="441"/>
      <c r="BB18" s="441"/>
      <c r="BC18" s="441"/>
      <c r="BD18" s="441"/>
      <c r="BE18" s="441"/>
      <c r="BF18" s="441"/>
      <c r="BG18" s="441"/>
      <c r="BH18" s="441"/>
      <c r="BI18" s="441"/>
      <c r="BJ18" s="441"/>
      <c r="BK18" s="441"/>
      <c r="BL18" s="441"/>
      <c r="BM18" s="441"/>
      <c r="BN18" s="441"/>
      <c r="BO18" s="441"/>
      <c r="BP18" s="441"/>
      <c r="BQ18" s="441"/>
      <c r="BR18" s="441"/>
      <c r="BS18" s="441"/>
      <c r="BT18" s="441"/>
      <c r="BU18" s="441"/>
      <c r="BV18" s="441"/>
      <c r="BW18" s="441"/>
      <c r="BX18" s="441"/>
      <c r="BY18" s="441"/>
      <c r="BZ18" s="441"/>
      <c r="CA18" s="441"/>
      <c r="CB18" s="441"/>
      <c r="CC18" s="441"/>
    </row>
    <row r="19" spans="1:81" x14ac:dyDescent="0.3">
      <c r="A19" s="2" t="s">
        <v>1099</v>
      </c>
      <c r="B19" s="439">
        <f t="shared" si="3"/>
        <v>34</v>
      </c>
      <c r="C19" s="432">
        <f t="shared" si="4"/>
        <v>-14</v>
      </c>
      <c r="D19" s="432">
        <f t="shared" si="5"/>
        <v>24</v>
      </c>
      <c r="E19" s="57">
        <f t="shared" si="6"/>
        <v>24</v>
      </c>
      <c r="F19" s="107">
        <f>F14-F15</f>
        <v>-4</v>
      </c>
      <c r="G19" s="107">
        <f t="shared" ref="G19:AO19" si="8">G14-G15</f>
        <v>-6</v>
      </c>
      <c r="H19" s="107">
        <f t="shared" si="8"/>
        <v>-6</v>
      </c>
      <c r="I19" s="107">
        <f t="shared" si="8"/>
        <v>-14</v>
      </c>
      <c r="J19" s="107">
        <f t="shared" si="8"/>
        <v>2</v>
      </c>
      <c r="K19" s="107">
        <f t="shared" si="8"/>
        <v>2</v>
      </c>
      <c r="L19" s="107">
        <f t="shared" si="8"/>
        <v>2</v>
      </c>
      <c r="M19" s="107">
        <f t="shared" si="8"/>
        <v>2</v>
      </c>
      <c r="N19" s="107">
        <f t="shared" si="8"/>
        <v>2</v>
      </c>
      <c r="O19" s="107">
        <f t="shared" si="8"/>
        <v>2</v>
      </c>
      <c r="P19" s="107">
        <f t="shared" si="8"/>
        <v>2</v>
      </c>
      <c r="Q19" s="107">
        <f t="shared" si="8"/>
        <v>2</v>
      </c>
      <c r="R19" s="107">
        <f t="shared" si="8"/>
        <v>2</v>
      </c>
      <c r="S19" s="107">
        <f t="shared" si="8"/>
        <v>2</v>
      </c>
      <c r="T19" s="107">
        <f t="shared" si="8"/>
        <v>2</v>
      </c>
      <c r="U19" s="107">
        <f t="shared" si="8"/>
        <v>2</v>
      </c>
      <c r="V19" s="107">
        <f t="shared" si="8"/>
        <v>2</v>
      </c>
      <c r="W19" s="107">
        <f t="shared" si="8"/>
        <v>2</v>
      </c>
      <c r="X19" s="107">
        <f t="shared" si="8"/>
        <v>2</v>
      </c>
      <c r="Y19" s="107">
        <f t="shared" si="8"/>
        <v>2</v>
      </c>
      <c r="Z19" s="107">
        <f t="shared" si="8"/>
        <v>2</v>
      </c>
      <c r="AA19" s="107">
        <f t="shared" si="8"/>
        <v>2</v>
      </c>
      <c r="AB19" s="107">
        <f t="shared" si="8"/>
        <v>2</v>
      </c>
      <c r="AC19" s="107">
        <f t="shared" si="8"/>
        <v>2</v>
      </c>
      <c r="AD19" s="107">
        <f t="shared" si="8"/>
        <v>2</v>
      </c>
      <c r="AE19" s="107">
        <f t="shared" si="8"/>
        <v>2</v>
      </c>
      <c r="AF19" s="107">
        <f t="shared" si="8"/>
        <v>2</v>
      </c>
      <c r="AG19" s="107">
        <f t="shared" si="8"/>
        <v>2</v>
      </c>
      <c r="AH19" s="107">
        <f t="shared" si="8"/>
        <v>2</v>
      </c>
      <c r="AI19" s="107">
        <f t="shared" si="8"/>
        <v>2</v>
      </c>
      <c r="AJ19" s="107">
        <f t="shared" si="8"/>
        <v>2</v>
      </c>
      <c r="AK19" s="107">
        <f t="shared" si="8"/>
        <v>2</v>
      </c>
      <c r="AL19" s="107">
        <f t="shared" si="8"/>
        <v>2</v>
      </c>
      <c r="AM19" s="107">
        <f t="shared" si="8"/>
        <v>2</v>
      </c>
      <c r="AN19" s="107">
        <f t="shared" si="8"/>
        <v>2</v>
      </c>
      <c r="AO19" s="107">
        <f t="shared" si="8"/>
        <v>2</v>
      </c>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row>
    <row r="20" spans="1:81" x14ac:dyDescent="0.3">
      <c r="A20" s="3" t="s">
        <v>1100</v>
      </c>
      <c r="B20" s="439">
        <f t="shared" si="3"/>
        <v>-30</v>
      </c>
      <c r="C20" s="432">
        <f t="shared" si="4"/>
        <v>-30</v>
      </c>
      <c r="D20" s="432">
        <f t="shared" si="5"/>
        <v>0</v>
      </c>
      <c r="E20" s="57">
        <f t="shared" si="6"/>
        <v>0</v>
      </c>
      <c r="F20" s="107">
        <v>-30</v>
      </c>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row>
    <row r="21" spans="1:81" x14ac:dyDescent="0.3">
      <c r="A21" s="2" t="s">
        <v>1101</v>
      </c>
      <c r="B21" s="439">
        <f t="shared" si="3"/>
        <v>4</v>
      </c>
      <c r="C21" s="432">
        <f t="shared" si="4"/>
        <v>-44</v>
      </c>
      <c r="D21" s="432">
        <f t="shared" si="5"/>
        <v>24</v>
      </c>
      <c r="E21" s="57">
        <f t="shared" si="6"/>
        <v>24</v>
      </c>
      <c r="F21" s="107">
        <f>SUM(F19:F20)</f>
        <v>-34</v>
      </c>
      <c r="G21" s="107">
        <f t="shared" ref="G21:AO21" si="9">SUM(G19:G20)</f>
        <v>-6</v>
      </c>
      <c r="H21" s="107">
        <f t="shared" si="9"/>
        <v>-6</v>
      </c>
      <c r="I21" s="107">
        <f t="shared" si="9"/>
        <v>-14</v>
      </c>
      <c r="J21" s="107">
        <f t="shared" si="9"/>
        <v>2</v>
      </c>
      <c r="K21" s="107">
        <f t="shared" si="9"/>
        <v>2</v>
      </c>
      <c r="L21" s="107">
        <f t="shared" si="9"/>
        <v>2</v>
      </c>
      <c r="M21" s="107">
        <f t="shared" si="9"/>
        <v>2</v>
      </c>
      <c r="N21" s="107">
        <f t="shared" si="9"/>
        <v>2</v>
      </c>
      <c r="O21" s="107">
        <f t="shared" si="9"/>
        <v>2</v>
      </c>
      <c r="P21" s="107">
        <f t="shared" si="9"/>
        <v>2</v>
      </c>
      <c r="Q21" s="107">
        <f t="shared" si="9"/>
        <v>2</v>
      </c>
      <c r="R21" s="107">
        <f t="shared" si="9"/>
        <v>2</v>
      </c>
      <c r="S21" s="107">
        <f t="shared" si="9"/>
        <v>2</v>
      </c>
      <c r="T21" s="107">
        <f t="shared" si="9"/>
        <v>2</v>
      </c>
      <c r="U21" s="107">
        <f t="shared" si="9"/>
        <v>2</v>
      </c>
      <c r="V21" s="107">
        <f t="shared" si="9"/>
        <v>2</v>
      </c>
      <c r="W21" s="107">
        <f t="shared" si="9"/>
        <v>2</v>
      </c>
      <c r="X21" s="107">
        <f t="shared" si="9"/>
        <v>2</v>
      </c>
      <c r="Y21" s="107">
        <f t="shared" si="9"/>
        <v>2</v>
      </c>
      <c r="Z21" s="107">
        <f t="shared" si="9"/>
        <v>2</v>
      </c>
      <c r="AA21" s="107">
        <f t="shared" si="9"/>
        <v>2</v>
      </c>
      <c r="AB21" s="107">
        <f t="shared" si="9"/>
        <v>2</v>
      </c>
      <c r="AC21" s="107">
        <f t="shared" si="9"/>
        <v>2</v>
      </c>
      <c r="AD21" s="107">
        <f t="shared" si="9"/>
        <v>2</v>
      </c>
      <c r="AE21" s="107">
        <f t="shared" si="9"/>
        <v>2</v>
      </c>
      <c r="AF21" s="107">
        <f t="shared" si="9"/>
        <v>2</v>
      </c>
      <c r="AG21" s="107">
        <f t="shared" si="9"/>
        <v>2</v>
      </c>
      <c r="AH21" s="107">
        <f t="shared" si="9"/>
        <v>2</v>
      </c>
      <c r="AI21" s="107">
        <f t="shared" si="9"/>
        <v>2</v>
      </c>
      <c r="AJ21" s="107">
        <f t="shared" si="9"/>
        <v>2</v>
      </c>
      <c r="AK21" s="107">
        <f t="shared" si="9"/>
        <v>2</v>
      </c>
      <c r="AL21" s="107">
        <f t="shared" si="9"/>
        <v>2</v>
      </c>
      <c r="AM21" s="107">
        <f t="shared" si="9"/>
        <v>2</v>
      </c>
      <c r="AN21" s="107">
        <f t="shared" si="9"/>
        <v>2</v>
      </c>
      <c r="AO21" s="107">
        <f t="shared" si="9"/>
        <v>2</v>
      </c>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row>
    <row r="22" spans="1:81" x14ac:dyDescent="0.3">
      <c r="A22" s="3" t="s">
        <v>1102</v>
      </c>
      <c r="B22" s="424">
        <f t="shared" si="3"/>
        <v>-3.5</v>
      </c>
      <c r="C22" s="432">
        <f t="shared" si="4"/>
        <v>-14.1</v>
      </c>
      <c r="D22" s="432">
        <f t="shared" si="5"/>
        <v>5.5</v>
      </c>
      <c r="E22" s="57">
        <f t="shared" si="6"/>
        <v>5.0999999999999996</v>
      </c>
      <c r="F22" s="107">
        <f>SUM(F23:F24)</f>
        <v>-18</v>
      </c>
      <c r="G22" s="107">
        <f t="shared" ref="G22:AO22" si="10">SUM(G23:G24)</f>
        <v>0</v>
      </c>
      <c r="H22" s="107">
        <f t="shared" si="10"/>
        <v>0</v>
      </c>
      <c r="I22" s="107">
        <f t="shared" si="10"/>
        <v>0</v>
      </c>
      <c r="J22" s="107">
        <f t="shared" si="10"/>
        <v>0</v>
      </c>
      <c r="K22" s="107">
        <f t="shared" si="10"/>
        <v>1</v>
      </c>
      <c r="L22" s="107">
        <f t="shared" si="10"/>
        <v>2</v>
      </c>
      <c r="M22" s="107">
        <f t="shared" si="10"/>
        <v>0</v>
      </c>
      <c r="N22" s="107">
        <f t="shared" si="10"/>
        <v>0</v>
      </c>
      <c r="O22" s="107">
        <f t="shared" si="10"/>
        <v>0</v>
      </c>
      <c r="P22" s="107">
        <f t="shared" si="10"/>
        <v>0</v>
      </c>
      <c r="Q22" s="107">
        <f t="shared" si="10"/>
        <v>0.9</v>
      </c>
      <c r="R22" s="107">
        <f t="shared" si="10"/>
        <v>2</v>
      </c>
      <c r="S22" s="107">
        <f t="shared" si="10"/>
        <v>0</v>
      </c>
      <c r="T22" s="107">
        <f t="shared" si="10"/>
        <v>0</v>
      </c>
      <c r="U22" s="107">
        <f t="shared" si="10"/>
        <v>0</v>
      </c>
      <c r="V22" s="107">
        <f t="shared" si="10"/>
        <v>0</v>
      </c>
      <c r="W22" s="107">
        <f t="shared" si="10"/>
        <v>0.8</v>
      </c>
      <c r="X22" s="107">
        <f t="shared" si="10"/>
        <v>2</v>
      </c>
      <c r="Y22" s="107">
        <f t="shared" si="10"/>
        <v>0</v>
      </c>
      <c r="Z22" s="107">
        <f t="shared" si="10"/>
        <v>0</v>
      </c>
      <c r="AA22" s="107">
        <f t="shared" si="10"/>
        <v>0</v>
      </c>
      <c r="AB22" s="107">
        <f t="shared" si="10"/>
        <v>0</v>
      </c>
      <c r="AC22" s="107">
        <f t="shared" si="10"/>
        <v>0.7</v>
      </c>
      <c r="AD22" s="107">
        <f t="shared" si="10"/>
        <v>2</v>
      </c>
      <c r="AE22" s="107">
        <f t="shared" si="10"/>
        <v>0</v>
      </c>
      <c r="AF22" s="107">
        <f t="shared" si="10"/>
        <v>0</v>
      </c>
      <c r="AG22" s="107">
        <f t="shared" si="10"/>
        <v>0</v>
      </c>
      <c r="AH22" s="107">
        <f t="shared" si="10"/>
        <v>0</v>
      </c>
      <c r="AI22" s="107">
        <f t="shared" si="10"/>
        <v>0.6</v>
      </c>
      <c r="AJ22" s="107">
        <f t="shared" si="10"/>
        <v>2</v>
      </c>
      <c r="AK22" s="107">
        <f t="shared" si="10"/>
        <v>0</v>
      </c>
      <c r="AL22" s="107">
        <f t="shared" si="10"/>
        <v>0</v>
      </c>
      <c r="AM22" s="107">
        <f t="shared" si="10"/>
        <v>0</v>
      </c>
      <c r="AN22" s="107">
        <f t="shared" si="10"/>
        <v>0</v>
      </c>
      <c r="AO22" s="107">
        <f t="shared" si="10"/>
        <v>0.5</v>
      </c>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row>
    <row r="23" spans="1:81" s="8" customFormat="1" ht="10" x14ac:dyDescent="0.3">
      <c r="A23" s="6" t="s">
        <v>1108</v>
      </c>
      <c r="B23" s="425">
        <f t="shared" si="3"/>
        <v>-8</v>
      </c>
      <c r="C23" s="433">
        <f t="shared" si="4"/>
        <v>-16</v>
      </c>
      <c r="D23" s="433">
        <f t="shared" si="5"/>
        <v>4</v>
      </c>
      <c r="E23" s="431">
        <f t="shared" si="6"/>
        <v>4</v>
      </c>
      <c r="F23" s="426">
        <f>-20+2</f>
        <v>-18</v>
      </c>
      <c r="G23" s="426"/>
      <c r="H23" s="426"/>
      <c r="I23" s="426"/>
      <c r="J23" s="426"/>
      <c r="K23" s="426"/>
      <c r="L23" s="426">
        <v>2</v>
      </c>
      <c r="M23" s="426"/>
      <c r="N23" s="426"/>
      <c r="O23" s="426"/>
      <c r="P23" s="426"/>
      <c r="Q23" s="426"/>
      <c r="R23" s="426">
        <v>2</v>
      </c>
      <c r="S23" s="426"/>
      <c r="T23" s="426"/>
      <c r="U23" s="426"/>
      <c r="V23" s="426"/>
      <c r="W23" s="426"/>
      <c r="X23" s="426">
        <v>2</v>
      </c>
      <c r="Y23" s="426"/>
      <c r="Z23" s="426"/>
      <c r="AA23" s="426"/>
      <c r="AB23" s="426"/>
      <c r="AC23" s="426"/>
      <c r="AD23" s="426">
        <v>2</v>
      </c>
      <c r="AE23" s="426"/>
      <c r="AF23" s="426"/>
      <c r="AG23" s="426"/>
      <c r="AH23" s="426"/>
      <c r="AI23" s="426"/>
      <c r="AJ23" s="426">
        <v>2</v>
      </c>
      <c r="AK23" s="426"/>
      <c r="AL23" s="426"/>
      <c r="AM23" s="426"/>
      <c r="AN23" s="426"/>
      <c r="AO23" s="426"/>
      <c r="AP23" s="426"/>
      <c r="AQ23" s="426"/>
      <c r="AR23" s="426"/>
      <c r="AS23" s="426"/>
      <c r="AT23" s="426"/>
      <c r="AU23" s="426"/>
      <c r="AV23" s="426"/>
      <c r="AW23" s="426"/>
      <c r="AX23" s="426"/>
      <c r="AY23" s="426"/>
      <c r="AZ23" s="426"/>
      <c r="BA23" s="426"/>
      <c r="BB23" s="426"/>
      <c r="BC23" s="426"/>
      <c r="BD23" s="426"/>
      <c r="BE23" s="426"/>
      <c r="BF23" s="426"/>
      <c r="BG23" s="426"/>
      <c r="BH23" s="426"/>
      <c r="BI23" s="426"/>
      <c r="BJ23" s="426"/>
      <c r="BK23" s="426"/>
      <c r="BL23" s="426"/>
      <c r="BM23" s="426"/>
      <c r="BN23" s="426"/>
      <c r="BO23" s="426"/>
      <c r="BP23" s="426"/>
      <c r="BQ23" s="426"/>
      <c r="BR23" s="426"/>
      <c r="BS23" s="426"/>
      <c r="BT23" s="426"/>
      <c r="BU23" s="426"/>
      <c r="BV23" s="426"/>
      <c r="BW23" s="426"/>
      <c r="BX23" s="426"/>
      <c r="BY23" s="426"/>
      <c r="BZ23" s="426"/>
      <c r="CA23" s="426"/>
      <c r="CB23" s="426"/>
      <c r="CC23" s="426"/>
    </row>
    <row r="24" spans="1:81" s="8" customFormat="1" ht="10" x14ac:dyDescent="0.3">
      <c r="A24" s="6" t="s">
        <v>1109</v>
      </c>
      <c r="B24" s="425">
        <f t="shared" si="3"/>
        <v>4.5</v>
      </c>
      <c r="C24" s="433">
        <f t="shared" si="4"/>
        <v>1.9</v>
      </c>
      <c r="D24" s="433">
        <f t="shared" si="5"/>
        <v>1.5</v>
      </c>
      <c r="E24" s="431">
        <f t="shared" si="6"/>
        <v>1.1000000000000001</v>
      </c>
      <c r="F24" s="426"/>
      <c r="G24" s="426"/>
      <c r="H24" s="426"/>
      <c r="I24" s="426"/>
      <c r="J24" s="426"/>
      <c r="K24" s="426">
        <v>1</v>
      </c>
      <c r="L24" s="426"/>
      <c r="M24" s="426"/>
      <c r="N24" s="426"/>
      <c r="O24" s="426"/>
      <c r="P24" s="426"/>
      <c r="Q24" s="426">
        <v>0.9</v>
      </c>
      <c r="R24" s="426"/>
      <c r="S24" s="426"/>
      <c r="T24" s="426"/>
      <c r="U24" s="426"/>
      <c r="V24" s="426"/>
      <c r="W24" s="426">
        <v>0.8</v>
      </c>
      <c r="X24" s="426"/>
      <c r="Y24" s="426"/>
      <c r="Z24" s="426"/>
      <c r="AA24" s="426"/>
      <c r="AB24" s="426"/>
      <c r="AC24" s="426">
        <v>0.7</v>
      </c>
      <c r="AD24" s="426"/>
      <c r="AE24" s="426"/>
      <c r="AF24" s="426"/>
      <c r="AG24" s="426"/>
      <c r="AH24" s="426"/>
      <c r="AI24" s="426">
        <v>0.6</v>
      </c>
      <c r="AJ24" s="426"/>
      <c r="AK24" s="426"/>
      <c r="AL24" s="426"/>
      <c r="AM24" s="426"/>
      <c r="AN24" s="426"/>
      <c r="AO24" s="426">
        <v>0.5</v>
      </c>
      <c r="AP24" s="426"/>
      <c r="AQ24" s="426"/>
      <c r="AR24" s="426"/>
      <c r="AS24" s="426"/>
      <c r="AT24" s="426"/>
      <c r="AU24" s="426"/>
      <c r="AV24" s="426"/>
      <c r="AW24" s="426"/>
      <c r="AX24" s="426"/>
      <c r="AY24" s="426"/>
      <c r="AZ24" s="426"/>
      <c r="BA24" s="426"/>
      <c r="BB24" s="426"/>
      <c r="BC24" s="426"/>
      <c r="BD24" s="426"/>
      <c r="BE24" s="426"/>
      <c r="BF24" s="426"/>
      <c r="BG24" s="426"/>
      <c r="BH24" s="426"/>
      <c r="BI24" s="426"/>
      <c r="BJ24" s="426"/>
      <c r="BK24" s="426"/>
      <c r="BL24" s="426"/>
      <c r="BM24" s="426"/>
      <c r="BN24" s="426"/>
      <c r="BO24" s="426"/>
      <c r="BP24" s="426"/>
      <c r="BQ24" s="426"/>
      <c r="BR24" s="426"/>
      <c r="BS24" s="426"/>
      <c r="BT24" s="426"/>
      <c r="BU24" s="426"/>
      <c r="BV24" s="426"/>
      <c r="BW24" s="426"/>
      <c r="BX24" s="426"/>
      <c r="BY24" s="426"/>
      <c r="BZ24" s="426"/>
      <c r="CA24" s="426"/>
      <c r="CB24" s="426"/>
      <c r="CC24" s="426"/>
    </row>
    <row r="25" spans="1:81" x14ac:dyDescent="0.3">
      <c r="A25" s="3" t="s">
        <v>1103</v>
      </c>
      <c r="B25" s="427">
        <f t="shared" si="3"/>
        <v>7.5000000000000018</v>
      </c>
      <c r="C25" s="434">
        <f t="shared" si="4"/>
        <v>-29.9</v>
      </c>
      <c r="D25" s="434">
        <f t="shared" si="5"/>
        <v>18.5</v>
      </c>
      <c r="E25" s="44">
        <f t="shared" si="6"/>
        <v>18.899999999999999</v>
      </c>
      <c r="F25" s="77">
        <f>F21-F22</f>
        <v>-16</v>
      </c>
      <c r="G25" s="77">
        <f t="shared" ref="G25:AO25" si="11">G21-G22</f>
        <v>-6</v>
      </c>
      <c r="H25" s="77">
        <f t="shared" si="11"/>
        <v>-6</v>
      </c>
      <c r="I25" s="77">
        <f t="shared" si="11"/>
        <v>-14</v>
      </c>
      <c r="J25" s="77">
        <f t="shared" si="11"/>
        <v>2</v>
      </c>
      <c r="K25" s="77">
        <f t="shared" si="11"/>
        <v>1</v>
      </c>
      <c r="L25" s="77">
        <f t="shared" si="11"/>
        <v>0</v>
      </c>
      <c r="M25" s="77">
        <f t="shared" si="11"/>
        <v>2</v>
      </c>
      <c r="N25" s="77">
        <f t="shared" si="11"/>
        <v>2</v>
      </c>
      <c r="O25" s="77">
        <f t="shared" si="11"/>
        <v>2</v>
      </c>
      <c r="P25" s="77">
        <f t="shared" si="11"/>
        <v>2</v>
      </c>
      <c r="Q25" s="77">
        <f t="shared" si="11"/>
        <v>1.1000000000000001</v>
      </c>
      <c r="R25" s="77">
        <f t="shared" si="11"/>
        <v>0</v>
      </c>
      <c r="S25" s="77">
        <f t="shared" si="11"/>
        <v>2</v>
      </c>
      <c r="T25" s="77">
        <f t="shared" si="11"/>
        <v>2</v>
      </c>
      <c r="U25" s="77">
        <f t="shared" si="11"/>
        <v>2</v>
      </c>
      <c r="V25" s="77">
        <f t="shared" si="11"/>
        <v>2</v>
      </c>
      <c r="W25" s="77">
        <f t="shared" si="11"/>
        <v>1.2</v>
      </c>
      <c r="X25" s="77">
        <f t="shared" si="11"/>
        <v>0</v>
      </c>
      <c r="Y25" s="77">
        <f t="shared" si="11"/>
        <v>2</v>
      </c>
      <c r="Z25" s="77">
        <f t="shared" si="11"/>
        <v>2</v>
      </c>
      <c r="AA25" s="77">
        <f t="shared" si="11"/>
        <v>2</v>
      </c>
      <c r="AB25" s="77">
        <f t="shared" si="11"/>
        <v>2</v>
      </c>
      <c r="AC25" s="77">
        <f t="shared" si="11"/>
        <v>1.3</v>
      </c>
      <c r="AD25" s="77">
        <f t="shared" si="11"/>
        <v>0</v>
      </c>
      <c r="AE25" s="77">
        <f t="shared" si="11"/>
        <v>2</v>
      </c>
      <c r="AF25" s="77">
        <f t="shared" si="11"/>
        <v>2</v>
      </c>
      <c r="AG25" s="77">
        <f t="shared" si="11"/>
        <v>2</v>
      </c>
      <c r="AH25" s="77">
        <f t="shared" si="11"/>
        <v>2</v>
      </c>
      <c r="AI25" s="77">
        <f t="shared" si="11"/>
        <v>1.4</v>
      </c>
      <c r="AJ25" s="77">
        <f t="shared" si="11"/>
        <v>0</v>
      </c>
      <c r="AK25" s="77">
        <f t="shared" si="11"/>
        <v>2</v>
      </c>
      <c r="AL25" s="77">
        <f t="shared" si="11"/>
        <v>2</v>
      </c>
      <c r="AM25" s="77">
        <f t="shared" si="11"/>
        <v>2</v>
      </c>
      <c r="AN25" s="77">
        <f t="shared" si="11"/>
        <v>2</v>
      </c>
      <c r="AO25" s="77">
        <f t="shared" si="11"/>
        <v>1.5</v>
      </c>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row>
    <row r="27" spans="1:81" x14ac:dyDescent="0.3">
      <c r="A27" s="2" t="s">
        <v>1110</v>
      </c>
      <c r="B27" s="437" t="s">
        <v>1107</v>
      </c>
      <c r="C27" s="9">
        <v>1</v>
      </c>
      <c r="D27" s="9">
        <v>2</v>
      </c>
      <c r="E27" s="9">
        <v>3</v>
      </c>
      <c r="F27" s="9"/>
      <c r="G27" s="9"/>
      <c r="H27" s="9"/>
      <c r="I27" s="9"/>
    </row>
    <row r="28" spans="1:81" x14ac:dyDescent="0.3">
      <c r="A28" s="3" t="s">
        <v>1314</v>
      </c>
      <c r="B28" s="428">
        <f t="shared" ref="B28:B39" si="12">SUM(C28:I28)</f>
        <v>384</v>
      </c>
      <c r="C28" s="77">
        <f t="shared" ref="C28:E29" si="13">SUMIF($F$12:$CB$12,C$27,$F14:$CB14)</f>
        <v>96</v>
      </c>
      <c r="D28" s="77">
        <f t="shared" si="13"/>
        <v>144</v>
      </c>
      <c r="E28" s="77">
        <f t="shared" si="13"/>
        <v>144</v>
      </c>
      <c r="F28" s="77"/>
      <c r="G28" s="77"/>
      <c r="H28" s="77"/>
      <c r="I28" s="77"/>
    </row>
    <row r="29" spans="1:81" x14ac:dyDescent="0.3">
      <c r="A29" s="3" t="s">
        <v>1098</v>
      </c>
      <c r="B29" s="429">
        <f t="shared" si="12"/>
        <v>350</v>
      </c>
      <c r="C29" s="77">
        <f t="shared" si="13"/>
        <v>110</v>
      </c>
      <c r="D29" s="77">
        <f t="shared" si="13"/>
        <v>120</v>
      </c>
      <c r="E29" s="77">
        <f t="shared" si="13"/>
        <v>120</v>
      </c>
      <c r="F29" s="77"/>
      <c r="G29" s="77"/>
      <c r="H29" s="77"/>
      <c r="I29" s="77"/>
    </row>
    <row r="30" spans="1:81" s="8" customFormat="1" ht="10" x14ac:dyDescent="0.3">
      <c r="A30" s="6" t="s">
        <v>1337</v>
      </c>
      <c r="B30" s="425"/>
      <c r="C30" s="426">
        <f t="shared" ref="C30:E39" si="14">SUMIF($F$12:$CB$12,C$27,$F16:$CB16)</f>
        <v>40</v>
      </c>
      <c r="D30" s="426">
        <f t="shared" si="14"/>
        <v>48</v>
      </c>
      <c r="E30" s="426">
        <f t="shared" si="14"/>
        <v>48</v>
      </c>
      <c r="F30" s="426"/>
      <c r="G30" s="426"/>
      <c r="H30" s="426"/>
      <c r="I30" s="426"/>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row>
    <row r="31" spans="1:81" s="8" customFormat="1" ht="10" x14ac:dyDescent="0.3">
      <c r="A31" s="6" t="s">
        <v>1106</v>
      </c>
      <c r="B31" s="425"/>
      <c r="C31" s="426">
        <f t="shared" si="14"/>
        <v>22</v>
      </c>
      <c r="D31" s="426">
        <f t="shared" si="14"/>
        <v>24</v>
      </c>
      <c r="E31" s="426">
        <f t="shared" si="14"/>
        <v>24</v>
      </c>
      <c r="F31" s="426"/>
      <c r="G31" s="426"/>
      <c r="H31" s="426"/>
      <c r="I31" s="426"/>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row>
    <row r="32" spans="1:81" s="8" customFormat="1" ht="10" x14ac:dyDescent="0.3">
      <c r="A32" s="6" t="s">
        <v>1105</v>
      </c>
      <c r="B32" s="425"/>
      <c r="C32" s="426">
        <f t="shared" si="14"/>
        <v>48</v>
      </c>
      <c r="D32" s="426">
        <f t="shared" si="14"/>
        <v>48</v>
      </c>
      <c r="E32" s="426">
        <f t="shared" si="14"/>
        <v>48</v>
      </c>
      <c r="F32" s="426"/>
      <c r="G32" s="426"/>
      <c r="H32" s="426"/>
      <c r="I32" s="426"/>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row>
    <row r="33" spans="1:78" x14ac:dyDescent="0.3">
      <c r="A33" s="2" t="s">
        <v>1099</v>
      </c>
      <c r="B33" s="429">
        <f t="shared" si="12"/>
        <v>34</v>
      </c>
      <c r="C33" s="77">
        <f t="shared" si="14"/>
        <v>-14</v>
      </c>
      <c r="D33" s="77">
        <f t="shared" si="14"/>
        <v>24</v>
      </c>
      <c r="E33" s="77">
        <f t="shared" si="14"/>
        <v>24</v>
      </c>
      <c r="F33" s="77"/>
      <c r="G33" s="77"/>
      <c r="H33" s="77"/>
      <c r="I33" s="77"/>
    </row>
    <row r="34" spans="1:78" x14ac:dyDescent="0.3">
      <c r="A34" s="3" t="s">
        <v>1100</v>
      </c>
      <c r="B34" s="429">
        <f t="shared" si="12"/>
        <v>-30</v>
      </c>
      <c r="C34" s="77">
        <f t="shared" si="14"/>
        <v>-30</v>
      </c>
      <c r="D34" s="77">
        <f t="shared" si="14"/>
        <v>0</v>
      </c>
      <c r="E34" s="77">
        <f t="shared" si="14"/>
        <v>0</v>
      </c>
      <c r="F34" s="77"/>
      <c r="G34" s="77"/>
      <c r="H34" s="77"/>
      <c r="I34" s="77"/>
    </row>
    <row r="35" spans="1:78" x14ac:dyDescent="0.3">
      <c r="A35" s="2" t="s">
        <v>1101</v>
      </c>
      <c r="B35" s="429">
        <f t="shared" si="12"/>
        <v>4</v>
      </c>
      <c r="C35" s="77">
        <f t="shared" si="14"/>
        <v>-44</v>
      </c>
      <c r="D35" s="77">
        <f t="shared" si="14"/>
        <v>24</v>
      </c>
      <c r="E35" s="77">
        <f t="shared" si="14"/>
        <v>24</v>
      </c>
      <c r="F35" s="77"/>
      <c r="G35" s="77"/>
      <c r="H35" s="77"/>
      <c r="I35" s="77"/>
    </row>
    <row r="36" spans="1:78" x14ac:dyDescent="0.3">
      <c r="A36" s="3" t="s">
        <v>1102</v>
      </c>
      <c r="B36" s="429">
        <f t="shared" si="12"/>
        <v>-3.5</v>
      </c>
      <c r="C36" s="77">
        <f t="shared" si="14"/>
        <v>-14.1</v>
      </c>
      <c r="D36" s="77">
        <f t="shared" si="14"/>
        <v>5.5</v>
      </c>
      <c r="E36" s="77">
        <f t="shared" si="14"/>
        <v>5.0999999999999996</v>
      </c>
      <c r="F36" s="77"/>
      <c r="G36" s="77"/>
      <c r="H36" s="77"/>
      <c r="I36" s="77"/>
    </row>
    <row r="37" spans="1:78" s="8" customFormat="1" ht="10" x14ac:dyDescent="0.3">
      <c r="A37" s="6" t="s">
        <v>1108</v>
      </c>
      <c r="B37" s="425"/>
      <c r="C37" s="426">
        <f t="shared" si="14"/>
        <v>-16</v>
      </c>
      <c r="D37" s="426">
        <f t="shared" si="14"/>
        <v>4</v>
      </c>
      <c r="E37" s="426">
        <f t="shared" si="14"/>
        <v>4</v>
      </c>
      <c r="F37" s="426"/>
      <c r="G37" s="426"/>
      <c r="H37" s="426"/>
      <c r="I37" s="426"/>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row>
    <row r="38" spans="1:78" s="8" customFormat="1" ht="10" x14ac:dyDescent="0.3">
      <c r="A38" s="6" t="s">
        <v>1109</v>
      </c>
      <c r="B38" s="425"/>
      <c r="C38" s="426">
        <f t="shared" si="14"/>
        <v>1.9</v>
      </c>
      <c r="D38" s="426">
        <f t="shared" si="14"/>
        <v>1.5</v>
      </c>
      <c r="E38" s="426">
        <f t="shared" si="14"/>
        <v>1.1000000000000001</v>
      </c>
      <c r="F38" s="426"/>
      <c r="G38" s="426"/>
      <c r="H38" s="426"/>
      <c r="I38" s="426"/>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row>
    <row r="39" spans="1:78" x14ac:dyDescent="0.3">
      <c r="A39" s="3" t="s">
        <v>1103</v>
      </c>
      <c r="B39" s="430">
        <f t="shared" si="12"/>
        <v>7.5</v>
      </c>
      <c r="C39" s="77">
        <f t="shared" si="14"/>
        <v>-29.9</v>
      </c>
      <c r="D39" s="77">
        <f t="shared" si="14"/>
        <v>18.5</v>
      </c>
      <c r="E39" s="77">
        <f t="shared" si="14"/>
        <v>18.899999999999999</v>
      </c>
      <c r="F39" s="77"/>
      <c r="G39" s="77"/>
      <c r="H39" s="77"/>
      <c r="I39" s="77"/>
    </row>
  </sheetData>
  <phoneticPr fontId="4" type="noConversion"/>
  <pageMargins left="0.78740157480314965" right="0.78740157480314965" top="0.98425196850393704" bottom="0.98425196850393704" header="0.51181102362204722" footer="0.51181102362204722"/>
  <pageSetup paperSize="9" scale="90" fitToHeight="4" orientation="landscape" horizontalDpi="200" verticalDpi="200"/>
  <headerFooter alignWithMargins="0">
    <oddFooter>&amp;L&amp;"Verdana,Italique"&amp;9&amp;F - &amp;A&amp;C&amp;P / &amp;N&amp;R&amp;"Verdana,Italique"&amp;9&amp;D - &amp;T</oddFooter>
  </headerFooter>
  <ignoredErrors>
    <ignoredError sqref="B14:E25" formulaRange="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F22"/>
  <sheetViews>
    <sheetView showGridLines="0" workbookViewId="0">
      <selection activeCell="A22" sqref="A22"/>
    </sheetView>
  </sheetViews>
  <sheetFormatPr baseColWidth="10" defaultRowHeight="13.5" x14ac:dyDescent="0.3"/>
  <cols>
    <col min="1" max="1" width="32.3828125" customWidth="1"/>
  </cols>
  <sheetData>
    <row r="1" spans="1:6" x14ac:dyDescent="0.3">
      <c r="A1" s="12" t="s">
        <v>1418</v>
      </c>
    </row>
    <row r="2" spans="1:6" x14ac:dyDescent="0.3">
      <c r="A2" s="467"/>
      <c r="B2" s="466">
        <v>1</v>
      </c>
      <c r="C2" s="466">
        <v>2</v>
      </c>
      <c r="D2" s="466">
        <v>3</v>
      </c>
      <c r="E2" s="466">
        <v>4</v>
      </c>
      <c r="F2" s="466">
        <v>5</v>
      </c>
    </row>
    <row r="3" spans="1:6" x14ac:dyDescent="0.3">
      <c r="A3" t="s">
        <v>226</v>
      </c>
      <c r="B3" s="65">
        <v>100</v>
      </c>
      <c r="C3" s="65">
        <v>110</v>
      </c>
      <c r="D3" s="65">
        <v>120</v>
      </c>
      <c r="E3" s="65">
        <v>130</v>
      </c>
      <c r="F3" s="65">
        <v>140</v>
      </c>
    </row>
    <row r="4" spans="1:6" x14ac:dyDescent="0.3">
      <c r="A4" t="s">
        <v>227</v>
      </c>
      <c r="B4" s="65">
        <v>200</v>
      </c>
      <c r="C4" s="65">
        <v>225</v>
      </c>
      <c r="D4" s="65">
        <v>250</v>
      </c>
      <c r="E4" s="65">
        <v>280</v>
      </c>
      <c r="F4" s="65">
        <v>315</v>
      </c>
    </row>
    <row r="5" spans="1:6" x14ac:dyDescent="0.3">
      <c r="A5" t="s">
        <v>1385</v>
      </c>
      <c r="B5" s="65" t="s">
        <v>228</v>
      </c>
      <c r="C5" s="65">
        <v>40</v>
      </c>
      <c r="D5" s="65">
        <v>44</v>
      </c>
      <c r="E5" s="65">
        <v>48</v>
      </c>
      <c r="F5" s="65">
        <v>52</v>
      </c>
    </row>
    <row r="6" spans="1:6" x14ac:dyDescent="0.3">
      <c r="A6" t="s">
        <v>1156</v>
      </c>
      <c r="B6" s="65" t="s">
        <v>228</v>
      </c>
      <c r="C6" s="65">
        <v>10</v>
      </c>
      <c r="D6" s="65">
        <v>11</v>
      </c>
      <c r="E6" s="65">
        <v>12</v>
      </c>
      <c r="F6" s="65">
        <v>13</v>
      </c>
    </row>
    <row r="7" spans="1:6" x14ac:dyDescent="0.3">
      <c r="A7" t="s">
        <v>1364</v>
      </c>
      <c r="B7" s="65" t="s">
        <v>228</v>
      </c>
      <c r="C7" s="65">
        <v>15</v>
      </c>
      <c r="D7" s="65">
        <v>17</v>
      </c>
      <c r="E7" s="65">
        <v>19</v>
      </c>
      <c r="F7" s="65">
        <v>22</v>
      </c>
    </row>
    <row r="8" spans="1:6" x14ac:dyDescent="0.3">
      <c r="A8" t="s">
        <v>1188</v>
      </c>
      <c r="B8" s="65" t="s">
        <v>228</v>
      </c>
      <c r="C8" s="65">
        <v>7.5</v>
      </c>
      <c r="D8" s="65">
        <v>8</v>
      </c>
      <c r="E8" s="65">
        <v>8</v>
      </c>
      <c r="F8" s="65">
        <v>8.5</v>
      </c>
    </row>
    <row r="9" spans="1:6" x14ac:dyDescent="0.3">
      <c r="A9" t="s">
        <v>1190</v>
      </c>
      <c r="B9" s="65">
        <v>5</v>
      </c>
      <c r="C9" s="65">
        <v>5</v>
      </c>
      <c r="D9" s="65">
        <v>5</v>
      </c>
      <c r="E9" s="65">
        <v>6</v>
      </c>
      <c r="F9" s="65">
        <v>6</v>
      </c>
    </row>
    <row r="11" spans="1:6" x14ac:dyDescent="0.3">
      <c r="A11" s="1" t="s">
        <v>229</v>
      </c>
      <c r="C11" s="4">
        <f>C2</f>
        <v>2</v>
      </c>
      <c r="D11" s="4">
        <f>D2</f>
        <v>3</v>
      </c>
      <c r="E11" s="4">
        <f>E2</f>
        <v>4</v>
      </c>
      <c r="F11" s="4">
        <f>F2</f>
        <v>5</v>
      </c>
    </row>
    <row r="12" spans="1:6" s="68" customFormat="1" x14ac:dyDescent="0.3">
      <c r="A12" s="68" t="s">
        <v>1347</v>
      </c>
      <c r="C12" s="70">
        <f>C5-C7-C8</f>
        <v>17.5</v>
      </c>
      <c r="D12" s="65">
        <f>D5-D7-D8</f>
        <v>19</v>
      </c>
      <c r="E12" s="65">
        <f>E5-E7-E8</f>
        <v>21</v>
      </c>
      <c r="F12" s="70">
        <f>F5-F7-F8</f>
        <v>21.5</v>
      </c>
    </row>
    <row r="13" spans="1:6" s="68" customFormat="1" x14ac:dyDescent="0.3">
      <c r="A13" s="38" t="s">
        <v>439</v>
      </c>
      <c r="B13" s="38"/>
      <c r="C13" s="155">
        <f>C4-B4</f>
        <v>25</v>
      </c>
      <c r="D13" s="155">
        <f>D4-C4</f>
        <v>25</v>
      </c>
      <c r="E13" s="155">
        <f>E4-D4</f>
        <v>30</v>
      </c>
      <c r="F13" s="155">
        <f>F4-E4</f>
        <v>35</v>
      </c>
    </row>
    <row r="14" spans="1:6" ht="27" x14ac:dyDescent="0.3">
      <c r="A14" s="3" t="s">
        <v>230</v>
      </c>
      <c r="B14" s="70"/>
      <c r="C14" s="70">
        <f>C12-C13</f>
        <v>-7.5</v>
      </c>
      <c r="D14" s="70">
        <f>D12-D13</f>
        <v>-6</v>
      </c>
      <c r="E14" s="70">
        <f>E12-E13</f>
        <v>-9</v>
      </c>
      <c r="F14" s="70">
        <f>F12-F13</f>
        <v>-13.5</v>
      </c>
    </row>
    <row r="15" spans="1:6" x14ac:dyDescent="0.3">
      <c r="A15" t="s">
        <v>231</v>
      </c>
      <c r="B15" s="70"/>
      <c r="C15" s="65">
        <f>C3-B3+C6</f>
        <v>20</v>
      </c>
      <c r="D15" s="65">
        <f>D3-C3+D6</f>
        <v>21</v>
      </c>
      <c r="E15" s="65">
        <f>E3-D3+E6</f>
        <v>22</v>
      </c>
      <c r="F15" s="65">
        <f>F3-E3+F6</f>
        <v>23</v>
      </c>
    </row>
    <row r="16" spans="1:6" x14ac:dyDescent="0.3">
      <c r="A16" t="s">
        <v>232</v>
      </c>
      <c r="B16" s="70"/>
      <c r="C16" s="65"/>
      <c r="D16" s="65"/>
      <c r="E16" s="65"/>
      <c r="F16" s="65"/>
    </row>
    <row r="17" spans="1:6" x14ac:dyDescent="0.3">
      <c r="A17" t="s">
        <v>93</v>
      </c>
      <c r="B17" s="70"/>
      <c r="C17" s="65">
        <f>B9</f>
        <v>5</v>
      </c>
      <c r="D17" s="65">
        <f>C9</f>
        <v>5</v>
      </c>
      <c r="E17" s="65">
        <f>D9</f>
        <v>5</v>
      </c>
      <c r="F17" s="65">
        <f>E9</f>
        <v>6</v>
      </c>
    </row>
    <row r="18" spans="1:6" x14ac:dyDescent="0.3">
      <c r="B18" s="70"/>
      <c r="C18" s="70"/>
      <c r="D18" s="70"/>
      <c r="E18" s="70"/>
      <c r="F18" s="70"/>
    </row>
    <row r="19" spans="1:6" x14ac:dyDescent="0.3">
      <c r="A19" s="3" t="s">
        <v>233</v>
      </c>
      <c r="B19" s="70"/>
      <c r="C19" s="70">
        <f>C14-C15+C16-C17</f>
        <v>-32.5</v>
      </c>
      <c r="D19" s="70">
        <f>D14-D15+D16-D17</f>
        <v>-32</v>
      </c>
      <c r="E19" s="70">
        <f>E14-E15+E16-E17</f>
        <v>-36</v>
      </c>
      <c r="F19" s="70">
        <f>F14-F15+F16-F17</f>
        <v>-42.5</v>
      </c>
    </row>
    <row r="20" spans="1:6" x14ac:dyDescent="0.3">
      <c r="A20" s="3"/>
      <c r="B20" s="70"/>
      <c r="C20" s="70"/>
      <c r="D20" s="70"/>
      <c r="E20" s="70"/>
      <c r="F20" s="70"/>
    </row>
    <row r="21" spans="1:6" x14ac:dyDescent="0.3">
      <c r="A21" s="12" t="s">
        <v>1744</v>
      </c>
    </row>
    <row r="22" spans="1:6" x14ac:dyDescent="0.3">
      <c r="A22" t="s">
        <v>1669</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F122"/>
  <sheetViews>
    <sheetView showGridLines="0" workbookViewId="0">
      <selection activeCell="D3" sqref="D3"/>
    </sheetView>
  </sheetViews>
  <sheetFormatPr baseColWidth="10" defaultRowHeight="13.5" x14ac:dyDescent="0.3"/>
  <cols>
    <col min="1" max="1" width="54.15234375" customWidth="1"/>
    <col min="4" max="4" width="10.23046875" customWidth="1"/>
  </cols>
  <sheetData>
    <row r="1" spans="1:3" x14ac:dyDescent="0.3">
      <c r="A1" s="33" t="s">
        <v>1609</v>
      </c>
      <c r="B1" s="466" t="s">
        <v>1120</v>
      </c>
      <c r="C1" s="466" t="s">
        <v>1119</v>
      </c>
    </row>
    <row r="2" spans="1:3" x14ac:dyDescent="0.3">
      <c r="A2" s="33"/>
      <c r="B2" s="466" t="s">
        <v>1123</v>
      </c>
      <c r="C2" s="466" t="s">
        <v>1124</v>
      </c>
    </row>
    <row r="3" spans="1:3" x14ac:dyDescent="0.3">
      <c r="A3" s="452" t="s">
        <v>1121</v>
      </c>
      <c r="B3" s="466">
        <v>2015</v>
      </c>
      <c r="C3" s="466">
        <f>B3</f>
        <v>2015</v>
      </c>
    </row>
    <row r="4" spans="1:3" x14ac:dyDescent="0.3">
      <c r="A4" s="49" t="s">
        <v>1360</v>
      </c>
      <c r="B4" s="341">
        <v>25.3</v>
      </c>
      <c r="C4" s="341">
        <v>65.3</v>
      </c>
    </row>
    <row r="5" spans="1:3" x14ac:dyDescent="0.3">
      <c r="A5" t="s">
        <v>1287</v>
      </c>
      <c r="B5" s="318">
        <v>-7.3</v>
      </c>
      <c r="C5" s="318">
        <v>-33.4</v>
      </c>
    </row>
    <row r="6" spans="1:3" x14ac:dyDescent="0.3">
      <c r="A6" s="49" t="s">
        <v>430</v>
      </c>
      <c r="B6" s="341">
        <f>+B4+B5</f>
        <v>18</v>
      </c>
      <c r="C6" s="341">
        <f>+C4+C5</f>
        <v>31.9</v>
      </c>
    </row>
    <row r="7" spans="1:3" x14ac:dyDescent="0.3">
      <c r="A7" t="s">
        <v>1527</v>
      </c>
      <c r="B7" s="318">
        <v>-7.4</v>
      </c>
      <c r="C7" s="318">
        <v>-19.100000000000001</v>
      </c>
    </row>
    <row r="8" spans="1:3" x14ac:dyDescent="0.3">
      <c r="A8" t="s">
        <v>1528</v>
      </c>
      <c r="B8" s="318">
        <v>-5.4</v>
      </c>
      <c r="C8" s="318">
        <v>-4.9000000000000004</v>
      </c>
    </row>
    <row r="9" spans="1:3" x14ac:dyDescent="0.3">
      <c r="A9" t="s">
        <v>1541</v>
      </c>
      <c r="B9" s="318">
        <v>-0.8</v>
      </c>
      <c r="C9" s="318">
        <v>0</v>
      </c>
    </row>
    <row r="10" spans="1:3" x14ac:dyDescent="0.3">
      <c r="A10" t="s">
        <v>1529</v>
      </c>
      <c r="B10" s="318">
        <v>-0.2</v>
      </c>
      <c r="C10" s="318">
        <v>0.2</v>
      </c>
    </row>
    <row r="11" spans="1:3" x14ac:dyDescent="0.3">
      <c r="A11" s="45" t="s">
        <v>1545</v>
      </c>
      <c r="B11" s="345">
        <v>0.3</v>
      </c>
      <c r="C11" s="345">
        <v>0.4</v>
      </c>
    </row>
    <row r="12" spans="1:3" x14ac:dyDescent="0.3">
      <c r="A12" s="49" t="s">
        <v>1530</v>
      </c>
      <c r="B12" s="341">
        <f>SUM(B6:B11)</f>
        <v>4.4999999999999991</v>
      </c>
      <c r="C12" s="341">
        <f>SUM(C6:C11)</f>
        <v>8.4999999999999964</v>
      </c>
    </row>
    <row r="13" spans="1:3" x14ac:dyDescent="0.3">
      <c r="A13" t="s">
        <v>1531</v>
      </c>
      <c r="B13" s="345">
        <v>0</v>
      </c>
      <c r="C13" s="345">
        <v>-8.6999999999999993</v>
      </c>
    </row>
    <row r="14" spans="1:3" x14ac:dyDescent="0.3">
      <c r="A14" s="49" t="s">
        <v>1532</v>
      </c>
      <c r="B14" s="341">
        <f>B12+B13</f>
        <v>4.4999999999999991</v>
      </c>
      <c r="C14" s="341">
        <f>C12+C13</f>
        <v>-0.20000000000000284</v>
      </c>
    </row>
    <row r="15" spans="1:3" x14ac:dyDescent="0.3">
      <c r="A15" s="45" t="s">
        <v>1364</v>
      </c>
      <c r="B15" s="346">
        <v>0</v>
      </c>
      <c r="C15" s="346">
        <v>-2</v>
      </c>
    </row>
    <row r="16" spans="1:3" x14ac:dyDescent="0.3">
      <c r="A16" s="45" t="s">
        <v>1384</v>
      </c>
      <c r="B16" s="346">
        <v>0</v>
      </c>
      <c r="C16" s="346">
        <v>0.5</v>
      </c>
    </row>
    <row r="17" spans="1:3" x14ac:dyDescent="0.3">
      <c r="A17" s="347" t="s">
        <v>1220</v>
      </c>
      <c r="B17" s="348">
        <f>+B14+B15+B16</f>
        <v>4.4999999999999991</v>
      </c>
      <c r="C17" s="348">
        <f>+C14+C15+C16</f>
        <v>-1.7000000000000028</v>
      </c>
    </row>
    <row r="18" spans="1:3" x14ac:dyDescent="0.3">
      <c r="A18" s="45" t="s">
        <v>251</v>
      </c>
      <c r="B18" s="345">
        <v>-1.2</v>
      </c>
      <c r="C18" s="345">
        <v>-0.9</v>
      </c>
    </row>
    <row r="19" spans="1:3" x14ac:dyDescent="0.3">
      <c r="A19" s="25" t="s">
        <v>1417</v>
      </c>
      <c r="B19" s="319">
        <v>0</v>
      </c>
      <c r="C19" s="319">
        <v>-0.3</v>
      </c>
    </row>
    <row r="20" spans="1:3" x14ac:dyDescent="0.3">
      <c r="A20" s="1" t="s">
        <v>1469</v>
      </c>
      <c r="B20" s="344">
        <f>+B17+B18+B19</f>
        <v>3.2999999999999989</v>
      </c>
      <c r="C20" s="344">
        <f>+C17+C18+C19</f>
        <v>-2.9000000000000026</v>
      </c>
    </row>
    <row r="21" spans="1:3" x14ac:dyDescent="0.3">
      <c r="A21" s="1"/>
      <c r="B21" s="597"/>
      <c r="C21" s="597"/>
    </row>
    <row r="22" spans="1:3" x14ac:dyDescent="0.3">
      <c r="B22" s="466" t="s">
        <v>1120</v>
      </c>
      <c r="C22" s="481" t="s">
        <v>1119</v>
      </c>
    </row>
    <row r="23" spans="1:3" x14ac:dyDescent="0.3">
      <c r="B23" s="466" t="s">
        <v>1123</v>
      </c>
      <c r="C23" s="466" t="s">
        <v>1124</v>
      </c>
    </row>
    <row r="24" spans="1:3" x14ac:dyDescent="0.3">
      <c r="A24" s="479" t="s">
        <v>1122</v>
      </c>
      <c r="B24" s="480">
        <f>B3</f>
        <v>2015</v>
      </c>
      <c r="C24" s="480">
        <f>C3</f>
        <v>2015</v>
      </c>
    </row>
    <row r="25" spans="1:3" x14ac:dyDescent="0.3">
      <c r="A25" s="85" t="s">
        <v>1642</v>
      </c>
      <c r="B25" s="318">
        <v>8.1999999999999993</v>
      </c>
      <c r="C25" s="318">
        <v>50.3</v>
      </c>
    </row>
    <row r="26" spans="1:3" x14ac:dyDescent="0.3">
      <c r="A26" t="s">
        <v>1542</v>
      </c>
      <c r="B26" s="318">
        <v>2.9</v>
      </c>
      <c r="C26" s="318">
        <v>22.6</v>
      </c>
    </row>
    <row r="27" spans="1:3" x14ac:dyDescent="0.3">
      <c r="A27" t="s">
        <v>1367</v>
      </c>
      <c r="B27" s="318">
        <v>3.4</v>
      </c>
      <c r="C27" s="318">
        <v>27</v>
      </c>
    </row>
    <row r="28" spans="1:3" x14ac:dyDescent="0.3">
      <c r="A28" t="s">
        <v>1543</v>
      </c>
      <c r="B28" s="318">
        <v>9.4</v>
      </c>
      <c r="C28" s="318">
        <v>4.7</v>
      </c>
    </row>
    <row r="29" spans="1:3" x14ac:dyDescent="0.3">
      <c r="A29" t="s">
        <v>1533</v>
      </c>
      <c r="B29" s="318">
        <v>0.5</v>
      </c>
      <c r="C29" s="318">
        <v>1.7</v>
      </c>
    </row>
    <row r="30" spans="1:3" x14ac:dyDescent="0.3">
      <c r="A30" s="49" t="s">
        <v>263</v>
      </c>
      <c r="B30" s="341">
        <f>+B29+B28+B27+B25+B26</f>
        <v>24.4</v>
      </c>
      <c r="C30" s="341">
        <f>+C29+C28+C27+C25+C26</f>
        <v>106.29999999999998</v>
      </c>
    </row>
    <row r="31" spans="1:3" x14ac:dyDescent="0.3">
      <c r="A31" t="s">
        <v>1374</v>
      </c>
      <c r="B31" s="318">
        <v>2.4</v>
      </c>
      <c r="C31" s="318">
        <v>3.8</v>
      </c>
    </row>
    <row r="32" spans="1:3" x14ac:dyDescent="0.3">
      <c r="A32" t="s">
        <v>415</v>
      </c>
      <c r="B32" s="318">
        <v>3.6</v>
      </c>
      <c r="C32" s="318">
        <v>7.6</v>
      </c>
    </row>
    <row r="33" spans="1:3" x14ac:dyDescent="0.3">
      <c r="A33" t="s">
        <v>264</v>
      </c>
      <c r="B33" s="318">
        <v>1.8</v>
      </c>
      <c r="C33" s="318">
        <v>3.9</v>
      </c>
    </row>
    <row r="34" spans="1:3" x14ac:dyDescent="0.3">
      <c r="A34" t="s">
        <v>1534</v>
      </c>
      <c r="B34" s="318">
        <v>-3.9</v>
      </c>
      <c r="C34" s="318">
        <v>-12.3</v>
      </c>
    </row>
    <row r="35" spans="1:3" x14ac:dyDescent="0.3">
      <c r="A35" s="45" t="s">
        <v>1381</v>
      </c>
      <c r="B35" s="345">
        <v>-3.5</v>
      </c>
      <c r="C35" s="345">
        <v>-12.8</v>
      </c>
    </row>
    <row r="36" spans="1:3" x14ac:dyDescent="0.3">
      <c r="A36" s="47" t="s">
        <v>1537</v>
      </c>
      <c r="B36" s="345">
        <f>+B31+B32+B33+B34+B35</f>
        <v>0.39999999999999991</v>
      </c>
      <c r="C36" s="345">
        <f>+C31+C32+C33+C34+C35</f>
        <v>-9.8000000000000025</v>
      </c>
    </row>
    <row r="37" spans="1:3" x14ac:dyDescent="0.3">
      <c r="A37" s="49" t="s">
        <v>1536</v>
      </c>
      <c r="B37" s="159">
        <v>0</v>
      </c>
      <c r="C37" s="159">
        <v>0</v>
      </c>
    </row>
    <row r="38" spans="1:3" x14ac:dyDescent="0.3">
      <c r="A38" s="49" t="s">
        <v>1535</v>
      </c>
      <c r="B38" s="342">
        <f>+B37+B36</f>
        <v>0.39999999999999991</v>
      </c>
      <c r="C38" s="342">
        <f>+C37+C36</f>
        <v>-9.8000000000000025</v>
      </c>
    </row>
    <row r="39" spans="1:3" x14ac:dyDescent="0.3">
      <c r="A39" s="89" t="s">
        <v>265</v>
      </c>
      <c r="B39" s="343">
        <v>23.6</v>
      </c>
      <c r="C39" s="343">
        <v>43.5</v>
      </c>
    </row>
    <row r="40" spans="1:3" x14ac:dyDescent="0.3">
      <c r="A40" s="89" t="s">
        <v>1417</v>
      </c>
      <c r="B40" s="343">
        <v>0</v>
      </c>
      <c r="C40" s="343">
        <v>3.7</v>
      </c>
    </row>
    <row r="41" spans="1:3" s="45" customFormat="1" x14ac:dyDescent="0.3">
      <c r="A41" s="351" t="s">
        <v>1538</v>
      </c>
      <c r="B41" s="596">
        <v>0.8</v>
      </c>
      <c r="C41" s="350">
        <v>5.2</v>
      </c>
    </row>
    <row r="42" spans="1:3" s="45" customFormat="1" x14ac:dyDescent="0.3">
      <c r="A42" s="351" t="s">
        <v>1539</v>
      </c>
      <c r="B42" s="350">
        <v>0.9</v>
      </c>
      <c r="C42" s="350">
        <v>5.9</v>
      </c>
    </row>
    <row r="43" spans="1:3" s="45" customFormat="1" x14ac:dyDescent="0.3">
      <c r="A43" s="349" t="s">
        <v>1540</v>
      </c>
      <c r="B43" s="350">
        <v>0.2</v>
      </c>
      <c r="C43" s="350">
        <v>5.3</v>
      </c>
    </row>
    <row r="44" spans="1:3" x14ac:dyDescent="0.3">
      <c r="A44" s="49" t="s">
        <v>1544</v>
      </c>
      <c r="B44" s="341">
        <f>+B43+B42+B41</f>
        <v>1.9000000000000001</v>
      </c>
      <c r="C44" s="341">
        <f>+C43+C42+C41</f>
        <v>16.399999999999999</v>
      </c>
    </row>
    <row r="45" spans="1:3" x14ac:dyDescent="0.3">
      <c r="A45" t="s">
        <v>266</v>
      </c>
      <c r="B45" s="318">
        <v>0</v>
      </c>
      <c r="C45" s="318">
        <v>31.5</v>
      </c>
    </row>
    <row r="46" spans="1:3" x14ac:dyDescent="0.3">
      <c r="A46" t="s">
        <v>81</v>
      </c>
      <c r="B46" s="318">
        <v>0.7</v>
      </c>
      <c r="C46" s="318">
        <v>4.5</v>
      </c>
    </row>
    <row r="47" spans="1:3" x14ac:dyDescent="0.3">
      <c r="A47" s="25" t="s">
        <v>1548</v>
      </c>
      <c r="B47" s="319">
        <v>1.4</v>
      </c>
      <c r="C47" s="319">
        <v>3.1</v>
      </c>
    </row>
    <row r="48" spans="1:3" x14ac:dyDescent="0.3">
      <c r="A48" s="411" t="s">
        <v>1388</v>
      </c>
      <c r="B48" s="344">
        <f>B45+B46-B47</f>
        <v>-0.7</v>
      </c>
      <c r="C48" s="344">
        <f>C45+C46-C47</f>
        <v>32.9</v>
      </c>
    </row>
    <row r="49" spans="1:4" x14ac:dyDescent="0.3">
      <c r="A49" s="1" t="s">
        <v>1576</v>
      </c>
      <c r="B49" s="342">
        <f>+B45+B46-B47+B44</f>
        <v>1.2000000000000002</v>
      </c>
      <c r="C49" s="342">
        <f>+C45+C46-C47+C44</f>
        <v>49.3</v>
      </c>
    </row>
    <row r="50" spans="1:4" x14ac:dyDescent="0.3">
      <c r="C50" s="324"/>
    </row>
    <row r="51" spans="1:4" x14ac:dyDescent="0.3">
      <c r="A51" s="45"/>
      <c r="B51" s="466" t="s">
        <v>1120</v>
      </c>
      <c r="C51" s="481" t="s">
        <v>1119</v>
      </c>
    </row>
    <row r="52" spans="1:4" x14ac:dyDescent="0.3">
      <c r="A52" s="23"/>
      <c r="B52" s="466" t="s">
        <v>1123</v>
      </c>
      <c r="C52" s="466" t="s">
        <v>1124</v>
      </c>
    </row>
    <row r="53" spans="1:4" x14ac:dyDescent="0.3">
      <c r="A53" s="482"/>
      <c r="B53" s="480">
        <f>B24</f>
        <v>2015</v>
      </c>
      <c r="C53" s="480">
        <f>B53</f>
        <v>2015</v>
      </c>
    </row>
    <row r="54" spans="1:4" x14ac:dyDescent="0.3">
      <c r="A54" t="s">
        <v>1387</v>
      </c>
      <c r="B54" s="318">
        <f>+B30+B38-B43</f>
        <v>24.599999999999998</v>
      </c>
      <c r="C54" s="318">
        <f>+C30+C38-C43</f>
        <v>91.199999999999989</v>
      </c>
    </row>
    <row r="55" spans="1:4" x14ac:dyDescent="0.3">
      <c r="A55" t="s">
        <v>23</v>
      </c>
      <c r="B55" s="318">
        <f>+B14</f>
        <v>4.4999999999999991</v>
      </c>
      <c r="C55" s="318">
        <f>+C12</f>
        <v>8.4999999999999964</v>
      </c>
    </row>
    <row r="56" spans="1:4" x14ac:dyDescent="0.3">
      <c r="A56" t="s">
        <v>1770</v>
      </c>
      <c r="B56" s="318">
        <f>0.27*B55</f>
        <v>1.2149999999999999</v>
      </c>
      <c r="C56" s="318">
        <f>0.29*C55</f>
        <v>2.464999999999999</v>
      </c>
    </row>
    <row r="57" spans="1:4" x14ac:dyDescent="0.3">
      <c r="A57" s="1" t="s">
        <v>421</v>
      </c>
      <c r="B57" s="115">
        <f>(B55-B56)/B54</f>
        <v>0.13353658536585364</v>
      </c>
      <c r="C57" s="115">
        <f>(C55-C56)/C54</f>
        <v>6.6173245614035064E-2</v>
      </c>
    </row>
    <row r="58" spans="1:4" x14ac:dyDescent="0.3">
      <c r="A58" s="79"/>
      <c r="B58" s="90"/>
      <c r="C58" s="90"/>
    </row>
    <row r="60" spans="1:4" x14ac:dyDescent="0.3">
      <c r="A60" t="s">
        <v>1125</v>
      </c>
      <c r="B60" s="77">
        <f>+B39+B42</f>
        <v>24.5</v>
      </c>
      <c r="C60" s="77">
        <f>+C39+C42+C40</f>
        <v>53.1</v>
      </c>
    </row>
    <row r="61" spans="1:4" x14ac:dyDescent="0.3">
      <c r="A61" t="s">
        <v>1126</v>
      </c>
      <c r="B61" s="314">
        <f>+B20</f>
        <v>3.2999999999999989</v>
      </c>
      <c r="C61" s="314">
        <f>+C20</f>
        <v>-2.9000000000000026</v>
      </c>
    </row>
    <row r="62" spans="1:4" x14ac:dyDescent="0.3">
      <c r="A62" s="1" t="s">
        <v>24</v>
      </c>
      <c r="B62" s="143">
        <f>B61/B60</f>
        <v>0.13469387755102036</v>
      </c>
      <c r="C62" s="143">
        <f>C61/C60</f>
        <v>-5.4613935969868223E-2</v>
      </c>
      <c r="D62" t="s">
        <v>1771</v>
      </c>
    </row>
    <row r="63" spans="1:4" x14ac:dyDescent="0.3">
      <c r="A63" s="1"/>
      <c r="B63" s="143"/>
      <c r="C63" s="69">
        <f>(C12+C15+C16)*(1-29%)/C39</f>
        <v>0.11425287356321832</v>
      </c>
      <c r="D63" t="s">
        <v>1772</v>
      </c>
    </row>
    <row r="64" spans="1:4" s="1" customFormat="1" x14ac:dyDescent="0.3">
      <c r="A64" s="85"/>
      <c r="B64" s="143"/>
    </row>
    <row r="65" spans="1:2" x14ac:dyDescent="0.3">
      <c r="B65" s="70"/>
    </row>
    <row r="66" spans="1:2" x14ac:dyDescent="0.3">
      <c r="A66" s="33" t="s">
        <v>1420</v>
      </c>
    </row>
    <row r="68" spans="1:2" x14ac:dyDescent="0.3">
      <c r="A68" t="s">
        <v>440</v>
      </c>
    </row>
    <row r="70" spans="1:2" x14ac:dyDescent="0.3">
      <c r="A70" s="12" t="s">
        <v>244</v>
      </c>
    </row>
    <row r="72" spans="1:2" x14ac:dyDescent="0.3">
      <c r="A72" t="s">
        <v>235</v>
      </c>
      <c r="B72" s="37">
        <v>0.03</v>
      </c>
    </row>
    <row r="73" spans="1:2" x14ac:dyDescent="0.3">
      <c r="A73" t="s">
        <v>236</v>
      </c>
      <c r="B73" s="37">
        <v>0.05</v>
      </c>
    </row>
    <row r="74" spans="1:2" x14ac:dyDescent="0.3">
      <c r="A74" t="s">
        <v>237</v>
      </c>
      <c r="B74" s="37">
        <v>0.4</v>
      </c>
    </row>
    <row r="75" spans="1:2" x14ac:dyDescent="0.3">
      <c r="A75" t="s">
        <v>238</v>
      </c>
      <c r="B75" s="70">
        <v>1000</v>
      </c>
    </row>
    <row r="77" spans="1:2" x14ac:dyDescent="0.3">
      <c r="A77" t="s">
        <v>241</v>
      </c>
      <c r="B77" s="37">
        <v>0.2</v>
      </c>
    </row>
    <row r="78" spans="1:2" x14ac:dyDescent="0.3">
      <c r="B78" s="37"/>
    </row>
    <row r="79" spans="1:2" x14ac:dyDescent="0.3">
      <c r="A79" s="1" t="s">
        <v>239</v>
      </c>
    </row>
    <row r="80" spans="1:2" x14ac:dyDescent="0.3">
      <c r="A80" s="85" t="s">
        <v>243</v>
      </c>
      <c r="B80" s="483">
        <v>250</v>
      </c>
    </row>
    <row r="82" spans="1:6" x14ac:dyDescent="0.3">
      <c r="A82" t="s">
        <v>1387</v>
      </c>
      <c r="B82" s="65">
        <f>B75</f>
        <v>1000</v>
      </c>
    </row>
    <row r="83" spans="1:6" x14ac:dyDescent="0.3">
      <c r="A83" t="s">
        <v>1388</v>
      </c>
      <c r="B83" s="65">
        <f>B82-B84</f>
        <v>750</v>
      </c>
    </row>
    <row r="84" spans="1:6" x14ac:dyDescent="0.3">
      <c r="A84" t="s">
        <v>1378</v>
      </c>
      <c r="B84" s="65">
        <f>B80</f>
        <v>250</v>
      </c>
    </row>
    <row r="85" spans="1:6" x14ac:dyDescent="0.3">
      <c r="A85" t="s">
        <v>1360</v>
      </c>
      <c r="B85" s="65">
        <f>B86*(1-B74)/B72</f>
        <v>2416.666666666667</v>
      </c>
    </row>
    <row r="86" spans="1:6" x14ac:dyDescent="0.3">
      <c r="A86" t="s">
        <v>1184</v>
      </c>
      <c r="B86" s="65">
        <f>SUM(B87:B89)</f>
        <v>120.83333333333334</v>
      </c>
    </row>
    <row r="87" spans="1:6" x14ac:dyDescent="0.3">
      <c r="A87" t="s">
        <v>1364</v>
      </c>
      <c r="B87" s="65">
        <f>B83*B73</f>
        <v>37.5</v>
      </c>
    </row>
    <row r="88" spans="1:6" x14ac:dyDescent="0.3">
      <c r="A88" t="s">
        <v>1466</v>
      </c>
      <c r="B88" s="65">
        <f>B89/(1-B74)*B74</f>
        <v>33.333333333333336</v>
      </c>
    </row>
    <row r="89" spans="1:6" x14ac:dyDescent="0.3">
      <c r="A89" t="s">
        <v>1221</v>
      </c>
      <c r="B89" s="65">
        <f>B84*B77</f>
        <v>50</v>
      </c>
    </row>
    <row r="90" spans="1:6" x14ac:dyDescent="0.3">
      <c r="A90" s="85" t="s">
        <v>420</v>
      </c>
      <c r="B90" s="484">
        <f>B86*(1-B74)/B82</f>
        <v>7.2499999999999995E-2</v>
      </c>
    </row>
    <row r="92" spans="1:6" ht="17.5" x14ac:dyDescent="0.3">
      <c r="A92" s="12" t="s">
        <v>208</v>
      </c>
      <c r="C92" s="222"/>
      <c r="D92" s="222"/>
      <c r="E92" s="222"/>
    </row>
    <row r="93" spans="1:6" x14ac:dyDescent="0.3">
      <c r="A93" s="466" t="s">
        <v>187</v>
      </c>
      <c r="B93" s="466">
        <v>1</v>
      </c>
      <c r="C93" s="466">
        <v>2</v>
      </c>
      <c r="D93" s="466">
        <v>3</v>
      </c>
      <c r="E93" s="466">
        <v>4</v>
      </c>
      <c r="F93" s="466">
        <v>5</v>
      </c>
    </row>
    <row r="94" spans="1:6" x14ac:dyDescent="0.3">
      <c r="A94" t="s">
        <v>1378</v>
      </c>
      <c r="B94" s="65">
        <v>100</v>
      </c>
      <c r="C94" s="65">
        <v>115</v>
      </c>
      <c r="D94" s="65">
        <v>320</v>
      </c>
      <c r="E94" s="65">
        <v>300</v>
      </c>
      <c r="F94" s="65">
        <v>240</v>
      </c>
    </row>
    <row r="95" spans="1:6" x14ac:dyDescent="0.3">
      <c r="A95" t="s">
        <v>1388</v>
      </c>
      <c r="B95" s="65">
        <v>123</v>
      </c>
      <c r="C95" s="65">
        <v>180</v>
      </c>
      <c r="D95" s="65">
        <v>540</v>
      </c>
      <c r="E95" s="65">
        <v>640</v>
      </c>
      <c r="F95" s="65">
        <v>680</v>
      </c>
    </row>
    <row r="96" spans="1:6" x14ac:dyDescent="0.3">
      <c r="A96" t="s">
        <v>245</v>
      </c>
      <c r="B96" s="65">
        <v>11</v>
      </c>
      <c r="C96" s="65">
        <v>18.5</v>
      </c>
      <c r="D96" s="65">
        <v>29</v>
      </c>
      <c r="E96" s="65">
        <v>63</v>
      </c>
      <c r="F96" s="65">
        <v>83</v>
      </c>
    </row>
    <row r="97" spans="1:6" x14ac:dyDescent="0.3">
      <c r="A97" t="s">
        <v>1221</v>
      </c>
      <c r="B97" s="65">
        <v>14</v>
      </c>
      <c r="C97" s="65">
        <v>16</v>
      </c>
      <c r="D97" s="65">
        <v>-20</v>
      </c>
      <c r="E97" s="65">
        <v>-60</v>
      </c>
      <c r="F97" s="65">
        <v>-40</v>
      </c>
    </row>
    <row r="99" spans="1:6" x14ac:dyDescent="0.3">
      <c r="A99" t="s">
        <v>246</v>
      </c>
      <c r="B99" s="37">
        <v>0.35</v>
      </c>
      <c r="C99" s="37">
        <f>B99</f>
        <v>0.35</v>
      </c>
      <c r="D99" s="37">
        <f>C99</f>
        <v>0.35</v>
      </c>
      <c r="E99" s="37">
        <f>D99</f>
        <v>0.35</v>
      </c>
      <c r="F99" s="37">
        <f>E99</f>
        <v>0.35</v>
      </c>
    </row>
    <row r="101" spans="1:6" x14ac:dyDescent="0.3">
      <c r="A101" t="s">
        <v>1365</v>
      </c>
      <c r="B101" s="77">
        <f>IF(B97&gt;0, B97*B99/(1-B99),0)</f>
        <v>7.5384615384615374</v>
      </c>
      <c r="C101" s="77">
        <f>IF(C97&gt;0, C97*C99/(1-C99),0)</f>
        <v>8.615384615384615</v>
      </c>
      <c r="D101">
        <f>IF(D97&gt;0, D97*D99/(1-D99),0)</f>
        <v>0</v>
      </c>
      <c r="E101">
        <f>IF(E97&gt;0, E97*E99/(1-E99),0)</f>
        <v>0</v>
      </c>
      <c r="F101">
        <f>IF(F97&gt;0, F97*F99/(1-F99),0)</f>
        <v>0</v>
      </c>
    </row>
    <row r="102" spans="1:6" x14ac:dyDescent="0.3">
      <c r="A102" t="s">
        <v>1184</v>
      </c>
      <c r="B102" s="77">
        <f>B97+B96+B101</f>
        <v>32.53846153846154</v>
      </c>
      <c r="C102" s="77">
        <f>C97+C96+C101</f>
        <v>43.115384615384613</v>
      </c>
      <c r="D102" s="77">
        <f>D97+D96+D101</f>
        <v>9</v>
      </c>
      <c r="E102" s="77">
        <f>E97+E96+E101</f>
        <v>3</v>
      </c>
      <c r="F102" s="77">
        <f>F97+F96+F101</f>
        <v>43</v>
      </c>
    </row>
    <row r="104" spans="1:6" x14ac:dyDescent="0.3">
      <c r="A104" t="s">
        <v>247</v>
      </c>
      <c r="B104" s="83">
        <f>B102*(1-B99)/(B94+B95)</f>
        <v>9.4843049327354267E-2</v>
      </c>
      <c r="C104" s="83">
        <f>C102*(1-C99)/(C94+C95)</f>
        <v>9.5000000000000001E-2</v>
      </c>
      <c r="D104" s="83">
        <f>D102*(1-D99)/(D94+D95)</f>
        <v>6.8023255813953491E-3</v>
      </c>
      <c r="E104" s="83">
        <f>E102*(1-E99)/(E94+E95)</f>
        <v>2.0744680851063832E-3</v>
      </c>
      <c r="F104" s="83">
        <f>F102*(1-F99)/(F94+F95)</f>
        <v>3.0380434782608694E-2</v>
      </c>
    </row>
    <row r="105" spans="1:6" x14ac:dyDescent="0.3">
      <c r="A105" t="s">
        <v>248</v>
      </c>
      <c r="B105" s="83">
        <f>IF(B96&lt;B102,B96/B95*(1-B99),B102/B95*(1-B99)+(B96-B102)/B95)</f>
        <v>5.8130081300813014E-2</v>
      </c>
      <c r="C105" s="83">
        <f>IF(C96&lt;C102,C96/C95*(1-C99),C102/C95*(1-C99)+(C96-C102)/C95)</f>
        <v>6.6805555555555549E-2</v>
      </c>
      <c r="D105" s="83">
        <f>IF(D96&lt;D102,D96/D95*(1-D99),D102/D95*(1-D99)+(D96-D102)/D95)</f>
        <v>4.7870370370370369E-2</v>
      </c>
      <c r="E105" s="83">
        <f>IF(E96&lt;E102,E96/E95*(1-E99),E102/E95*(1-E99)+(E96-E102)/E95)</f>
        <v>9.6796875000000004E-2</v>
      </c>
      <c r="F105" s="83">
        <f>IF(F96&lt;F102,F96/F95*(1-F99),F102/F95*(1-F99)+(F96-F102)/F95)</f>
        <v>9.9926470588235283E-2</v>
      </c>
    </row>
    <row r="106" spans="1:6" x14ac:dyDescent="0.3">
      <c r="A106" s="25" t="s">
        <v>249</v>
      </c>
      <c r="B106" s="88">
        <f>B95/B94</f>
        <v>1.23</v>
      </c>
      <c r="C106" s="88">
        <f>C95/C94</f>
        <v>1.5652173913043479</v>
      </c>
      <c r="D106" s="88">
        <f>D95/D94</f>
        <v>1.6875</v>
      </c>
      <c r="E106" s="88">
        <f>E95/E94</f>
        <v>2.1333333333333333</v>
      </c>
      <c r="F106" s="88">
        <f>F95/F94</f>
        <v>2.8333333333333335</v>
      </c>
    </row>
    <row r="107" spans="1:6" x14ac:dyDescent="0.3">
      <c r="A107" s="1" t="s">
        <v>242</v>
      </c>
      <c r="B107" s="87">
        <f>(B104-B105)*B106</f>
        <v>4.5156950672645739E-2</v>
      </c>
      <c r="C107" s="87">
        <f>(C104-C105)*C106</f>
        <v>4.413043478260871E-2</v>
      </c>
      <c r="D107" s="87">
        <f>(D104-D105)*D106</f>
        <v>-6.9302325581395346E-2</v>
      </c>
      <c r="E107" s="87">
        <f>(E104-E105)*E106</f>
        <v>-0.20207446808510637</v>
      </c>
      <c r="F107" s="87">
        <f>(F104-F105)*F106</f>
        <v>-0.19704710144927534</v>
      </c>
    </row>
    <row r="108" spans="1:6" x14ac:dyDescent="0.3">
      <c r="B108" s="86"/>
      <c r="C108" s="86"/>
      <c r="D108" s="86"/>
      <c r="E108" s="86"/>
      <c r="F108" s="86"/>
    </row>
    <row r="109" spans="1:6" x14ac:dyDescent="0.3">
      <c r="A109" t="s">
        <v>250</v>
      </c>
      <c r="B109" s="83">
        <f>B104+B107</f>
        <v>0.14000000000000001</v>
      </c>
      <c r="C109" s="83">
        <f>C104+C107</f>
        <v>0.13913043478260873</v>
      </c>
      <c r="D109" s="83">
        <f>D104+D107</f>
        <v>-6.25E-2</v>
      </c>
      <c r="E109" s="83">
        <f>E104+E107</f>
        <v>-0.19999999999999998</v>
      </c>
      <c r="F109" s="83">
        <f>F104+F107</f>
        <v>-0.16666666666666666</v>
      </c>
    </row>
    <row r="111" spans="1:6" x14ac:dyDescent="0.3">
      <c r="B111" s="70"/>
      <c r="D111" t="s">
        <v>458</v>
      </c>
    </row>
    <row r="112" spans="1:6" x14ac:dyDescent="0.3">
      <c r="A112" s="92"/>
      <c r="B112" s="70"/>
      <c r="D112" t="s">
        <v>458</v>
      </c>
    </row>
    <row r="119" spans="4:6" x14ac:dyDescent="0.3">
      <c r="D119" t="s">
        <v>458</v>
      </c>
      <c r="E119" t="s">
        <v>458</v>
      </c>
    </row>
    <row r="120" spans="4:6" x14ac:dyDescent="0.3">
      <c r="D120" t="s">
        <v>458</v>
      </c>
      <c r="F120" t="s">
        <v>458</v>
      </c>
    </row>
    <row r="121" spans="4:6" x14ac:dyDescent="0.3">
      <c r="D121" t="s">
        <v>458</v>
      </c>
      <c r="F121" t="s">
        <v>458</v>
      </c>
    </row>
    <row r="122" spans="4:6" x14ac:dyDescent="0.3">
      <c r="D122" t="s">
        <v>458</v>
      </c>
      <c r="F122" s="83" t="s">
        <v>458</v>
      </c>
    </row>
  </sheetData>
  <phoneticPr fontId="4" type="noConversion"/>
  <pageMargins left="0.78740157480314965" right="0.78740157480314965" top="0.98425196850393704" bottom="0.98425196850393704" header="0.51181102362204722" footer="0.51181102362204722"/>
  <pageSetup paperSize="9" fitToHeight="6"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
  <sheetViews>
    <sheetView showGridLines="0" zoomScale="85" zoomScaleNormal="85" zoomScalePageLayoutView="85" workbookViewId="0"/>
  </sheetViews>
  <sheetFormatPr baseColWidth="10" defaultRowHeight="13.5" x14ac:dyDescent="0.3"/>
  <cols>
    <col min="1" max="1" width="58.23046875" customWidth="1"/>
  </cols>
  <sheetData>
    <row r="1" spans="1:6" x14ac:dyDescent="0.3">
      <c r="A1" s="33" t="s">
        <v>1546</v>
      </c>
    </row>
    <row r="2" spans="1:6" x14ac:dyDescent="0.3">
      <c r="A2" s="33"/>
    </row>
    <row r="3" spans="1:6" x14ac:dyDescent="0.3">
      <c r="A3" s="100" t="s">
        <v>1547</v>
      </c>
    </row>
    <row r="4" spans="1:6" x14ac:dyDescent="0.3">
      <c r="A4" s="94"/>
    </row>
    <row r="5" spans="1:6" x14ac:dyDescent="0.3">
      <c r="A5" s="474" t="s">
        <v>1400</v>
      </c>
      <c r="B5" s="474">
        <v>1985</v>
      </c>
      <c r="C5" s="474">
        <v>1986</v>
      </c>
      <c r="D5" s="474">
        <v>1987</v>
      </c>
      <c r="E5" s="474">
        <v>1988</v>
      </c>
      <c r="F5" s="474">
        <v>1989</v>
      </c>
    </row>
    <row r="6" spans="1:6" x14ac:dyDescent="0.3">
      <c r="A6" s="3" t="s">
        <v>1360</v>
      </c>
      <c r="B6" s="15">
        <v>15.3</v>
      </c>
      <c r="C6" s="15">
        <v>16</v>
      </c>
      <c r="D6" s="15">
        <v>18</v>
      </c>
      <c r="E6" s="15">
        <v>21.1</v>
      </c>
      <c r="F6" s="15">
        <v>23.4</v>
      </c>
    </row>
    <row r="7" spans="1:6" x14ac:dyDescent="0.3">
      <c r="A7" s="26" t="s">
        <v>269</v>
      </c>
      <c r="B7" s="15"/>
      <c r="C7" s="15"/>
      <c r="D7" s="15"/>
      <c r="E7" s="15"/>
      <c r="F7" s="15"/>
    </row>
    <row r="8" spans="1:6" x14ac:dyDescent="0.3">
      <c r="A8" s="323" t="s">
        <v>272</v>
      </c>
      <c r="B8" s="54">
        <v>-10.1</v>
      </c>
      <c r="C8" s="54">
        <v>-10.6</v>
      </c>
      <c r="D8" s="54">
        <v>-11.8</v>
      </c>
      <c r="E8" s="54">
        <v>-13.6</v>
      </c>
      <c r="F8" s="54">
        <v>-15.5</v>
      </c>
    </row>
    <row r="9" spans="1:6" x14ac:dyDescent="0.3">
      <c r="A9" s="101" t="s">
        <v>273</v>
      </c>
      <c r="B9" s="59">
        <f>SUM(B6:B8)</f>
        <v>5.2000000000000011</v>
      </c>
      <c r="C9" s="59">
        <f>SUM(C6:C8)</f>
        <v>5.4</v>
      </c>
      <c r="D9" s="59">
        <f>SUM(D6:D8)</f>
        <v>6.1999999999999993</v>
      </c>
      <c r="E9" s="59">
        <f>SUM(E6:E8)</f>
        <v>7.5000000000000018</v>
      </c>
      <c r="F9" s="59">
        <f>SUM(F6:F8)</f>
        <v>7.8999999999999986</v>
      </c>
    </row>
    <row r="10" spans="1:6" x14ac:dyDescent="0.3">
      <c r="A10" s="323" t="s">
        <v>274</v>
      </c>
      <c r="B10" s="54">
        <v>-4</v>
      </c>
      <c r="C10" s="54">
        <v>-3.9</v>
      </c>
      <c r="D10" s="54">
        <v>-3.9</v>
      </c>
      <c r="E10" s="54">
        <v>-4.0999999999999996</v>
      </c>
      <c r="F10" s="54">
        <v>-4.4000000000000004</v>
      </c>
    </row>
    <row r="11" spans="1:6" x14ac:dyDescent="0.3">
      <c r="A11" s="323" t="s">
        <v>275</v>
      </c>
      <c r="B11" s="54">
        <v>0.2</v>
      </c>
      <c r="C11" s="54">
        <v>0.3</v>
      </c>
      <c r="D11" s="54">
        <v>0.4</v>
      </c>
      <c r="E11" s="54">
        <v>0.1</v>
      </c>
      <c r="F11" s="54">
        <v>0.4</v>
      </c>
    </row>
    <row r="12" spans="1:6" x14ac:dyDescent="0.3">
      <c r="A12" s="101" t="s">
        <v>1385</v>
      </c>
      <c r="B12" s="59">
        <f>SUM(B9:B11)</f>
        <v>1.400000000000001</v>
      </c>
      <c r="C12" s="59">
        <f>SUM(C9:C11)</f>
        <v>1.8000000000000005</v>
      </c>
      <c r="D12" s="59">
        <f>SUM(D9:D11)</f>
        <v>2.6999999999999993</v>
      </c>
      <c r="E12" s="59">
        <f>SUM(E9:E11)</f>
        <v>3.5000000000000022</v>
      </c>
      <c r="F12" s="59">
        <f>SUM(F9:F11)</f>
        <v>3.8999999999999981</v>
      </c>
    </row>
    <row r="13" spans="1:6" x14ac:dyDescent="0.3">
      <c r="A13" s="323" t="s">
        <v>252</v>
      </c>
      <c r="B13" s="54">
        <v>-0.6</v>
      </c>
      <c r="C13" s="54">
        <v>-0.7</v>
      </c>
      <c r="D13" s="54">
        <v>-0.9</v>
      </c>
      <c r="E13" s="54">
        <v>-1</v>
      </c>
      <c r="F13" s="54">
        <v>-1.2</v>
      </c>
    </row>
    <row r="14" spans="1:6" x14ac:dyDescent="0.3">
      <c r="A14" s="101" t="s">
        <v>1184</v>
      </c>
      <c r="B14" s="59">
        <f>SUM(B12:B13)</f>
        <v>0.80000000000000104</v>
      </c>
      <c r="C14" s="59">
        <f>SUM(C12:C13)</f>
        <v>1.1000000000000005</v>
      </c>
      <c r="D14" s="59">
        <f>SUM(D12:D13)</f>
        <v>1.7999999999999994</v>
      </c>
      <c r="E14" s="59">
        <f>SUM(E12:E13)</f>
        <v>2.5000000000000022</v>
      </c>
      <c r="F14" s="59">
        <f>SUM(F12:F13)</f>
        <v>2.6999999999999984</v>
      </c>
    </row>
    <row r="15" spans="1:6" x14ac:dyDescent="0.3">
      <c r="A15" s="182" t="s">
        <v>88</v>
      </c>
      <c r="B15" s="54">
        <v>-0.7</v>
      </c>
      <c r="C15" s="54">
        <v>-0.5</v>
      </c>
      <c r="D15" s="54">
        <v>-0.4</v>
      </c>
      <c r="E15" s="54">
        <v>-0.2</v>
      </c>
      <c r="F15" s="54">
        <v>-0.1</v>
      </c>
    </row>
    <row r="16" spans="1:6" x14ac:dyDescent="0.3">
      <c r="A16" s="182" t="s">
        <v>1220</v>
      </c>
      <c r="B16" s="54">
        <f>SUM(B14:B15)</f>
        <v>0.10000000000000109</v>
      </c>
      <c r="C16" s="54">
        <f>SUM(C14:C15)</f>
        <v>0.60000000000000053</v>
      </c>
      <c r="D16" s="54">
        <f>SUM(D14:D15)</f>
        <v>1.3999999999999995</v>
      </c>
      <c r="E16" s="54">
        <f>SUM(E14:E15)</f>
        <v>2.300000000000002</v>
      </c>
      <c r="F16" s="54">
        <f>SUM(F14:F15)</f>
        <v>2.5999999999999983</v>
      </c>
    </row>
    <row r="17" spans="1:6" x14ac:dyDescent="0.3">
      <c r="A17" s="182" t="s">
        <v>251</v>
      </c>
      <c r="B17" s="54">
        <v>0</v>
      </c>
      <c r="C17" s="54">
        <v>0.2</v>
      </c>
      <c r="D17" s="54">
        <v>0.5</v>
      </c>
      <c r="E17" s="54">
        <v>0.9</v>
      </c>
      <c r="F17" s="54">
        <v>1</v>
      </c>
    </row>
    <row r="18" spans="1:6" x14ac:dyDescent="0.3">
      <c r="A18" s="24" t="s">
        <v>1221</v>
      </c>
      <c r="B18" s="55">
        <f>B16-B17</f>
        <v>0.10000000000000109</v>
      </c>
      <c r="C18" s="55">
        <f>C16-C17</f>
        <v>0.40000000000000052</v>
      </c>
      <c r="D18" s="55">
        <f>D16-D17</f>
        <v>0.89999999999999947</v>
      </c>
      <c r="E18" s="55">
        <f>E16-E17</f>
        <v>1.4000000000000021</v>
      </c>
      <c r="F18" s="55">
        <f>F16-F17</f>
        <v>1.5999999999999983</v>
      </c>
    </row>
    <row r="19" spans="1:6" x14ac:dyDescent="0.3">
      <c r="A19" s="101"/>
      <c r="B19" s="59"/>
      <c r="C19" s="59"/>
      <c r="D19" s="59"/>
      <c r="E19" s="59"/>
      <c r="F19" s="59"/>
    </row>
    <row r="20" spans="1:6" s="1" customFormat="1" x14ac:dyDescent="0.3">
      <c r="A20" s="325" t="s">
        <v>127</v>
      </c>
      <c r="B20" s="326">
        <v>0.5</v>
      </c>
      <c r="C20" s="326">
        <v>0.37</v>
      </c>
      <c r="D20" s="326">
        <v>0.39</v>
      </c>
      <c r="E20" s="326">
        <v>0.38</v>
      </c>
      <c r="F20" s="326">
        <v>0.38</v>
      </c>
    </row>
    <row r="23" spans="1:6" x14ac:dyDescent="0.3">
      <c r="A23" s="487" t="s">
        <v>276</v>
      </c>
      <c r="B23" s="474">
        <v>1985</v>
      </c>
      <c r="C23" s="474">
        <v>1986</v>
      </c>
      <c r="D23" s="474">
        <v>1987</v>
      </c>
      <c r="E23" s="474">
        <v>1988</v>
      </c>
      <c r="F23" s="474">
        <v>1989</v>
      </c>
    </row>
    <row r="24" spans="1:6" x14ac:dyDescent="0.3">
      <c r="A24" t="s">
        <v>1367</v>
      </c>
      <c r="B24" s="15">
        <v>4</v>
      </c>
      <c r="C24" s="15">
        <v>4.5</v>
      </c>
      <c r="D24" s="15">
        <v>5.0999999999999996</v>
      </c>
      <c r="E24" s="15">
        <v>6.1</v>
      </c>
      <c r="F24" s="15">
        <v>6.9</v>
      </c>
    </row>
    <row r="25" spans="1:6" x14ac:dyDescent="0.3">
      <c r="A25" t="s">
        <v>277</v>
      </c>
      <c r="B25" s="15">
        <v>1.2</v>
      </c>
      <c r="C25" s="15">
        <v>1.3</v>
      </c>
      <c r="D25" s="15">
        <v>1.1000000000000001</v>
      </c>
      <c r="E25" s="15">
        <v>1.3</v>
      </c>
      <c r="F25" s="15">
        <v>1.3</v>
      </c>
    </row>
    <row r="26" spans="1:6" x14ac:dyDescent="0.3">
      <c r="A26" t="s">
        <v>1374</v>
      </c>
      <c r="B26" s="15">
        <v>2.7</v>
      </c>
      <c r="C26" s="15">
        <v>2.7</v>
      </c>
      <c r="D26" s="15">
        <v>2.7</v>
      </c>
      <c r="E26" s="15">
        <v>2.6</v>
      </c>
      <c r="F26" s="15">
        <v>3</v>
      </c>
    </row>
    <row r="27" spans="1:6" x14ac:dyDescent="0.3">
      <c r="A27" t="s">
        <v>184</v>
      </c>
      <c r="B27" s="15">
        <v>1.6</v>
      </c>
      <c r="C27" s="15">
        <v>1.4</v>
      </c>
      <c r="D27" s="15">
        <v>1.4</v>
      </c>
      <c r="E27" s="15">
        <v>1.6</v>
      </c>
      <c r="F27" s="15">
        <v>1.7</v>
      </c>
    </row>
    <row r="28" spans="1:6" x14ac:dyDescent="0.3">
      <c r="A28" t="s">
        <v>278</v>
      </c>
      <c r="B28" s="15">
        <v>0.7</v>
      </c>
      <c r="C28" s="15">
        <v>0.7</v>
      </c>
      <c r="D28" s="15">
        <v>0.8</v>
      </c>
      <c r="E28" s="15">
        <v>0.7</v>
      </c>
      <c r="F28" s="15">
        <v>0.9</v>
      </c>
    </row>
    <row r="29" spans="1:6" x14ac:dyDescent="0.3">
      <c r="A29" t="s">
        <v>1470</v>
      </c>
      <c r="B29" s="15">
        <v>0.3</v>
      </c>
      <c r="C29" s="15">
        <v>0.2</v>
      </c>
      <c r="D29" s="15">
        <v>0.4</v>
      </c>
      <c r="E29" s="15">
        <v>2.5</v>
      </c>
      <c r="F29" s="15">
        <v>2.2000000000000002</v>
      </c>
    </row>
    <row r="30" spans="1:6" x14ac:dyDescent="0.3">
      <c r="A30" t="s">
        <v>1376</v>
      </c>
      <c r="B30" s="15">
        <v>0.3</v>
      </c>
      <c r="C30" s="15">
        <v>0.2</v>
      </c>
      <c r="D30" s="15">
        <v>0.2</v>
      </c>
      <c r="E30" s="15">
        <v>0.2</v>
      </c>
      <c r="F30" s="15">
        <v>0.3</v>
      </c>
    </row>
    <row r="31" spans="1:6" x14ac:dyDescent="0.3">
      <c r="A31" s="485" t="s">
        <v>268</v>
      </c>
      <c r="B31" s="486">
        <f>SUM(B24:B30)</f>
        <v>10.8</v>
      </c>
      <c r="C31" s="486">
        <f>SUM(C24:C30)</f>
        <v>10.999999999999998</v>
      </c>
      <c r="D31" s="486">
        <f>SUM(D24:D30)</f>
        <v>11.7</v>
      </c>
      <c r="E31" s="486">
        <f>SUM(E24:E30)</f>
        <v>14.999999999999998</v>
      </c>
      <c r="F31" s="486">
        <f>SUM(F24:F30)</f>
        <v>16.3</v>
      </c>
    </row>
    <row r="32" spans="1:6" x14ac:dyDescent="0.3">
      <c r="B32" s="15"/>
      <c r="C32" s="15"/>
      <c r="D32" s="15"/>
      <c r="E32" s="15"/>
      <c r="F32" s="15"/>
    </row>
    <row r="33" spans="1:6" x14ac:dyDescent="0.3">
      <c r="A33" t="s">
        <v>1378</v>
      </c>
      <c r="B33" s="15">
        <v>1.1000000000000001</v>
      </c>
      <c r="C33" s="15">
        <v>1.7</v>
      </c>
      <c r="D33" s="15">
        <v>3.2</v>
      </c>
      <c r="E33" s="15">
        <v>4.7</v>
      </c>
      <c r="F33" s="15">
        <v>6</v>
      </c>
    </row>
    <row r="34" spans="1:6" x14ac:dyDescent="0.3">
      <c r="A34" t="s">
        <v>1412</v>
      </c>
      <c r="B34" s="15">
        <v>3.6</v>
      </c>
      <c r="C34" s="15">
        <v>3.5</v>
      </c>
      <c r="D34" s="15">
        <v>2.6</v>
      </c>
      <c r="E34" s="15">
        <v>2.5</v>
      </c>
      <c r="F34" s="15">
        <v>1.5</v>
      </c>
    </row>
    <row r="35" spans="1:6" x14ac:dyDescent="0.3">
      <c r="A35" t="s">
        <v>1413</v>
      </c>
      <c r="B35" s="15">
        <v>0.3</v>
      </c>
      <c r="C35" s="15">
        <v>0.3</v>
      </c>
      <c r="D35" s="15">
        <v>0.4</v>
      </c>
      <c r="E35" s="15">
        <v>0.7</v>
      </c>
      <c r="F35" s="15">
        <v>1</v>
      </c>
    </row>
    <row r="36" spans="1:6" x14ac:dyDescent="0.3">
      <c r="A36" t="s">
        <v>1380</v>
      </c>
      <c r="B36" s="15">
        <v>2.4</v>
      </c>
      <c r="C36" s="15">
        <v>2.5</v>
      </c>
      <c r="D36" s="15">
        <v>2.8</v>
      </c>
      <c r="E36" s="15">
        <v>3.2</v>
      </c>
      <c r="F36" s="15">
        <v>3.7</v>
      </c>
    </row>
    <row r="37" spans="1:6" x14ac:dyDescent="0.3">
      <c r="A37" t="s">
        <v>279</v>
      </c>
      <c r="B37" s="15">
        <v>1.6</v>
      </c>
      <c r="C37" s="15">
        <v>1.6</v>
      </c>
      <c r="D37" s="15">
        <v>1.8</v>
      </c>
      <c r="E37" s="15">
        <v>2.6</v>
      </c>
      <c r="F37" s="15">
        <v>2.5</v>
      </c>
    </row>
    <row r="38" spans="1:6" x14ac:dyDescent="0.3">
      <c r="A38" t="s">
        <v>81</v>
      </c>
      <c r="B38" s="15">
        <v>1.8</v>
      </c>
      <c r="C38" s="15">
        <v>1.4</v>
      </c>
      <c r="D38" s="15">
        <v>0.9</v>
      </c>
      <c r="E38" s="15">
        <v>1.3</v>
      </c>
      <c r="F38" s="15">
        <v>1.6</v>
      </c>
    </row>
    <row r="39" spans="1:6" x14ac:dyDescent="0.3">
      <c r="A39" s="96" t="s">
        <v>1383</v>
      </c>
      <c r="B39" s="56">
        <f>SUM(B33:B38)</f>
        <v>10.8</v>
      </c>
      <c r="C39" s="56">
        <f>SUM(C33:C38)</f>
        <v>11</v>
      </c>
      <c r="D39" s="56">
        <f>SUM(D33:D38)</f>
        <v>11.700000000000001</v>
      </c>
      <c r="E39" s="56">
        <f>SUM(E33:E38)</f>
        <v>15.000000000000002</v>
      </c>
      <c r="F39" s="56">
        <f>SUM(F33:F38)</f>
        <v>16.3</v>
      </c>
    </row>
    <row r="42" spans="1:6" x14ac:dyDescent="0.3">
      <c r="A42" s="487" t="s">
        <v>229</v>
      </c>
      <c r="B42" s="474">
        <v>1985</v>
      </c>
      <c r="C42" s="474">
        <v>1986</v>
      </c>
      <c r="D42" s="474">
        <v>1987</v>
      </c>
      <c r="E42" s="474">
        <v>1988</v>
      </c>
      <c r="F42" s="474">
        <v>1989</v>
      </c>
    </row>
    <row r="43" spans="1:6" x14ac:dyDescent="0.3">
      <c r="A43" s="3" t="s">
        <v>1221</v>
      </c>
      <c r="B43" s="15">
        <f>B18</f>
        <v>0.10000000000000109</v>
      </c>
      <c r="C43" s="15">
        <f>C18</f>
        <v>0.40000000000000052</v>
      </c>
      <c r="D43" s="15">
        <f>D18</f>
        <v>0.89999999999999947</v>
      </c>
      <c r="E43" s="15">
        <f>E18</f>
        <v>1.4000000000000021</v>
      </c>
      <c r="F43" s="15">
        <f>F18</f>
        <v>1.5999999999999983</v>
      </c>
    </row>
    <row r="44" spans="1:6" ht="27" x14ac:dyDescent="0.3">
      <c r="A44" s="26" t="s">
        <v>280</v>
      </c>
      <c r="B44" s="15">
        <f>-B13</f>
        <v>0.6</v>
      </c>
      <c r="C44" s="15">
        <f>-C13</f>
        <v>0.7</v>
      </c>
      <c r="D44" s="15">
        <f>-D13</f>
        <v>0.9</v>
      </c>
      <c r="E44" s="15">
        <f>-E13</f>
        <v>1</v>
      </c>
      <c r="F44" s="15">
        <f>-F13</f>
        <v>1.2</v>
      </c>
    </row>
    <row r="45" spans="1:6" x14ac:dyDescent="0.3">
      <c r="A45" s="3" t="s">
        <v>1347</v>
      </c>
      <c r="B45" s="15">
        <f>SUM(B43:B44)</f>
        <v>0.70000000000000107</v>
      </c>
      <c r="C45" s="15">
        <f>SUM(C43:C44)</f>
        <v>1.1000000000000005</v>
      </c>
      <c r="D45" s="15">
        <f>SUM(D43:D44)</f>
        <v>1.7999999999999994</v>
      </c>
      <c r="E45" s="15">
        <f>SUM(E43:E44)</f>
        <v>2.4000000000000021</v>
      </c>
      <c r="F45" s="15">
        <f>SUM(F43:F44)</f>
        <v>2.799999999999998</v>
      </c>
    </row>
    <row r="46" spans="1:6" ht="27" x14ac:dyDescent="0.3">
      <c r="A46" s="26" t="s">
        <v>284</v>
      </c>
      <c r="B46" s="15">
        <v>-0.3</v>
      </c>
      <c r="C46" s="15">
        <f>C26+C27+C28-C36-C37-(B26+B27+B28-B36-B37)</f>
        <v>-0.30000000000000115</v>
      </c>
      <c r="D46" s="15">
        <f>D26+D27+D28-D36-D37-(C26+C27+C28-C36-C37)</f>
        <v>-0.40000000000000013</v>
      </c>
      <c r="E46" s="15">
        <f>E26+E27+E28-E36-E37-(D26+D27+D28-D36-D37)</f>
        <v>-1.1999999999999995</v>
      </c>
      <c r="F46" s="15">
        <f>F26+F27+F28-F36-F37-(E26+E27+E28-E36-E37)</f>
        <v>0.30000000000000027</v>
      </c>
    </row>
    <row r="47" spans="1:6" x14ac:dyDescent="0.3">
      <c r="A47" s="95" t="s">
        <v>1349</v>
      </c>
      <c r="B47" s="56">
        <f>B45-B46</f>
        <v>1.0000000000000011</v>
      </c>
      <c r="C47" s="56">
        <f>C45-C46</f>
        <v>1.4000000000000017</v>
      </c>
      <c r="D47" s="56">
        <f>D45-D46</f>
        <v>2.1999999999999993</v>
      </c>
      <c r="E47" s="56">
        <f>E45-E46</f>
        <v>3.6000000000000014</v>
      </c>
      <c r="F47" s="56">
        <f>F45-F46</f>
        <v>2.4999999999999978</v>
      </c>
    </row>
    <row r="48" spans="1:6" x14ac:dyDescent="0.3">
      <c r="A48" s="3" t="s">
        <v>285</v>
      </c>
      <c r="B48" s="15">
        <v>1.1000000000000001</v>
      </c>
      <c r="C48" s="15">
        <v>1.4</v>
      </c>
      <c r="D48" s="15">
        <v>1.5</v>
      </c>
      <c r="E48" s="15">
        <v>2.2999999999999998</v>
      </c>
      <c r="F48" s="15">
        <v>2.2999999999999998</v>
      </c>
    </row>
    <row r="49" spans="1:6" x14ac:dyDescent="0.3">
      <c r="A49" s="26" t="s">
        <v>286</v>
      </c>
      <c r="B49" s="15">
        <v>0.1</v>
      </c>
      <c r="C49" s="15">
        <v>0.1</v>
      </c>
      <c r="D49" s="15">
        <v>0.2</v>
      </c>
      <c r="E49" s="15">
        <v>0.2</v>
      </c>
      <c r="F49" s="15">
        <v>0.2</v>
      </c>
    </row>
    <row r="50" spans="1:6" x14ac:dyDescent="0.3">
      <c r="A50" s="95" t="s">
        <v>287</v>
      </c>
      <c r="B50" s="56">
        <f>B48-B49</f>
        <v>1</v>
      </c>
      <c r="C50" s="56">
        <f>C48-C49</f>
        <v>1.2999999999999998</v>
      </c>
      <c r="D50" s="56">
        <f>D48-D49</f>
        <v>1.3</v>
      </c>
      <c r="E50" s="56">
        <f>E48-E49</f>
        <v>2.0999999999999996</v>
      </c>
      <c r="F50" s="56">
        <f>F48-F49</f>
        <v>2.0999999999999996</v>
      </c>
    </row>
    <row r="51" spans="1:6" x14ac:dyDescent="0.3">
      <c r="A51" s="3" t="s">
        <v>253</v>
      </c>
      <c r="B51" s="15">
        <f>B47-B50</f>
        <v>0</v>
      </c>
      <c r="C51" s="15">
        <f>C47-C50</f>
        <v>0.10000000000000187</v>
      </c>
      <c r="D51" s="15">
        <v>0.8</v>
      </c>
      <c r="E51" s="15">
        <f>E47-E50</f>
        <v>1.5000000000000018</v>
      </c>
      <c r="F51" s="15">
        <f>F47-F50</f>
        <v>0.39999999999999813</v>
      </c>
    </row>
    <row r="52" spans="1:6" x14ac:dyDescent="0.3">
      <c r="A52" s="26" t="s">
        <v>1336</v>
      </c>
      <c r="B52" s="15">
        <v>0</v>
      </c>
      <c r="C52" s="15">
        <v>0</v>
      </c>
      <c r="D52" s="15">
        <v>0</v>
      </c>
      <c r="E52" s="15">
        <v>0</v>
      </c>
      <c r="F52" s="15">
        <v>0.2</v>
      </c>
    </row>
    <row r="53" spans="1:6" x14ac:dyDescent="0.3">
      <c r="A53" s="26" t="s">
        <v>405</v>
      </c>
      <c r="B53" s="15">
        <v>0.1</v>
      </c>
      <c r="C53" s="15">
        <v>0.2</v>
      </c>
      <c r="D53" s="15">
        <v>0.8</v>
      </c>
      <c r="E53" s="15">
        <v>0</v>
      </c>
      <c r="F53" s="15">
        <v>0</v>
      </c>
    </row>
    <row r="54" spans="1:6" x14ac:dyDescent="0.3">
      <c r="A54" s="95" t="s">
        <v>1329</v>
      </c>
      <c r="B54" s="56">
        <f>B51-B52+B53</f>
        <v>0.1</v>
      </c>
      <c r="C54" s="56">
        <f>C51-C52+C53</f>
        <v>0.30000000000000188</v>
      </c>
      <c r="D54" s="56">
        <f>D51-D52+D53</f>
        <v>1.6</v>
      </c>
      <c r="E54" s="56">
        <f>E51-E52+E53</f>
        <v>1.5000000000000018</v>
      </c>
      <c r="F54" s="56">
        <f>F51-F52+F53</f>
        <v>0.19999999999999812</v>
      </c>
    </row>
    <row r="57" spans="1:6" x14ac:dyDescent="0.3">
      <c r="A57" s="474" t="s">
        <v>443</v>
      </c>
      <c r="B57" s="474">
        <v>1985</v>
      </c>
      <c r="C57" s="474">
        <v>1986</v>
      </c>
      <c r="D57" s="474">
        <v>1987</v>
      </c>
      <c r="E57" s="474">
        <v>1988</v>
      </c>
      <c r="F57" s="474">
        <v>1989</v>
      </c>
    </row>
    <row r="58" spans="1:6" x14ac:dyDescent="0.3">
      <c r="A58" s="46" t="s">
        <v>90</v>
      </c>
      <c r="B58" s="15">
        <f>B24+B25</f>
        <v>5.2</v>
      </c>
      <c r="C58" s="15">
        <f>C24+C25</f>
        <v>5.8</v>
      </c>
      <c r="D58" s="15">
        <f>D24+D25</f>
        <v>6.1999999999999993</v>
      </c>
      <c r="E58" s="15">
        <f>E24+E25</f>
        <v>7.3999999999999995</v>
      </c>
      <c r="F58" s="15">
        <f>F24+F25</f>
        <v>8.2000000000000011</v>
      </c>
    </row>
    <row r="59" spans="1:6" x14ac:dyDescent="0.3">
      <c r="A59" s="50" t="s">
        <v>1472</v>
      </c>
      <c r="B59" s="15"/>
      <c r="C59" s="15"/>
      <c r="D59" s="15"/>
      <c r="E59" s="15"/>
      <c r="F59" s="15"/>
    </row>
    <row r="60" spans="1:6" x14ac:dyDescent="0.3">
      <c r="A60" s="51" t="s">
        <v>1473</v>
      </c>
      <c r="B60" s="15"/>
      <c r="C60" s="15"/>
      <c r="D60" s="15"/>
      <c r="E60" s="15"/>
      <c r="F60" s="15"/>
    </row>
    <row r="61" spans="1:6" x14ac:dyDescent="0.3">
      <c r="A61" s="48" t="s">
        <v>1474</v>
      </c>
      <c r="B61" s="56">
        <f>SUM(B58:B60)</f>
        <v>5.2</v>
      </c>
      <c r="C61" s="56">
        <f>SUM(C58:C60)</f>
        <v>5.8</v>
      </c>
      <c r="D61" s="56">
        <f>SUM(D58:D60)</f>
        <v>6.1999999999999993</v>
      </c>
      <c r="E61" s="56">
        <f>SUM(E58:E60)</f>
        <v>7.3999999999999995</v>
      </c>
      <c r="F61" s="56">
        <f>SUM(F58:F60)</f>
        <v>8.2000000000000011</v>
      </c>
    </row>
    <row r="62" spans="1:6" x14ac:dyDescent="0.3">
      <c r="A62" s="46" t="s">
        <v>1374</v>
      </c>
      <c r="B62" s="15">
        <f t="shared" ref="B62:F63" si="0">B26</f>
        <v>2.7</v>
      </c>
      <c r="C62" s="15">
        <f t="shared" si="0"/>
        <v>2.7</v>
      </c>
      <c r="D62" s="15">
        <f t="shared" si="0"/>
        <v>2.7</v>
      </c>
      <c r="E62" s="15">
        <f t="shared" si="0"/>
        <v>2.6</v>
      </c>
      <c r="F62" s="15">
        <f t="shared" si="0"/>
        <v>3</v>
      </c>
    </row>
    <row r="63" spans="1:6" x14ac:dyDescent="0.3">
      <c r="A63" s="50" t="s">
        <v>1475</v>
      </c>
      <c r="B63" s="15">
        <f t="shared" si="0"/>
        <v>1.6</v>
      </c>
      <c r="C63" s="15">
        <f t="shared" si="0"/>
        <v>1.4</v>
      </c>
      <c r="D63" s="15">
        <f t="shared" si="0"/>
        <v>1.4</v>
      </c>
      <c r="E63" s="15">
        <f t="shared" si="0"/>
        <v>1.6</v>
      </c>
      <c r="F63" s="15">
        <f t="shared" si="0"/>
        <v>1.7</v>
      </c>
    </row>
    <row r="64" spans="1:6" x14ac:dyDescent="0.3">
      <c r="A64" s="51" t="s">
        <v>1476</v>
      </c>
      <c r="B64" s="15"/>
      <c r="C64" s="15"/>
      <c r="D64" s="15"/>
      <c r="E64" s="15"/>
      <c r="F64" s="15"/>
    </row>
    <row r="65" spans="1:6" x14ac:dyDescent="0.3">
      <c r="A65" s="52" t="s">
        <v>1477</v>
      </c>
      <c r="B65" s="56">
        <f>SUM(B62:B64)</f>
        <v>4.3000000000000007</v>
      </c>
      <c r="C65" s="56">
        <f>SUM(C62:C64)</f>
        <v>4.0999999999999996</v>
      </c>
      <c r="D65" s="56">
        <f>SUM(D62:D64)</f>
        <v>4.0999999999999996</v>
      </c>
      <c r="E65" s="56">
        <f>SUM(E62:E64)</f>
        <v>4.2</v>
      </c>
      <c r="F65" s="56">
        <f>SUM(F62:F64)</f>
        <v>4.7</v>
      </c>
    </row>
    <row r="66" spans="1:6" x14ac:dyDescent="0.3">
      <c r="A66" s="46" t="s">
        <v>1478</v>
      </c>
      <c r="B66" s="15">
        <f>B36</f>
        <v>2.4</v>
      </c>
      <c r="C66" s="15">
        <f>C36</f>
        <v>2.5</v>
      </c>
      <c r="D66" s="15">
        <f>D36</f>
        <v>2.8</v>
      </c>
      <c r="E66" s="15">
        <f>E36</f>
        <v>3.2</v>
      </c>
      <c r="F66" s="15">
        <f>F36</f>
        <v>3.7</v>
      </c>
    </row>
    <row r="67" spans="1:6" x14ac:dyDescent="0.3">
      <c r="A67" s="50" t="s">
        <v>1479</v>
      </c>
      <c r="B67" s="15"/>
      <c r="C67" s="15"/>
      <c r="D67" s="15"/>
      <c r="E67" s="15"/>
      <c r="F67" s="15"/>
    </row>
    <row r="68" spans="1:6" x14ac:dyDescent="0.3">
      <c r="A68" s="50" t="s">
        <v>1414</v>
      </c>
      <c r="B68" s="15">
        <f>B35</f>
        <v>0.3</v>
      </c>
      <c r="C68" s="15">
        <f>C35</f>
        <v>0.3</v>
      </c>
      <c r="D68" s="15">
        <f>D35</f>
        <v>0.4</v>
      </c>
      <c r="E68" s="15">
        <f>E35</f>
        <v>0.7</v>
      </c>
      <c r="F68" s="15">
        <f>F35</f>
        <v>1</v>
      </c>
    </row>
    <row r="69" spans="1:6" x14ac:dyDescent="0.3">
      <c r="A69" s="58" t="s">
        <v>1481</v>
      </c>
      <c r="B69" s="15">
        <f>SUM(B66:B68)</f>
        <v>2.6999999999999997</v>
      </c>
      <c r="C69" s="15">
        <f>SUM(C66:C68)</f>
        <v>2.8</v>
      </c>
      <c r="D69" s="15">
        <f>SUM(D66:D68)</f>
        <v>3.1999999999999997</v>
      </c>
      <c r="E69" s="15">
        <f>SUM(E66:E68)</f>
        <v>3.9000000000000004</v>
      </c>
      <c r="F69" s="15">
        <f>SUM(F66:F68)</f>
        <v>4.7</v>
      </c>
    </row>
    <row r="70" spans="1:6" x14ac:dyDescent="0.3">
      <c r="A70" s="48" t="s">
        <v>1482</v>
      </c>
      <c r="B70" s="56">
        <f>B65-B69</f>
        <v>1.600000000000001</v>
      </c>
      <c r="C70" s="56">
        <f>C65-C69</f>
        <v>1.2999999999999998</v>
      </c>
      <c r="D70" s="56">
        <f>D65-D69</f>
        <v>0.89999999999999991</v>
      </c>
      <c r="E70" s="56">
        <f>E65-E69</f>
        <v>0.29999999999999982</v>
      </c>
      <c r="F70" s="56">
        <f>F65-F69</f>
        <v>0</v>
      </c>
    </row>
    <row r="71" spans="1:6" x14ac:dyDescent="0.3">
      <c r="A71" s="46" t="s">
        <v>1483</v>
      </c>
      <c r="B71" s="15">
        <f>B28</f>
        <v>0.7</v>
      </c>
      <c r="C71" s="15">
        <f>C28</f>
        <v>0.7</v>
      </c>
      <c r="D71" s="15">
        <f>D28</f>
        <v>0.8</v>
      </c>
      <c r="E71" s="15">
        <f>E28</f>
        <v>0.7</v>
      </c>
      <c r="F71" s="15">
        <f>F28</f>
        <v>0.9</v>
      </c>
    </row>
    <row r="72" spans="1:6" x14ac:dyDescent="0.3">
      <c r="A72" s="50" t="s">
        <v>57</v>
      </c>
      <c r="B72" s="15">
        <f>B37</f>
        <v>1.6</v>
      </c>
      <c r="C72" s="15">
        <f>C37</f>
        <v>1.6</v>
      </c>
      <c r="D72" s="15">
        <f>D37</f>
        <v>1.8</v>
      </c>
      <c r="E72" s="15">
        <f>E37</f>
        <v>2.6</v>
      </c>
      <c r="F72" s="15">
        <f>F37</f>
        <v>2.5</v>
      </c>
    </row>
    <row r="73" spans="1:6" x14ac:dyDescent="0.3">
      <c r="A73" s="58" t="s">
        <v>58</v>
      </c>
      <c r="B73" s="32">
        <f>B71-B72</f>
        <v>-0.90000000000000013</v>
      </c>
      <c r="C73" s="32">
        <f>C71-C72</f>
        <v>-0.90000000000000013</v>
      </c>
      <c r="D73" s="32">
        <f>D71-D72</f>
        <v>-1</v>
      </c>
      <c r="E73" s="32">
        <f>E71-E72</f>
        <v>-1.9000000000000001</v>
      </c>
      <c r="F73" s="32">
        <f>F71-F72</f>
        <v>-1.6</v>
      </c>
    </row>
    <row r="74" spans="1:6" x14ac:dyDescent="0.3">
      <c r="A74" s="48" t="s">
        <v>1411</v>
      </c>
      <c r="B74" s="56">
        <f>B70+B73</f>
        <v>0.70000000000000084</v>
      </c>
      <c r="C74" s="56">
        <f>C70+C73</f>
        <v>0.39999999999999969</v>
      </c>
      <c r="D74" s="56">
        <f>D70+D73</f>
        <v>-0.10000000000000009</v>
      </c>
      <c r="E74" s="56">
        <f>E70+E73</f>
        <v>-1.6000000000000003</v>
      </c>
      <c r="F74" s="56">
        <f>F70+F73</f>
        <v>-1.6</v>
      </c>
    </row>
    <row r="75" spans="1:6" x14ac:dyDescent="0.3">
      <c r="A75" s="48" t="s">
        <v>59</v>
      </c>
      <c r="B75" s="56">
        <f>B61+B74</f>
        <v>5.9000000000000012</v>
      </c>
      <c r="C75" s="56">
        <f>C61+C74</f>
        <v>6.1999999999999993</v>
      </c>
      <c r="D75" s="56">
        <f>D61+D74</f>
        <v>6.1</v>
      </c>
      <c r="E75" s="56">
        <f>E61+E74</f>
        <v>5.7999999999999989</v>
      </c>
      <c r="F75" s="56">
        <f>F61+F74</f>
        <v>6.6000000000000014</v>
      </c>
    </row>
    <row r="76" spans="1:6" x14ac:dyDescent="0.3">
      <c r="A76" s="46" t="s">
        <v>91</v>
      </c>
      <c r="B76" s="15">
        <f>B33</f>
        <v>1.1000000000000001</v>
      </c>
      <c r="C76" s="15">
        <f>C33</f>
        <v>1.7</v>
      </c>
      <c r="D76" s="15">
        <f>D33</f>
        <v>3.2</v>
      </c>
      <c r="E76" s="15">
        <f>E33</f>
        <v>4.7</v>
      </c>
      <c r="F76" s="15">
        <f>F33</f>
        <v>6</v>
      </c>
    </row>
    <row r="77" spans="1:6" x14ac:dyDescent="0.3">
      <c r="A77" s="50" t="s">
        <v>60</v>
      </c>
      <c r="B77" s="15"/>
      <c r="C77" s="15"/>
      <c r="D77" s="15"/>
      <c r="E77" s="15"/>
      <c r="F77" s="15"/>
    </row>
    <row r="78" spans="1:6" x14ac:dyDescent="0.3">
      <c r="A78" s="50" t="s">
        <v>1225</v>
      </c>
      <c r="B78" s="15">
        <f>B52</f>
        <v>0</v>
      </c>
      <c r="C78" s="15">
        <f>C52</f>
        <v>0</v>
      </c>
      <c r="D78" s="15">
        <f>D52</f>
        <v>0</v>
      </c>
      <c r="E78" s="15">
        <f>E52</f>
        <v>0</v>
      </c>
      <c r="F78" s="15">
        <f>F52</f>
        <v>0.2</v>
      </c>
    </row>
    <row r="79" spans="1:6" x14ac:dyDescent="0.3">
      <c r="A79" s="50" t="s">
        <v>74</v>
      </c>
      <c r="B79" s="15"/>
      <c r="C79" s="15"/>
      <c r="D79" s="15"/>
      <c r="E79" s="15"/>
      <c r="F79" s="15"/>
    </row>
    <row r="80" spans="1:6" x14ac:dyDescent="0.3">
      <c r="A80" s="50" t="s">
        <v>61</v>
      </c>
      <c r="B80" s="15"/>
      <c r="C80" s="15"/>
      <c r="D80" s="15"/>
      <c r="E80" s="15"/>
      <c r="F80" s="15"/>
    </row>
    <row r="81" spans="1:6" x14ac:dyDescent="0.3">
      <c r="A81" s="50" t="s">
        <v>62</v>
      </c>
      <c r="B81" s="15"/>
      <c r="C81" s="15"/>
      <c r="D81" s="15"/>
      <c r="E81" s="15"/>
      <c r="F81" s="15"/>
    </row>
    <row r="82" spans="1:6" x14ac:dyDescent="0.3">
      <c r="A82" s="50" t="s">
        <v>64</v>
      </c>
      <c r="B82" s="15"/>
      <c r="C82" s="15"/>
      <c r="D82" s="15"/>
      <c r="E82" s="15"/>
      <c r="F82" s="15"/>
    </row>
    <row r="83" spans="1:6" x14ac:dyDescent="0.3">
      <c r="A83" s="53" t="s">
        <v>63</v>
      </c>
      <c r="B83" s="32">
        <f>SUM(B76:B77,B79:B82)</f>
        <v>1.1000000000000001</v>
      </c>
      <c r="C83" s="32">
        <f>SUM(C76:C77,C79:C82)</f>
        <v>1.7</v>
      </c>
      <c r="D83" s="32">
        <f>SUM(D76:D77,D79:D82)</f>
        <v>3.2</v>
      </c>
      <c r="E83" s="32">
        <f>SUM(E76:E77,E79:E82)</f>
        <v>4.7</v>
      </c>
      <c r="F83" s="32">
        <f>SUM(F76:F77,F79:F82)</f>
        <v>6</v>
      </c>
    </row>
    <row r="84" spans="1:6" x14ac:dyDescent="0.3">
      <c r="A84" s="50" t="s">
        <v>73</v>
      </c>
      <c r="B84" s="15"/>
      <c r="C84" s="15"/>
      <c r="D84" s="15"/>
      <c r="E84" s="15"/>
      <c r="F84" s="15"/>
    </row>
    <row r="85" spans="1:6" x14ac:dyDescent="0.3">
      <c r="A85" s="48" t="s">
        <v>65</v>
      </c>
      <c r="B85" s="56">
        <f>SUM(B83:B84)</f>
        <v>1.1000000000000001</v>
      </c>
      <c r="C85" s="56">
        <f>SUM(C83:C84)</f>
        <v>1.7</v>
      </c>
      <c r="D85" s="56">
        <f>SUM(D83:D84)</f>
        <v>3.2</v>
      </c>
      <c r="E85" s="56">
        <f>SUM(E83:E84)</f>
        <v>4.7</v>
      </c>
      <c r="F85" s="56">
        <f>SUM(F83:F84)</f>
        <v>6</v>
      </c>
    </row>
    <row r="86" spans="1:6" x14ac:dyDescent="0.3">
      <c r="A86" s="48" t="s">
        <v>66</v>
      </c>
      <c r="B86" s="56"/>
      <c r="C86" s="56"/>
      <c r="D86" s="56"/>
      <c r="E86" s="56"/>
      <c r="F86" s="56"/>
    </row>
    <row r="87" spans="1:6" x14ac:dyDescent="0.3">
      <c r="A87" s="46" t="s">
        <v>75</v>
      </c>
      <c r="B87" s="15">
        <f>B34</f>
        <v>3.6</v>
      </c>
      <c r="C87" s="15">
        <f>C34</f>
        <v>3.5</v>
      </c>
      <c r="D87" s="15">
        <f>D34</f>
        <v>2.6</v>
      </c>
      <c r="E87" s="15">
        <f>E34</f>
        <v>2.5</v>
      </c>
      <c r="F87" s="15">
        <f>F34</f>
        <v>1.5</v>
      </c>
    </row>
    <row r="88" spans="1:6" x14ac:dyDescent="0.3">
      <c r="A88" s="50" t="s">
        <v>67</v>
      </c>
      <c r="B88" s="15"/>
      <c r="C88" s="15"/>
      <c r="D88" s="15"/>
      <c r="E88" s="15"/>
      <c r="F88" s="15"/>
    </row>
    <row r="89" spans="1:6" x14ac:dyDescent="0.3">
      <c r="A89" s="50" t="s">
        <v>68</v>
      </c>
      <c r="B89" s="15">
        <f>B38</f>
        <v>1.8</v>
      </c>
      <c r="C89" s="15">
        <f>C38</f>
        <v>1.4</v>
      </c>
      <c r="D89" s="15">
        <f>D38</f>
        <v>0.9</v>
      </c>
      <c r="E89" s="15">
        <f>E38</f>
        <v>1.3</v>
      </c>
      <c r="F89" s="15">
        <f>F38</f>
        <v>1.6</v>
      </c>
    </row>
    <row r="90" spans="1:6" x14ac:dyDescent="0.3">
      <c r="A90" s="50" t="s">
        <v>69</v>
      </c>
      <c r="B90" s="15">
        <f t="shared" ref="B90:F91" si="1">-B29</f>
        <v>-0.3</v>
      </c>
      <c r="C90" s="15">
        <f t="shared" si="1"/>
        <v>-0.2</v>
      </c>
      <c r="D90" s="15">
        <f t="shared" si="1"/>
        <v>-0.4</v>
      </c>
      <c r="E90" s="15">
        <f t="shared" si="1"/>
        <v>-2.5</v>
      </c>
      <c r="F90" s="15">
        <f t="shared" si="1"/>
        <v>-2.2000000000000002</v>
      </c>
    </row>
    <row r="91" spans="1:6" x14ac:dyDescent="0.3">
      <c r="A91" s="50" t="s">
        <v>1305</v>
      </c>
      <c r="B91" s="15">
        <f t="shared" si="1"/>
        <v>-0.3</v>
      </c>
      <c r="C91" s="15">
        <f t="shared" si="1"/>
        <v>-0.2</v>
      </c>
      <c r="D91" s="15">
        <f t="shared" si="1"/>
        <v>-0.2</v>
      </c>
      <c r="E91" s="15">
        <f t="shared" si="1"/>
        <v>-0.2</v>
      </c>
      <c r="F91" s="15">
        <f t="shared" si="1"/>
        <v>-0.3</v>
      </c>
    </row>
    <row r="92" spans="1:6" x14ac:dyDescent="0.3">
      <c r="A92" s="58" t="s">
        <v>1313</v>
      </c>
      <c r="B92" s="32">
        <f>SUM(B87:B91)</f>
        <v>4.8000000000000007</v>
      </c>
      <c r="C92" s="32">
        <f>SUM(C87:C91)</f>
        <v>4.5</v>
      </c>
      <c r="D92" s="32">
        <f>SUM(D87:D91)</f>
        <v>2.9</v>
      </c>
      <c r="E92" s="32">
        <f>SUM(E87:E91)</f>
        <v>1.0999999999999999</v>
      </c>
      <c r="F92" s="32">
        <f>SUM(F87:F91)</f>
        <v>0.59999999999999987</v>
      </c>
    </row>
    <row r="93" spans="1:6" x14ac:dyDescent="0.3">
      <c r="A93" s="48" t="s">
        <v>72</v>
      </c>
      <c r="B93" s="56">
        <f>B85+B86+B92</f>
        <v>5.9</v>
      </c>
      <c r="C93" s="56">
        <f>C85+C86+C92</f>
        <v>6.2</v>
      </c>
      <c r="D93" s="56">
        <f>D85+D86+D92</f>
        <v>6.1</v>
      </c>
      <c r="E93" s="56">
        <f>E85+E86+E92</f>
        <v>5.8</v>
      </c>
      <c r="F93" s="56">
        <f>F85+F86+F92</f>
        <v>6.6</v>
      </c>
    </row>
    <row r="95" spans="1:6" x14ac:dyDescent="0.3">
      <c r="A95" t="s">
        <v>406</v>
      </c>
      <c r="B95" s="5">
        <v>1</v>
      </c>
      <c r="C95" s="5">
        <f>(C5-$B$5)*($F$95-$B$95)/($F$5-$B$5)+$B$95</f>
        <v>1.0314999999999999</v>
      </c>
      <c r="D95" s="5">
        <f>(D5-$B$5)*($F$95-$B$95)/($F$5-$B$5)+$B$95</f>
        <v>1.0629999999999999</v>
      </c>
      <c r="E95" s="5">
        <f>(E5-$B$5)*($F$95-$B$95)/($F$5-$B$5)+$B$95</f>
        <v>1.0945</v>
      </c>
      <c r="F95" s="5">
        <v>1.1259999999999999</v>
      </c>
    </row>
    <row r="96" spans="1:6" x14ac:dyDescent="0.3">
      <c r="A96" s="474" t="s">
        <v>444</v>
      </c>
      <c r="B96" s="474">
        <v>1985</v>
      </c>
      <c r="C96" s="474">
        <v>1986</v>
      </c>
      <c r="D96" s="474">
        <v>1987</v>
      </c>
      <c r="E96" s="474">
        <v>1988</v>
      </c>
      <c r="F96" s="474">
        <v>1989</v>
      </c>
    </row>
    <row r="97" spans="1:6" x14ac:dyDescent="0.3">
      <c r="A97" s="1"/>
    </row>
    <row r="98" spans="1:6" x14ac:dyDescent="0.3">
      <c r="A98" s="68" t="s">
        <v>257</v>
      </c>
    </row>
    <row r="99" spans="1:6" x14ac:dyDescent="0.3">
      <c r="A99" s="245" t="s">
        <v>254</v>
      </c>
      <c r="B99" s="246"/>
      <c r="C99" s="247">
        <f>C6/B6-1</f>
        <v>4.5751633986928164E-2</v>
      </c>
      <c r="D99" s="247">
        <f>D6/C6-1</f>
        <v>0.125</v>
      </c>
      <c r="E99" s="247">
        <f>E6/D6-1</f>
        <v>0.17222222222222228</v>
      </c>
      <c r="F99" s="247">
        <f>F6/E6-1</f>
        <v>0.1090047393364928</v>
      </c>
    </row>
    <row r="100" spans="1:6" x14ac:dyDescent="0.3">
      <c r="A100" s="245" t="s">
        <v>255</v>
      </c>
      <c r="B100" s="246"/>
      <c r="C100" s="247"/>
      <c r="D100" s="247"/>
      <c r="E100" s="247"/>
      <c r="F100" s="247">
        <f>F6/B6-1</f>
        <v>0.52941176470588225</v>
      </c>
    </row>
    <row r="101" spans="1:6" x14ac:dyDescent="0.3">
      <c r="A101" s="245" t="s">
        <v>256</v>
      </c>
      <c r="B101" s="246"/>
      <c r="C101" s="247"/>
      <c r="D101" s="247"/>
      <c r="E101" s="247"/>
      <c r="F101" s="247">
        <f>F100-12.6%</f>
        <v>0.40341176470588225</v>
      </c>
    </row>
    <row r="102" spans="1:6" x14ac:dyDescent="0.3">
      <c r="A102" s="245" t="s">
        <v>258</v>
      </c>
      <c r="B102" s="246"/>
      <c r="C102" s="247"/>
      <c r="D102" s="247"/>
      <c r="E102" s="247"/>
      <c r="F102" s="247">
        <f>(1+F101)^0.25-1</f>
        <v>8.8419410452626135E-2</v>
      </c>
    </row>
    <row r="103" spans="1:6" x14ac:dyDescent="0.3">
      <c r="A103" s="239"/>
      <c r="B103" s="240"/>
      <c r="C103" s="241"/>
      <c r="D103" s="241"/>
      <c r="E103" s="241"/>
      <c r="F103" s="241"/>
    </row>
    <row r="104" spans="1:6" x14ac:dyDescent="0.3">
      <c r="A104" t="s">
        <v>418</v>
      </c>
      <c r="B104" s="86">
        <f>B14/B6</f>
        <v>5.2287581699346469E-2</v>
      </c>
      <c r="C104" s="86">
        <f>C14/C6</f>
        <v>6.8750000000000033E-2</v>
      </c>
      <c r="D104" s="86">
        <f>D14/D6</f>
        <v>9.9999999999999964E-2</v>
      </c>
      <c r="E104" s="86">
        <f>E14/E6</f>
        <v>0.11848341232227498</v>
      </c>
      <c r="F104" s="86">
        <f>F14/F6</f>
        <v>0.11538461538461532</v>
      </c>
    </row>
    <row r="105" spans="1:6" x14ac:dyDescent="0.3">
      <c r="A105" t="s">
        <v>419</v>
      </c>
      <c r="B105" s="86">
        <f>B18/B6</f>
        <v>6.5359477124183711E-3</v>
      </c>
      <c r="C105" s="86">
        <f>C18/C6</f>
        <v>2.5000000000000033E-2</v>
      </c>
      <c r="D105" s="86">
        <f>D18/D6</f>
        <v>4.9999999999999968E-2</v>
      </c>
      <c r="E105" s="86">
        <f>E18/E6</f>
        <v>6.6350710900474036E-2</v>
      </c>
      <c r="F105" s="86">
        <f>F18/F6</f>
        <v>6.8376068376068314E-2</v>
      </c>
    </row>
    <row r="107" spans="1:6" x14ac:dyDescent="0.3">
      <c r="A107" t="s">
        <v>259</v>
      </c>
      <c r="B107" s="37">
        <f>-B10/B6</f>
        <v>0.26143790849673204</v>
      </c>
      <c r="C107" s="37">
        <f>-C10/C6</f>
        <v>0.24374999999999999</v>
      </c>
      <c r="D107" s="37">
        <f>-D10/D6</f>
        <v>0.21666666666666667</v>
      </c>
      <c r="E107" s="37">
        <f>-E10/E6</f>
        <v>0.19431279620853079</v>
      </c>
      <c r="F107" s="37">
        <f>-F10/F6</f>
        <v>0.18803418803418806</v>
      </c>
    </row>
    <row r="108" spans="1:6" x14ac:dyDescent="0.3">
      <c r="A108" t="s">
        <v>410</v>
      </c>
      <c r="B108" s="84">
        <f>-B15/B12</f>
        <v>0.49999999999999961</v>
      </c>
      <c r="C108" s="84">
        <f>-C15/C12</f>
        <v>0.27777777777777768</v>
      </c>
      <c r="D108" s="84">
        <f>-D15/D12</f>
        <v>0.1481481481481482</v>
      </c>
      <c r="E108" s="84">
        <f>-E15/E12</f>
        <v>5.7142857142857106E-2</v>
      </c>
      <c r="F108" s="84">
        <f>-F15/F12</f>
        <v>2.5641025641025654E-2</v>
      </c>
    </row>
    <row r="109" spans="1:6" x14ac:dyDescent="0.3">
      <c r="A109" t="s">
        <v>429</v>
      </c>
      <c r="B109" s="84">
        <f>B18/B85</f>
        <v>9.0909090909091897E-2</v>
      </c>
      <c r="C109" s="84">
        <f>C18/C85</f>
        <v>0.23529411764705913</v>
      </c>
      <c r="D109" s="84">
        <f>D18/D85</f>
        <v>0.28124999999999983</v>
      </c>
      <c r="E109" s="84">
        <f>E18/E85</f>
        <v>0.29787234042553234</v>
      </c>
      <c r="F109" s="84">
        <f>F18/F85</f>
        <v>0.26666666666666639</v>
      </c>
    </row>
    <row r="110" spans="1:6" x14ac:dyDescent="0.3">
      <c r="B110" s="84"/>
      <c r="C110" s="84"/>
      <c r="D110" s="84"/>
      <c r="E110" s="84"/>
      <c r="F110" s="84"/>
    </row>
    <row r="111" spans="1:6" x14ac:dyDescent="0.3">
      <c r="A111" s="474" t="s">
        <v>445</v>
      </c>
      <c r="B111" s="474">
        <v>1985</v>
      </c>
      <c r="C111" s="474">
        <v>1986</v>
      </c>
      <c r="D111" s="474">
        <v>1987</v>
      </c>
      <c r="E111" s="474">
        <v>1988</v>
      </c>
      <c r="F111" s="474">
        <v>1989</v>
      </c>
    </row>
    <row r="112" spans="1:6" x14ac:dyDescent="0.3">
      <c r="A112" t="s">
        <v>441</v>
      </c>
      <c r="B112" s="84">
        <f>B63/B6</f>
        <v>0.10457516339869281</v>
      </c>
      <c r="C112" s="84">
        <f>C63/C6</f>
        <v>8.7499999999999994E-2</v>
      </c>
      <c r="D112" s="84">
        <f>D63/D6</f>
        <v>7.7777777777777779E-2</v>
      </c>
      <c r="E112" s="84">
        <f>E63/E6</f>
        <v>7.582938388625593E-2</v>
      </c>
      <c r="F112" s="84">
        <f>F63/F6</f>
        <v>7.2649572649572655E-2</v>
      </c>
    </row>
    <row r="113" spans="1:6" x14ac:dyDescent="0.3">
      <c r="A113" t="s">
        <v>442</v>
      </c>
      <c r="B113" s="84">
        <f>-B66/B8</f>
        <v>0.23762376237623761</v>
      </c>
      <c r="C113" s="84">
        <f>-C66/C8</f>
        <v>0.23584905660377359</v>
      </c>
      <c r="D113" s="84">
        <f>-D66/D8</f>
        <v>0.23728813559322032</v>
      </c>
      <c r="E113" s="84">
        <f>-E66/E8</f>
        <v>0.23529411764705885</v>
      </c>
      <c r="F113" s="84">
        <f>-F66/F8</f>
        <v>0.23870967741935484</v>
      </c>
    </row>
    <row r="114" spans="1:6" x14ac:dyDescent="0.3">
      <c r="A114" t="s">
        <v>206</v>
      </c>
      <c r="B114" s="84">
        <f>B62/B6</f>
        <v>0.17647058823529413</v>
      </c>
      <c r="C114" s="84">
        <f>C62/C6</f>
        <v>0.16875000000000001</v>
      </c>
      <c r="D114" s="84">
        <f>D62/D6</f>
        <v>0.15000000000000002</v>
      </c>
      <c r="E114" s="84">
        <f>E62/E6</f>
        <v>0.12322274881516587</v>
      </c>
      <c r="F114" s="84">
        <f>F62/F6</f>
        <v>0.12820512820512822</v>
      </c>
    </row>
    <row r="116" spans="1:6" x14ac:dyDescent="0.3">
      <c r="A116" s="474" t="s">
        <v>120</v>
      </c>
      <c r="B116" s="474">
        <v>1985</v>
      </c>
      <c r="C116" s="474">
        <v>1986</v>
      </c>
      <c r="D116" s="474">
        <v>1987</v>
      </c>
      <c r="E116" s="474">
        <v>1988</v>
      </c>
      <c r="F116" s="474">
        <v>1989</v>
      </c>
    </row>
    <row r="117" spans="1:6" x14ac:dyDescent="0.3">
      <c r="A117" s="116" t="s">
        <v>260</v>
      </c>
      <c r="B117" s="15"/>
      <c r="C117" s="37">
        <f>C47/B47-1</f>
        <v>0.40000000000000013</v>
      </c>
      <c r="D117" s="37">
        <f>D47/C47-1</f>
        <v>0.57142857142856895</v>
      </c>
      <c r="E117" s="37">
        <f>E47/D47-1</f>
        <v>0.63636363636363757</v>
      </c>
      <c r="F117" s="37">
        <f>F47/E47-1</f>
        <v>-0.30555555555555647</v>
      </c>
    </row>
    <row r="118" spans="1:6" x14ac:dyDescent="0.3">
      <c r="A118" s="242" t="s">
        <v>125</v>
      </c>
      <c r="B118" s="40"/>
      <c r="C118" s="140">
        <f>(C45-B45)/B47</f>
        <v>0.39999999999999902</v>
      </c>
      <c r="D118" s="140">
        <f>(D45-C45)/C47</f>
        <v>0.49999999999999856</v>
      </c>
      <c r="E118" s="140">
        <f>(E45-D45)/D47</f>
        <v>0.27272727272727404</v>
      </c>
      <c r="F118" s="140">
        <f>(F45-E45)/E47</f>
        <v>0.11111111111110994</v>
      </c>
    </row>
    <row r="119" spans="1:6" x14ac:dyDescent="0.3">
      <c r="A119" s="116" t="s">
        <v>262</v>
      </c>
      <c r="B119" s="15"/>
      <c r="C119" s="37"/>
      <c r="D119" s="37"/>
      <c r="E119" s="37"/>
      <c r="F119" s="37"/>
    </row>
    <row r="120" spans="1:6" x14ac:dyDescent="0.3">
      <c r="A120" s="243" t="s">
        <v>261</v>
      </c>
      <c r="B120" s="140">
        <f>B74/B6</f>
        <v>4.5751633986928157E-2</v>
      </c>
      <c r="C120" s="140">
        <f>C74/C6</f>
        <v>2.4999999999999981E-2</v>
      </c>
      <c r="D120" s="140">
        <f>D74/D6</f>
        <v>-5.5555555555555601E-3</v>
      </c>
      <c r="E120" s="140">
        <f>E74/E6</f>
        <v>-7.582938388625593E-2</v>
      </c>
      <c r="F120" s="140">
        <f>F74/F6</f>
        <v>-6.8376068376068383E-2</v>
      </c>
    </row>
    <row r="121" spans="1:6" x14ac:dyDescent="0.3">
      <c r="A121" s="244" t="s">
        <v>287</v>
      </c>
      <c r="B121" s="140"/>
      <c r="C121" s="140"/>
      <c r="D121" s="140"/>
      <c r="E121" s="140"/>
      <c r="F121" s="140"/>
    </row>
    <row r="122" spans="1:6" x14ac:dyDescent="0.3">
      <c r="A122" s="243" t="s">
        <v>121</v>
      </c>
      <c r="B122" s="140">
        <f>B50/B47</f>
        <v>0.99999999999999889</v>
      </c>
      <c r="C122" s="140">
        <f>C50/C47</f>
        <v>0.92857142857142727</v>
      </c>
      <c r="D122" s="140">
        <f>D50/D47</f>
        <v>0.59090909090909116</v>
      </c>
      <c r="E122" s="140">
        <f>E50/E47</f>
        <v>0.58333333333333304</v>
      </c>
      <c r="F122" s="140">
        <f>F50/F47</f>
        <v>0.84000000000000064</v>
      </c>
    </row>
    <row r="123" spans="1:6" x14ac:dyDescent="0.3">
      <c r="A123" s="243" t="s">
        <v>534</v>
      </c>
      <c r="B123" s="140"/>
      <c r="C123" s="140">
        <f>C50/B50-1</f>
        <v>0.29999999999999982</v>
      </c>
      <c r="D123" s="140">
        <f>D50/C50-1</f>
        <v>0</v>
      </c>
      <c r="E123" s="140">
        <f>E50/D50-1</f>
        <v>0.61538461538461497</v>
      </c>
      <c r="F123" s="140">
        <f>F50/E50-1</f>
        <v>0</v>
      </c>
    </row>
    <row r="124" spans="1:6" x14ac:dyDescent="0.3">
      <c r="A124" s="244" t="s">
        <v>122</v>
      </c>
      <c r="B124" s="140"/>
      <c r="C124" s="140"/>
      <c r="D124" s="140"/>
      <c r="E124" s="140"/>
      <c r="F124" s="140"/>
    </row>
    <row r="125" spans="1:6" x14ac:dyDescent="0.3">
      <c r="A125" s="243" t="s">
        <v>123</v>
      </c>
      <c r="B125" s="5">
        <f>SUM(B53:F53)-F52</f>
        <v>0.90000000000000013</v>
      </c>
      <c r="C125" s="140"/>
      <c r="D125" s="140"/>
      <c r="E125" s="140"/>
      <c r="F125" s="140"/>
    </row>
    <row r="126" spans="1:6" x14ac:dyDescent="0.3">
      <c r="A126" s="243" t="s">
        <v>124</v>
      </c>
      <c r="B126" s="5">
        <f>-SUM(B54:F54)</f>
        <v>-3.7000000000000015</v>
      </c>
      <c r="C126" s="140"/>
      <c r="D126" s="140"/>
      <c r="E126" s="140"/>
      <c r="F126" s="140"/>
    </row>
    <row r="128" spans="1:6" x14ac:dyDescent="0.3">
      <c r="A128" s="474" t="s">
        <v>446</v>
      </c>
      <c r="B128" s="474">
        <v>1985</v>
      </c>
      <c r="C128" s="474">
        <v>1986</v>
      </c>
      <c r="D128" s="474">
        <v>1987</v>
      </c>
      <c r="E128" s="474">
        <v>1988</v>
      </c>
      <c r="F128" s="474">
        <v>1989</v>
      </c>
    </row>
    <row r="129" spans="1:6" x14ac:dyDescent="0.3">
      <c r="A129" s="97"/>
    </row>
    <row r="130" spans="1:6" x14ac:dyDescent="0.3">
      <c r="A130" t="s">
        <v>447</v>
      </c>
      <c r="B130" s="84">
        <f>B50/B61</f>
        <v>0.19230769230769229</v>
      </c>
      <c r="C130" s="84">
        <f>C50/C61</f>
        <v>0.22413793103448273</v>
      </c>
      <c r="D130" s="84">
        <f>D50/D61</f>
        <v>0.20967741935483875</v>
      </c>
      <c r="E130" s="84">
        <f>E50/E61</f>
        <v>0.28378378378378377</v>
      </c>
      <c r="F130" s="84">
        <f>F50/F61</f>
        <v>0.25609756097560971</v>
      </c>
    </row>
    <row r="131" spans="1:6" x14ac:dyDescent="0.3">
      <c r="A131" t="s">
        <v>126</v>
      </c>
      <c r="B131" s="5">
        <f>B50/-B13</f>
        <v>1.6666666666666667</v>
      </c>
      <c r="C131" s="5">
        <f>C50/-C13</f>
        <v>1.857142857142857</v>
      </c>
      <c r="D131" s="5">
        <f>D50/-D13</f>
        <v>1.4444444444444444</v>
      </c>
      <c r="E131" s="5">
        <f>E50/-E13</f>
        <v>2.0999999999999996</v>
      </c>
      <c r="F131" s="5">
        <f>F50/-F13</f>
        <v>1.7499999999999998</v>
      </c>
    </row>
    <row r="133" spans="1:6" x14ac:dyDescent="0.3">
      <c r="A133" s="1" t="s">
        <v>448</v>
      </c>
      <c r="B133" s="37"/>
    </row>
    <row r="134" spans="1:6" x14ac:dyDescent="0.3">
      <c r="A134" s="68" t="s">
        <v>452</v>
      </c>
      <c r="B134" s="37">
        <f>B20</f>
        <v>0.5</v>
      </c>
      <c r="C134" s="37">
        <f>C20</f>
        <v>0.37</v>
      </c>
      <c r="D134" s="37">
        <f>D20</f>
        <v>0.39</v>
      </c>
      <c r="E134" s="37">
        <f>E20</f>
        <v>0.38</v>
      </c>
      <c r="F134" s="37">
        <f>F20</f>
        <v>0.38</v>
      </c>
    </row>
    <row r="135" spans="1:6" x14ac:dyDescent="0.3">
      <c r="A135" s="1"/>
      <c r="B135" s="37"/>
    </row>
    <row r="136" spans="1:6" x14ac:dyDescent="0.3">
      <c r="A136" t="s">
        <v>449</v>
      </c>
      <c r="B136" s="86">
        <f>B14*(1-B134)/B93</f>
        <v>6.7796610169491608E-2</v>
      </c>
      <c r="C136" s="86">
        <f>C14*(1-C134)/C93</f>
        <v>0.11177419354838716</v>
      </c>
      <c r="D136" s="86">
        <f>D14*(1-D134)/D93</f>
        <v>0.17999999999999997</v>
      </c>
      <c r="E136" s="86">
        <f>E14*(1-E134)/E93</f>
        <v>0.26724137931034508</v>
      </c>
      <c r="F136" s="86">
        <f>F14*(1-F134)/F93</f>
        <v>0.25363636363636349</v>
      </c>
    </row>
    <row r="137" spans="1:6" x14ac:dyDescent="0.3">
      <c r="A137" t="s">
        <v>450</v>
      </c>
      <c r="B137" s="5">
        <f>(B14*(1-B134))/B6</f>
        <v>2.6143790849673235E-2</v>
      </c>
      <c r="C137" s="5">
        <f>(C14*(1-IS))/C6</f>
        <v>6.8750000000000033E-2</v>
      </c>
      <c r="D137" s="5">
        <f>(D14*(1-IS))/D6</f>
        <v>9.9999999999999964E-2</v>
      </c>
      <c r="E137" s="5">
        <f>(E14*(1-IS))/E6</f>
        <v>0.11848341232227498</v>
      </c>
      <c r="F137" s="5">
        <f>(F14*(1-IS))/F6</f>
        <v>0.11538461538461532</v>
      </c>
    </row>
    <row r="138" spans="1:6" x14ac:dyDescent="0.3">
      <c r="A138" t="s">
        <v>451</v>
      </c>
      <c r="B138" s="5">
        <f>B6/B75</f>
        <v>2.5932203389830506</v>
      </c>
      <c r="C138" s="5">
        <f>C6/C75</f>
        <v>2.580645161290323</v>
      </c>
      <c r="D138" s="5">
        <f>D6/D75</f>
        <v>2.9508196721311477</v>
      </c>
      <c r="E138" s="5">
        <f>E6/E75</f>
        <v>3.6379310344827593</v>
      </c>
      <c r="F138" s="5">
        <f>F6/F75</f>
        <v>3.5454545454545445</v>
      </c>
    </row>
    <row r="140" spans="1:6" x14ac:dyDescent="0.3">
      <c r="A140" t="s">
        <v>247</v>
      </c>
      <c r="B140" s="84">
        <f>(B14*(1-B134))/B75</f>
        <v>6.7796610169491595E-2</v>
      </c>
      <c r="C140" s="84">
        <f>(C14*(1-C134))/C75</f>
        <v>0.11177419354838718</v>
      </c>
      <c r="D140" s="84">
        <f>(D14*(1-D134))/D75</f>
        <v>0.17999999999999997</v>
      </c>
      <c r="E140" s="84">
        <f>(E14*(1-E134))/E75</f>
        <v>0.26724137931034514</v>
      </c>
      <c r="F140" s="84">
        <f>(F14*(1-F134))/F75</f>
        <v>0.25363636363636344</v>
      </c>
    </row>
    <row r="141" spans="1:6" x14ac:dyDescent="0.3">
      <c r="A141" t="s">
        <v>248</v>
      </c>
      <c r="B141" s="84">
        <f>(-B15*(1-B134))/B92</f>
        <v>7.2916666666666657E-2</v>
      </c>
      <c r="C141" s="84">
        <f>(-C15*(1-C134))/C92</f>
        <v>7.0000000000000007E-2</v>
      </c>
      <c r="D141" s="84">
        <f>(-D15*(1-D134))/D92</f>
        <v>8.4137931034482763E-2</v>
      </c>
      <c r="E141" s="84">
        <f>(-E15*(1-E134))/E92</f>
        <v>0.11272727272727275</v>
      </c>
      <c r="F141" s="84">
        <f>(-F15*(1-F134))/F92</f>
        <v>0.10333333333333336</v>
      </c>
    </row>
    <row r="142" spans="1:6" x14ac:dyDescent="0.3">
      <c r="A142" s="25" t="s">
        <v>249</v>
      </c>
      <c r="B142" s="98">
        <f>B92/B85</f>
        <v>4.3636363636363642</v>
      </c>
      <c r="C142" s="98">
        <f>C92/C85</f>
        <v>2.6470588235294117</v>
      </c>
      <c r="D142" s="98">
        <f>D92/D85</f>
        <v>0.90624999999999989</v>
      </c>
      <c r="E142" s="98">
        <f>E92/E85</f>
        <v>0.23404255319148931</v>
      </c>
      <c r="F142" s="98">
        <f>F92/F85</f>
        <v>9.9999999999999978E-2</v>
      </c>
    </row>
    <row r="143" spans="1:6" x14ac:dyDescent="0.3">
      <c r="A143" s="1" t="s">
        <v>242</v>
      </c>
      <c r="B143" s="84">
        <f>(B140-B141)*B142</f>
        <v>-2.2342064714945733E-2</v>
      </c>
      <c r="C143" s="84">
        <f>(C140-C141)*C142</f>
        <v>0.11057874762808369</v>
      </c>
      <c r="D143" s="84">
        <f>(D140-D141)*D142</f>
        <v>8.6874999999999952E-2</v>
      </c>
      <c r="E143" s="84">
        <f>(E140-E141)*E142</f>
        <v>3.6162876008804176E-2</v>
      </c>
      <c r="F143" s="84">
        <f>(F140-F141)*F142</f>
        <v>1.5030303030303005E-2</v>
      </c>
    </row>
    <row r="144" spans="1:6" x14ac:dyDescent="0.3">
      <c r="A144" t="s">
        <v>250</v>
      </c>
      <c r="B144" s="84">
        <f>B140+B143</f>
        <v>4.5454545454545858E-2</v>
      </c>
      <c r="C144" s="84">
        <f>C140+C143</f>
        <v>0.22235294117647086</v>
      </c>
      <c r="D144" s="84">
        <f>D140+D143</f>
        <v>0.26687499999999992</v>
      </c>
      <c r="E144" s="84">
        <f>E140+E143</f>
        <v>0.30340425531914933</v>
      </c>
      <c r="F144" s="84">
        <f>F140+F143</f>
        <v>0.26866666666666644</v>
      </c>
    </row>
    <row r="146" spans="1:8" x14ac:dyDescent="0.3">
      <c r="A146" t="s">
        <v>453</v>
      </c>
      <c r="B146" s="84">
        <f>B16*(1-B134)/B6</f>
        <v>3.2679738562091856E-3</v>
      </c>
      <c r="C146" s="84">
        <f>C16*(1-C134)/C6</f>
        <v>2.3625000000000021E-2</v>
      </c>
      <c r="D146" s="84">
        <f>D16*(1-D134)/D6</f>
        <v>4.7444444444444428E-2</v>
      </c>
      <c r="E146" s="84">
        <f>E16*(1-E134)/E6</f>
        <v>6.7582938388625655E-2</v>
      </c>
      <c r="F146" s="84">
        <f>F16*(1-F134)/F6</f>
        <v>6.8888888888888847E-2</v>
      </c>
    </row>
    <row r="147" spans="1:8" x14ac:dyDescent="0.3">
      <c r="A147" t="s">
        <v>454</v>
      </c>
      <c r="B147" s="5">
        <f>B6/B75</f>
        <v>2.5932203389830506</v>
      </c>
      <c r="C147" s="5">
        <f>C6/C75</f>
        <v>2.580645161290323</v>
      </c>
      <c r="D147" s="5">
        <f>D6/D75</f>
        <v>2.9508196721311477</v>
      </c>
      <c r="E147" s="5">
        <f>E6/E75</f>
        <v>3.6379310344827593</v>
      </c>
      <c r="F147" s="5">
        <f>F6/F75</f>
        <v>3.5454545454545445</v>
      </c>
    </row>
    <row r="148" spans="1:8" x14ac:dyDescent="0.3">
      <c r="A148" t="s">
        <v>455</v>
      </c>
      <c r="B148" s="5">
        <f>B142+1</f>
        <v>5.3636363636363642</v>
      </c>
      <c r="C148" s="5">
        <f>C142+1</f>
        <v>3.6470588235294117</v>
      </c>
      <c r="D148" s="5">
        <f>D142+1</f>
        <v>1.90625</v>
      </c>
      <c r="E148" s="5">
        <f>E142+1</f>
        <v>1.2340425531914894</v>
      </c>
      <c r="F148" s="5">
        <f>F142+1</f>
        <v>1.1000000000000001</v>
      </c>
    </row>
    <row r="149" spans="1:8" x14ac:dyDescent="0.3">
      <c r="A149" t="s">
        <v>250</v>
      </c>
      <c r="B149" s="84">
        <f>B146*B147*B148</f>
        <v>4.5454545454545942E-2</v>
      </c>
      <c r="C149" s="84">
        <f>C146*C147*C148</f>
        <v>0.22235294117647081</v>
      </c>
      <c r="D149" s="84">
        <f>D146*D147*D148</f>
        <v>0.26687499999999992</v>
      </c>
      <c r="E149" s="84">
        <f>E146*E147*E148</f>
        <v>0.30340425531914927</v>
      </c>
      <c r="F149" s="84">
        <f>F146*F147*F148</f>
        <v>0.26866666666666644</v>
      </c>
    </row>
    <row r="151" spans="1:8" x14ac:dyDescent="0.3">
      <c r="A151" s="85" t="s">
        <v>1550</v>
      </c>
    </row>
    <row r="154" spans="1:8" x14ac:dyDescent="0.3">
      <c r="A154" s="100" t="s">
        <v>1127</v>
      </c>
    </row>
    <row r="155" spans="1:8" x14ac:dyDescent="0.3">
      <c r="A155" s="100"/>
    </row>
    <row r="156" spans="1:8" x14ac:dyDescent="0.3">
      <c r="A156" s="474" t="s">
        <v>31</v>
      </c>
      <c r="B156" s="474">
        <v>2004</v>
      </c>
      <c r="C156" s="474">
        <f>1+B156</f>
        <v>2005</v>
      </c>
      <c r="D156" s="474">
        <f>+C156+1</f>
        <v>2006</v>
      </c>
      <c r="E156" s="474">
        <f>+D156+1</f>
        <v>2007</v>
      </c>
      <c r="F156" s="474">
        <f>+E156+1</f>
        <v>2008</v>
      </c>
      <c r="G156" s="452">
        <f>+F156+1</f>
        <v>2009</v>
      </c>
      <c r="H156" s="452">
        <f>+G156+1</f>
        <v>2010</v>
      </c>
    </row>
    <row r="157" spans="1:8" x14ac:dyDescent="0.3">
      <c r="A157" s="3" t="s">
        <v>1567</v>
      </c>
      <c r="B157" s="317">
        <v>9428</v>
      </c>
      <c r="C157" s="317">
        <v>10435</v>
      </c>
      <c r="D157" s="317">
        <v>10949</v>
      </c>
      <c r="E157" s="317">
        <v>11801</v>
      </c>
      <c r="F157" s="317">
        <v>13103</v>
      </c>
      <c r="G157" s="317">
        <v>11976</v>
      </c>
      <c r="H157" s="317">
        <v>13488</v>
      </c>
    </row>
    <row r="158" spans="1:8" x14ac:dyDescent="0.3">
      <c r="A158" s="26" t="s">
        <v>269</v>
      </c>
      <c r="B158" s="389">
        <v>-3366</v>
      </c>
      <c r="C158" s="389">
        <v>-3945.5</v>
      </c>
      <c r="D158" s="389">
        <v>-4240.6000000000004</v>
      </c>
      <c r="E158" s="390">
        <v>-4547.8999999999996</v>
      </c>
      <c r="F158" s="389">
        <v>-5547.1</v>
      </c>
      <c r="G158" s="389">
        <v>-4563</v>
      </c>
      <c r="H158" s="390">
        <v>-5240</v>
      </c>
    </row>
    <row r="159" spans="1:8" x14ac:dyDescent="0.3">
      <c r="A159" s="26" t="s">
        <v>25</v>
      </c>
      <c r="B159" s="390">
        <f>-2103.6-150.5</f>
        <v>-2254.1</v>
      </c>
      <c r="C159" s="389">
        <f>-2218-44.8</f>
        <v>-2262.8000000000002</v>
      </c>
      <c r="D159" s="389">
        <f>-2201.2+2.6</f>
        <v>-2198.6</v>
      </c>
      <c r="E159" s="389">
        <f>-2485.5-5.3</f>
        <v>-2490.8000000000002</v>
      </c>
      <c r="F159" s="389">
        <f>-2437.4-30.2</f>
        <v>-2467.6</v>
      </c>
      <c r="G159" s="389">
        <v>-2198</v>
      </c>
      <c r="H159">
        <v>-2493</v>
      </c>
    </row>
    <row r="160" spans="1:8" x14ac:dyDescent="0.3">
      <c r="A160" s="101" t="s">
        <v>273</v>
      </c>
      <c r="B160" s="322">
        <f t="shared" ref="B160:H160" si="2">SUM(B157:B159)</f>
        <v>3807.9</v>
      </c>
      <c r="C160" s="322">
        <f t="shared" si="2"/>
        <v>4226.7</v>
      </c>
      <c r="D160" s="322">
        <f t="shared" si="2"/>
        <v>4509.7999999999993</v>
      </c>
      <c r="E160" s="322">
        <f t="shared" si="2"/>
        <v>4762.3</v>
      </c>
      <c r="F160" s="322">
        <f t="shared" si="2"/>
        <v>5088.2999999999993</v>
      </c>
      <c r="G160" s="322">
        <f t="shared" si="2"/>
        <v>5215</v>
      </c>
      <c r="H160" s="322">
        <f t="shared" si="2"/>
        <v>5755</v>
      </c>
    </row>
    <row r="161" spans="1:8" x14ac:dyDescent="0.3">
      <c r="A161" s="323" t="s">
        <v>274</v>
      </c>
      <c r="B161" s="390">
        <v>-1729.6</v>
      </c>
      <c r="C161" s="389">
        <v>-1856.4</v>
      </c>
      <c r="D161" s="389">
        <v>-1939.5</v>
      </c>
      <c r="E161" s="390">
        <v>-2037.8</v>
      </c>
      <c r="F161" s="389">
        <v>-2176.8000000000002</v>
      </c>
      <c r="G161" s="389">
        <v>-2236</v>
      </c>
      <c r="H161" s="390">
        <v>-2378</v>
      </c>
    </row>
    <row r="162" spans="1:8" x14ac:dyDescent="0.3">
      <c r="A162" s="323" t="s">
        <v>456</v>
      </c>
      <c r="B162" s="324" t="s">
        <v>458</v>
      </c>
      <c r="C162" s="324" t="s">
        <v>458</v>
      </c>
      <c r="D162" s="324" t="s">
        <v>458</v>
      </c>
      <c r="E162" s="324" t="s">
        <v>458</v>
      </c>
      <c r="F162" s="324" t="s">
        <v>458</v>
      </c>
      <c r="G162" s="324" t="s">
        <v>458</v>
      </c>
      <c r="H162" t="s">
        <v>458</v>
      </c>
    </row>
    <row r="163" spans="1:8" x14ac:dyDescent="0.3">
      <c r="A163" s="101" t="s">
        <v>1385</v>
      </c>
      <c r="B163" s="322">
        <f t="shared" ref="B163:H163" si="3">SUM(B160:B162)</f>
        <v>2078.3000000000002</v>
      </c>
      <c r="C163" s="322">
        <f t="shared" si="3"/>
        <v>2370.2999999999997</v>
      </c>
      <c r="D163" s="322">
        <f t="shared" si="3"/>
        <v>2570.2999999999993</v>
      </c>
      <c r="E163" s="322">
        <f t="shared" si="3"/>
        <v>2724.5</v>
      </c>
      <c r="F163" s="322">
        <f t="shared" si="3"/>
        <v>2911.4999999999991</v>
      </c>
      <c r="G163" s="322">
        <f t="shared" si="3"/>
        <v>2979</v>
      </c>
      <c r="H163" s="322">
        <f t="shared" si="3"/>
        <v>3377</v>
      </c>
    </row>
    <row r="164" spans="1:8" x14ac:dyDescent="0.3">
      <c r="A164" s="323" t="s">
        <v>26</v>
      </c>
      <c r="B164" s="389">
        <v>-854.6</v>
      </c>
      <c r="C164" s="389">
        <v>-897.3</v>
      </c>
      <c r="D164" s="389">
        <v>-908.2</v>
      </c>
      <c r="E164" s="390">
        <v>-935.9</v>
      </c>
      <c r="F164" s="389">
        <v>-992.8</v>
      </c>
      <c r="G164" s="389">
        <v>-1020</v>
      </c>
      <c r="H164" s="390">
        <v>-1122</v>
      </c>
    </row>
    <row r="165" spans="1:8" x14ac:dyDescent="0.3">
      <c r="A165" s="101" t="s">
        <v>1184</v>
      </c>
      <c r="B165" s="322">
        <f t="shared" ref="B165:H165" si="4">B163+B164</f>
        <v>1223.7000000000003</v>
      </c>
      <c r="C165" s="322">
        <f t="shared" si="4"/>
        <v>1472.9999999999998</v>
      </c>
      <c r="D165" s="322">
        <f t="shared" si="4"/>
        <v>1662.0999999999992</v>
      </c>
      <c r="E165" s="322">
        <f t="shared" si="4"/>
        <v>1788.6</v>
      </c>
      <c r="F165" s="322">
        <f t="shared" si="4"/>
        <v>1918.6999999999991</v>
      </c>
      <c r="G165" s="322">
        <f t="shared" si="4"/>
        <v>1959</v>
      </c>
      <c r="H165" s="322">
        <f t="shared" si="4"/>
        <v>2255</v>
      </c>
    </row>
    <row r="166" spans="1:8" x14ac:dyDescent="0.3">
      <c r="A166" s="323" t="s">
        <v>30</v>
      </c>
      <c r="B166" s="389">
        <f>-149.3-49.7</f>
        <v>-199</v>
      </c>
      <c r="C166" s="389">
        <f>-163.1-49.1</f>
        <v>-212.2</v>
      </c>
      <c r="D166" s="389">
        <f>-155.4-42.2</f>
        <v>-197.60000000000002</v>
      </c>
      <c r="E166" s="389">
        <f>-179.4-54.3</f>
        <v>-233.7</v>
      </c>
      <c r="F166" s="389">
        <f>-214.4-55.9</f>
        <v>-270.3</v>
      </c>
      <c r="G166" s="389">
        <v>-275</v>
      </c>
      <c r="H166">
        <v>-311</v>
      </c>
    </row>
    <row r="167" spans="1:8" x14ac:dyDescent="0.3">
      <c r="A167" s="101" t="s">
        <v>1220</v>
      </c>
      <c r="B167" s="391">
        <f t="shared" ref="B167:H167" si="5">B165+B166</f>
        <v>1024.7000000000003</v>
      </c>
      <c r="C167" s="391">
        <f t="shared" si="5"/>
        <v>1260.7999999999997</v>
      </c>
      <c r="D167" s="391">
        <f t="shared" si="5"/>
        <v>1464.4999999999991</v>
      </c>
      <c r="E167" s="391">
        <f t="shared" si="5"/>
        <v>1554.8999999999999</v>
      </c>
      <c r="F167" s="391">
        <f t="shared" si="5"/>
        <v>1648.3999999999992</v>
      </c>
      <c r="G167" s="391">
        <f t="shared" si="5"/>
        <v>1684</v>
      </c>
      <c r="H167" s="391">
        <f t="shared" si="5"/>
        <v>1944</v>
      </c>
    </row>
    <row r="168" spans="1:8" x14ac:dyDescent="0.3">
      <c r="A168" s="323" t="s">
        <v>27</v>
      </c>
      <c r="B168" s="392">
        <v>32.299999999999997</v>
      </c>
      <c r="C168" s="392">
        <v>80.599999999999994</v>
      </c>
      <c r="D168" s="392">
        <v>0</v>
      </c>
      <c r="E168" s="392">
        <v>0</v>
      </c>
      <c r="F168" s="392">
        <v>0</v>
      </c>
      <c r="G168" s="392">
        <v>0</v>
      </c>
      <c r="H168" s="402">
        <v>0</v>
      </c>
    </row>
    <row r="169" spans="1:8" x14ac:dyDescent="0.3">
      <c r="A169" s="323" t="s">
        <v>28</v>
      </c>
      <c r="B169" s="392">
        <v>-249.5</v>
      </c>
      <c r="C169" s="392">
        <v>-370.7</v>
      </c>
      <c r="D169" s="392">
        <v>-419.8</v>
      </c>
      <c r="E169" s="392">
        <v>-411.8</v>
      </c>
      <c r="F169" s="392">
        <v>-401.5</v>
      </c>
      <c r="G169" s="392">
        <v>-419</v>
      </c>
      <c r="H169" s="402">
        <v>-513</v>
      </c>
    </row>
    <row r="170" spans="1:8" x14ac:dyDescent="0.3">
      <c r="A170" s="323" t="s">
        <v>29</v>
      </c>
      <c r="B170" s="392">
        <v>36.5</v>
      </c>
      <c r="C170" s="392">
        <v>36.5</v>
      </c>
      <c r="D170" s="392">
        <v>27.7</v>
      </c>
      <c r="E170" s="392">
        <v>26.7</v>
      </c>
      <c r="F170" s="392">
        <v>24.8</v>
      </c>
      <c r="G170" s="392">
        <v>20</v>
      </c>
      <c r="H170" s="402">
        <v>28</v>
      </c>
    </row>
    <row r="171" spans="1:8" x14ac:dyDescent="0.3">
      <c r="A171" s="101" t="s">
        <v>1221</v>
      </c>
      <c r="B171" s="322">
        <f t="shared" ref="B171:H171" si="6">B167+B168+B169+B170</f>
        <v>844.00000000000023</v>
      </c>
      <c r="C171" s="322">
        <f t="shared" si="6"/>
        <v>1007.1999999999996</v>
      </c>
      <c r="D171" s="322">
        <f t="shared" si="6"/>
        <v>1072.3999999999992</v>
      </c>
      <c r="E171" s="322">
        <f t="shared" si="6"/>
        <v>1169.8</v>
      </c>
      <c r="F171" s="322">
        <f t="shared" si="6"/>
        <v>1271.6999999999991</v>
      </c>
      <c r="G171" s="322">
        <f t="shared" si="6"/>
        <v>1285</v>
      </c>
      <c r="H171" s="322">
        <f t="shared" si="6"/>
        <v>1459</v>
      </c>
    </row>
    <row r="172" spans="1:8" x14ac:dyDescent="0.3">
      <c r="A172" s="182" t="s">
        <v>457</v>
      </c>
      <c r="B172" s="389">
        <v>-64.3</v>
      </c>
      <c r="C172" s="389">
        <v>-73.599999999999994</v>
      </c>
      <c r="D172" s="389">
        <v>-69.8</v>
      </c>
      <c r="E172" s="389">
        <v>-46.9</v>
      </c>
      <c r="F172" s="389">
        <v>-51.8</v>
      </c>
      <c r="G172" s="389">
        <v>-55</v>
      </c>
      <c r="H172" s="402">
        <v>-55</v>
      </c>
    </row>
    <row r="174" spans="1:8" x14ac:dyDescent="0.3">
      <c r="A174" s="24" t="s">
        <v>1469</v>
      </c>
      <c r="B174" s="321">
        <f t="shared" ref="B174:H174" si="7">B171+B172</f>
        <v>779.70000000000027</v>
      </c>
      <c r="C174" s="321">
        <f t="shared" si="7"/>
        <v>933.59999999999957</v>
      </c>
      <c r="D174" s="321">
        <f t="shared" si="7"/>
        <v>1002.5999999999992</v>
      </c>
      <c r="E174" s="321">
        <f t="shared" si="7"/>
        <v>1122.8999999999999</v>
      </c>
      <c r="F174" s="321">
        <f t="shared" si="7"/>
        <v>1219.8999999999992</v>
      </c>
      <c r="G174" s="321">
        <f t="shared" si="7"/>
        <v>1230</v>
      </c>
      <c r="H174" s="321">
        <f t="shared" si="7"/>
        <v>1404</v>
      </c>
    </row>
    <row r="175" spans="1:8" x14ac:dyDescent="0.3">
      <c r="A175" s="101"/>
      <c r="B175" s="59"/>
      <c r="C175" s="60"/>
      <c r="D175" s="59"/>
      <c r="E175" s="60"/>
      <c r="F175" s="60"/>
      <c r="G175" s="60"/>
      <c r="H175" s="60"/>
    </row>
    <row r="176" spans="1:8" x14ac:dyDescent="0.3">
      <c r="A176" s="474" t="s">
        <v>32</v>
      </c>
      <c r="B176" s="474">
        <f>2004</f>
        <v>2004</v>
      </c>
      <c r="C176" s="474">
        <f t="shared" ref="C176:H176" si="8">+B176+1</f>
        <v>2005</v>
      </c>
      <c r="D176" s="474">
        <f t="shared" si="8"/>
        <v>2006</v>
      </c>
      <c r="E176" s="474">
        <f t="shared" si="8"/>
        <v>2007</v>
      </c>
      <c r="F176" s="474">
        <f t="shared" si="8"/>
        <v>2008</v>
      </c>
      <c r="G176" s="452">
        <f t="shared" si="8"/>
        <v>2009</v>
      </c>
      <c r="H176" s="452">
        <f t="shared" si="8"/>
        <v>2010</v>
      </c>
    </row>
    <row r="177" spans="1:8" x14ac:dyDescent="0.3">
      <c r="A177" t="s">
        <v>1367</v>
      </c>
      <c r="B177" s="389">
        <v>7550.9</v>
      </c>
      <c r="C177" s="389">
        <v>8168.5</v>
      </c>
      <c r="D177" s="389">
        <v>7991.7</v>
      </c>
      <c r="E177" s="390">
        <v>8392.2000000000007</v>
      </c>
      <c r="F177" s="389">
        <v>9520.1</v>
      </c>
      <c r="G177" s="389">
        <v>9921</v>
      </c>
      <c r="H177" s="390">
        <v>11037</v>
      </c>
    </row>
    <row r="178" spans="1:8" x14ac:dyDescent="0.3">
      <c r="A178" s="22" t="s">
        <v>33</v>
      </c>
      <c r="B178" s="389">
        <v>2851</v>
      </c>
      <c r="C178" s="389">
        <v>3032</v>
      </c>
      <c r="D178" s="389">
        <v>2982</v>
      </c>
      <c r="E178" s="389">
        <v>4349</v>
      </c>
      <c r="F178" s="389">
        <v>4672</v>
      </c>
      <c r="G178" s="389">
        <v>4679</v>
      </c>
      <c r="H178" s="390">
        <v>5061</v>
      </c>
    </row>
    <row r="179" spans="1:8" x14ac:dyDescent="0.3">
      <c r="A179" s="22" t="s">
        <v>34</v>
      </c>
      <c r="B179" s="389">
        <f>395.4+467.1</f>
        <v>862.5</v>
      </c>
      <c r="C179" s="390">
        <f>411.9+460.2</f>
        <v>872.09999999999991</v>
      </c>
      <c r="D179" s="390">
        <f>402.2+412</f>
        <v>814.2</v>
      </c>
      <c r="E179" s="389">
        <f>357.6+360.9</f>
        <v>718.5</v>
      </c>
      <c r="F179" s="389">
        <f>353+359.2</f>
        <v>712.2</v>
      </c>
      <c r="G179" s="389">
        <v>940</v>
      </c>
      <c r="H179">
        <v>973</v>
      </c>
    </row>
    <row r="180" spans="1:8" x14ac:dyDescent="0.3">
      <c r="A180" s="27" t="s">
        <v>459</v>
      </c>
      <c r="B180" s="393">
        <f t="shared" ref="B180:H180" si="9">SUM(B177:B179)</f>
        <v>11264.4</v>
      </c>
      <c r="C180" s="393">
        <f t="shared" si="9"/>
        <v>12072.6</v>
      </c>
      <c r="D180" s="393">
        <f t="shared" si="9"/>
        <v>11787.900000000001</v>
      </c>
      <c r="E180" s="393">
        <f t="shared" si="9"/>
        <v>13459.7</v>
      </c>
      <c r="F180" s="393">
        <f t="shared" si="9"/>
        <v>14904.300000000001</v>
      </c>
      <c r="G180" s="393">
        <f t="shared" si="9"/>
        <v>15540</v>
      </c>
      <c r="H180" s="393">
        <f t="shared" si="9"/>
        <v>17071</v>
      </c>
    </row>
    <row r="181" spans="1:8" x14ac:dyDescent="0.3">
      <c r="A181" t="s">
        <v>1374</v>
      </c>
      <c r="B181" s="389">
        <v>652</v>
      </c>
      <c r="C181" s="389">
        <v>653.79999999999995</v>
      </c>
      <c r="D181" s="389">
        <v>694.3</v>
      </c>
      <c r="E181" s="389">
        <v>795.9</v>
      </c>
      <c r="F181" s="389">
        <v>818.3</v>
      </c>
      <c r="G181" s="389">
        <v>710</v>
      </c>
      <c r="H181" s="390">
        <v>742</v>
      </c>
    </row>
    <row r="182" spans="1:8" x14ac:dyDescent="0.3">
      <c r="A182" s="22" t="s">
        <v>35</v>
      </c>
      <c r="B182" s="389">
        <v>2649</v>
      </c>
      <c r="C182" s="389">
        <v>2898</v>
      </c>
      <c r="D182" s="389">
        <v>2883</v>
      </c>
      <c r="E182" s="389">
        <v>3240</v>
      </c>
      <c r="F182" s="389">
        <v>3388</v>
      </c>
      <c r="G182" s="389">
        <v>2932</v>
      </c>
      <c r="H182" s="390">
        <v>3150</v>
      </c>
    </row>
    <row r="183" spans="1:8" x14ac:dyDescent="0.3">
      <c r="A183" s="22" t="s">
        <v>460</v>
      </c>
      <c r="B183" s="327">
        <v>2297</v>
      </c>
      <c r="C183" s="327">
        <v>2639</v>
      </c>
      <c r="D183" s="327">
        <v>2562</v>
      </c>
      <c r="E183" s="327">
        <v>3474</v>
      </c>
      <c r="F183" s="327">
        <v>3799</v>
      </c>
      <c r="G183" s="327">
        <v>3420</v>
      </c>
      <c r="H183" s="390">
        <v>3515</v>
      </c>
    </row>
    <row r="184" spans="1:8" x14ac:dyDescent="0.3">
      <c r="A184" s="36" t="s">
        <v>461</v>
      </c>
      <c r="B184" s="394">
        <f t="shared" ref="B184:H184" si="10">B181+B182-B183</f>
        <v>1004</v>
      </c>
      <c r="C184" s="394">
        <f t="shared" si="10"/>
        <v>912.80000000000018</v>
      </c>
      <c r="D184" s="394">
        <f t="shared" si="10"/>
        <v>1015.3000000000002</v>
      </c>
      <c r="E184" s="394">
        <f t="shared" si="10"/>
        <v>561.90000000000009</v>
      </c>
      <c r="F184" s="394">
        <f t="shared" si="10"/>
        <v>407.30000000000018</v>
      </c>
      <c r="G184" s="394">
        <f t="shared" si="10"/>
        <v>222</v>
      </c>
      <c r="H184" s="394">
        <f t="shared" si="10"/>
        <v>377</v>
      </c>
    </row>
    <row r="185" spans="1:8" x14ac:dyDescent="0.3">
      <c r="A185" s="49" t="s">
        <v>1387</v>
      </c>
      <c r="B185" s="321">
        <f t="shared" ref="B185:H185" si="11">B180+B184</f>
        <v>12268.4</v>
      </c>
      <c r="C185" s="321">
        <f t="shared" si="11"/>
        <v>12985.400000000001</v>
      </c>
      <c r="D185" s="321">
        <f t="shared" si="11"/>
        <v>12803.2</v>
      </c>
      <c r="E185" s="321">
        <f t="shared" si="11"/>
        <v>14021.6</v>
      </c>
      <c r="F185" s="321">
        <f t="shared" si="11"/>
        <v>15311.600000000002</v>
      </c>
      <c r="G185" s="321">
        <f t="shared" si="11"/>
        <v>15762</v>
      </c>
      <c r="H185" s="321">
        <f t="shared" si="11"/>
        <v>17448</v>
      </c>
    </row>
    <row r="187" spans="1:8" x14ac:dyDescent="0.3">
      <c r="A187" t="s">
        <v>1378</v>
      </c>
      <c r="B187" s="327">
        <v>6348</v>
      </c>
      <c r="C187" s="327">
        <v>7358</v>
      </c>
      <c r="D187" s="327">
        <v>7697</v>
      </c>
      <c r="E187" s="327">
        <v>7513</v>
      </c>
      <c r="F187" s="327">
        <v>8018</v>
      </c>
      <c r="G187" s="327">
        <v>8751</v>
      </c>
      <c r="H187" s="327">
        <v>10239</v>
      </c>
    </row>
    <row r="188" spans="1:8" x14ac:dyDescent="0.3">
      <c r="A188" t="s">
        <v>462</v>
      </c>
      <c r="B188" s="327">
        <v>6362</v>
      </c>
      <c r="C188" s="327">
        <v>5795</v>
      </c>
      <c r="D188" s="327">
        <v>5340</v>
      </c>
      <c r="E188" s="327">
        <v>6874</v>
      </c>
      <c r="F188" s="327">
        <v>8023</v>
      </c>
      <c r="G188" s="327">
        <v>7569</v>
      </c>
      <c r="H188" s="327">
        <v>7811</v>
      </c>
    </row>
    <row r="189" spans="1:8" x14ac:dyDescent="0.3">
      <c r="A189" t="s">
        <v>463</v>
      </c>
      <c r="B189" s="327">
        <v>414</v>
      </c>
      <c r="C189" s="327">
        <v>497</v>
      </c>
      <c r="D189" s="327">
        <v>696</v>
      </c>
      <c r="E189" s="327">
        <v>430</v>
      </c>
      <c r="F189" s="327">
        <v>765</v>
      </c>
      <c r="G189" s="327">
        <v>826</v>
      </c>
      <c r="H189" s="327">
        <v>921</v>
      </c>
    </row>
    <row r="190" spans="1:8" x14ac:dyDescent="0.3">
      <c r="A190" s="22" t="s">
        <v>1024</v>
      </c>
      <c r="B190" s="327">
        <v>856</v>
      </c>
      <c r="C190" s="327">
        <v>664</v>
      </c>
      <c r="D190" s="327">
        <v>930</v>
      </c>
      <c r="E190" s="327">
        <v>796</v>
      </c>
      <c r="F190" s="327">
        <v>1494</v>
      </c>
      <c r="G190" s="327">
        <v>1385</v>
      </c>
      <c r="H190" s="327">
        <v>1523</v>
      </c>
    </row>
    <row r="191" spans="1:8" x14ac:dyDescent="0.3">
      <c r="A191" s="22" t="s">
        <v>464</v>
      </c>
      <c r="B191" s="327">
        <f t="shared" ref="B191:G191" si="12">B188+B189-B190</f>
        <v>5920</v>
      </c>
      <c r="C191" s="327">
        <f t="shared" si="12"/>
        <v>5628</v>
      </c>
      <c r="D191" s="327">
        <f t="shared" si="12"/>
        <v>5106</v>
      </c>
      <c r="E191" s="327">
        <f t="shared" si="12"/>
        <v>6508</v>
      </c>
      <c r="F191" s="327">
        <f t="shared" si="12"/>
        <v>7294</v>
      </c>
      <c r="G191" s="327">
        <f t="shared" si="12"/>
        <v>7010</v>
      </c>
      <c r="H191" s="327">
        <v>7209</v>
      </c>
    </row>
    <row r="192" spans="1:8" x14ac:dyDescent="0.3">
      <c r="A192" s="49" t="s">
        <v>1387</v>
      </c>
      <c r="B192" s="49">
        <f t="shared" ref="B192:H192" si="13">B187+B191</f>
        <v>12268</v>
      </c>
      <c r="C192" s="49">
        <f t="shared" si="13"/>
        <v>12986</v>
      </c>
      <c r="D192" s="49">
        <f t="shared" si="13"/>
        <v>12803</v>
      </c>
      <c r="E192" s="49">
        <f t="shared" si="13"/>
        <v>14021</v>
      </c>
      <c r="F192" s="49">
        <f t="shared" si="13"/>
        <v>15312</v>
      </c>
      <c r="G192" s="49">
        <f t="shared" si="13"/>
        <v>15761</v>
      </c>
      <c r="H192" s="49">
        <f t="shared" si="13"/>
        <v>17448</v>
      </c>
    </row>
    <row r="194" spans="1:8" x14ac:dyDescent="0.3">
      <c r="A194" s="474" t="s">
        <v>36</v>
      </c>
      <c r="B194" s="474">
        <v>2004</v>
      </c>
      <c r="C194" s="474">
        <f t="shared" ref="C194:H194" si="14">+B194+1</f>
        <v>2005</v>
      </c>
      <c r="D194" s="474">
        <f t="shared" si="14"/>
        <v>2006</v>
      </c>
      <c r="E194" s="474">
        <f t="shared" si="14"/>
        <v>2007</v>
      </c>
      <c r="F194" s="474">
        <f t="shared" si="14"/>
        <v>2008</v>
      </c>
      <c r="G194" s="452">
        <f t="shared" si="14"/>
        <v>2009</v>
      </c>
      <c r="H194" s="452">
        <f t="shared" si="14"/>
        <v>2010</v>
      </c>
    </row>
    <row r="195" spans="1:8" x14ac:dyDescent="0.3">
      <c r="A195" s="328" t="s">
        <v>92</v>
      </c>
      <c r="B195" s="72"/>
      <c r="C195" s="72"/>
      <c r="D195" s="72"/>
      <c r="E195" s="72"/>
      <c r="F195" s="72"/>
      <c r="G195" s="72"/>
    </row>
    <row r="196" spans="1:8" x14ac:dyDescent="0.3">
      <c r="A196" s="3" t="s">
        <v>1221</v>
      </c>
      <c r="B196" s="107">
        <f t="shared" ref="B196:G196" si="15">B171</f>
        <v>844.00000000000023</v>
      </c>
      <c r="C196" s="107">
        <f t="shared" si="15"/>
        <v>1007.1999999999996</v>
      </c>
      <c r="D196" s="107">
        <f t="shared" si="15"/>
        <v>1072.3999999999992</v>
      </c>
      <c r="E196" s="107">
        <f t="shared" si="15"/>
        <v>1169.8</v>
      </c>
      <c r="F196" s="107">
        <f t="shared" si="15"/>
        <v>1271.6999999999991</v>
      </c>
      <c r="G196" s="107">
        <f t="shared" si="15"/>
        <v>1285</v>
      </c>
      <c r="H196">
        <v>1459</v>
      </c>
    </row>
    <row r="197" spans="1:8" x14ac:dyDescent="0.3">
      <c r="A197" s="26" t="s">
        <v>37</v>
      </c>
      <c r="B197" s="107">
        <f t="shared" ref="B197:G197" si="16">-B164</f>
        <v>854.6</v>
      </c>
      <c r="C197" s="107">
        <f t="shared" si="16"/>
        <v>897.3</v>
      </c>
      <c r="D197" s="107">
        <f t="shared" si="16"/>
        <v>908.2</v>
      </c>
      <c r="E197" s="107">
        <f t="shared" si="16"/>
        <v>935.9</v>
      </c>
      <c r="F197" s="107">
        <f t="shared" si="16"/>
        <v>992.8</v>
      </c>
      <c r="G197" s="107">
        <f t="shared" si="16"/>
        <v>1020</v>
      </c>
      <c r="H197">
        <v>1122</v>
      </c>
    </row>
    <row r="198" spans="1:8" x14ac:dyDescent="0.3">
      <c r="A198" s="26" t="s">
        <v>38</v>
      </c>
      <c r="B198">
        <v>-8</v>
      </c>
      <c r="C198">
        <v>-482</v>
      </c>
      <c r="D198">
        <v>193</v>
      </c>
      <c r="E198">
        <f>-61-511</f>
        <v>-572</v>
      </c>
      <c r="F198">
        <f>-14-387</f>
        <v>-401</v>
      </c>
      <c r="G198">
        <v>-31</v>
      </c>
      <c r="H198">
        <f>-42-25</f>
        <v>-67</v>
      </c>
    </row>
    <row r="199" spans="1:8" x14ac:dyDescent="0.3">
      <c r="A199" s="26" t="s">
        <v>416</v>
      </c>
      <c r="B199" s="107">
        <f t="shared" ref="B199:H199" si="17">SUM(B196:B198)</f>
        <v>1690.6000000000004</v>
      </c>
      <c r="C199" s="107">
        <f t="shared" si="17"/>
        <v>1422.4999999999995</v>
      </c>
      <c r="D199" s="107">
        <f t="shared" si="17"/>
        <v>2173.5999999999995</v>
      </c>
      <c r="E199" s="107">
        <f t="shared" si="17"/>
        <v>1533.6999999999998</v>
      </c>
      <c r="F199" s="107">
        <f t="shared" si="17"/>
        <v>1863.4999999999991</v>
      </c>
      <c r="G199" s="107">
        <f t="shared" si="17"/>
        <v>2274</v>
      </c>
      <c r="H199" s="107">
        <f t="shared" si="17"/>
        <v>2514</v>
      </c>
    </row>
    <row r="200" spans="1:8" x14ac:dyDescent="0.3">
      <c r="A200" s="329" t="s">
        <v>39</v>
      </c>
      <c r="B200">
        <v>-240</v>
      </c>
      <c r="C200" s="317">
        <f>B184-C184</f>
        <v>91.199999999999818</v>
      </c>
      <c r="D200" s="317">
        <f>C184-D184</f>
        <v>-102.5</v>
      </c>
      <c r="E200" s="317">
        <f>D184-E184</f>
        <v>453.40000000000009</v>
      </c>
      <c r="F200" s="317">
        <f>E184-F184</f>
        <v>154.59999999999991</v>
      </c>
      <c r="G200" s="317">
        <v>186</v>
      </c>
      <c r="H200">
        <v>-156</v>
      </c>
    </row>
    <row r="201" spans="1:8" x14ac:dyDescent="0.3">
      <c r="A201" s="95" t="s">
        <v>1349</v>
      </c>
      <c r="B201" s="320">
        <f t="shared" ref="B201:H201" si="18">B199+B200</f>
        <v>1450.6000000000004</v>
      </c>
      <c r="C201" s="320">
        <f t="shared" si="18"/>
        <v>1513.6999999999994</v>
      </c>
      <c r="D201" s="320">
        <f t="shared" si="18"/>
        <v>2071.0999999999995</v>
      </c>
      <c r="E201" s="320">
        <f t="shared" si="18"/>
        <v>1987.1</v>
      </c>
      <c r="F201" s="320">
        <f t="shared" si="18"/>
        <v>2018.099999999999</v>
      </c>
      <c r="G201" s="320">
        <f t="shared" si="18"/>
        <v>2460</v>
      </c>
      <c r="H201" s="320">
        <f t="shared" si="18"/>
        <v>2358</v>
      </c>
    </row>
    <row r="202" spans="1:8" x14ac:dyDescent="0.3">
      <c r="A202" s="26" t="s">
        <v>1333</v>
      </c>
      <c r="B202">
        <v>-3007</v>
      </c>
      <c r="C202">
        <v>-771</v>
      </c>
      <c r="D202">
        <v>-1096</v>
      </c>
      <c r="E202" s="68">
        <v>-2468</v>
      </c>
      <c r="F202" s="68">
        <v>-2093</v>
      </c>
      <c r="G202" s="68">
        <v>-1440</v>
      </c>
      <c r="H202" s="68">
        <v>-1646</v>
      </c>
    </row>
    <row r="203" spans="1:8" x14ac:dyDescent="0.3">
      <c r="A203" s="26" t="s">
        <v>465</v>
      </c>
      <c r="B203">
        <v>-31</v>
      </c>
      <c r="C203">
        <v>19</v>
      </c>
      <c r="D203">
        <v>-23</v>
      </c>
      <c r="E203" s="68">
        <v>-443</v>
      </c>
      <c r="F203" s="68">
        <v>-122</v>
      </c>
      <c r="G203" s="68">
        <v>174</v>
      </c>
      <c r="H203" s="68">
        <v>113</v>
      </c>
    </row>
    <row r="204" spans="1:8" x14ac:dyDescent="0.3">
      <c r="A204" s="26" t="s">
        <v>1336</v>
      </c>
      <c r="B204">
        <v>-490</v>
      </c>
      <c r="C204">
        <v>-476</v>
      </c>
      <c r="D204">
        <v>-479</v>
      </c>
      <c r="E204" s="68">
        <v>-530</v>
      </c>
      <c r="F204" s="68">
        <v>-590</v>
      </c>
      <c r="G204" s="68">
        <v>-631</v>
      </c>
      <c r="H204" s="68">
        <v>-647</v>
      </c>
    </row>
    <row r="205" spans="1:8" x14ac:dyDescent="0.3">
      <c r="A205" s="95" t="s">
        <v>1329</v>
      </c>
      <c r="B205" s="320">
        <f t="shared" ref="B205:H205" si="19">SUM(B201:B204)</f>
        <v>-2077.3999999999996</v>
      </c>
      <c r="C205" s="320">
        <f t="shared" si="19"/>
        <v>285.69999999999936</v>
      </c>
      <c r="D205" s="320">
        <f t="shared" si="19"/>
        <v>473.09999999999945</v>
      </c>
      <c r="E205" s="320">
        <f t="shared" si="19"/>
        <v>-1453.9</v>
      </c>
      <c r="F205" s="320">
        <f t="shared" si="19"/>
        <v>-786.900000000001</v>
      </c>
      <c r="G205" s="320">
        <f t="shared" si="19"/>
        <v>563</v>
      </c>
      <c r="H205" s="320">
        <f t="shared" si="19"/>
        <v>178</v>
      </c>
    </row>
    <row r="206" spans="1:8" x14ac:dyDescent="0.3">
      <c r="C206" s="317" t="s">
        <v>458</v>
      </c>
      <c r="D206" s="317" t="s">
        <v>458</v>
      </c>
      <c r="E206" s="317" t="s">
        <v>458</v>
      </c>
      <c r="F206" s="317" t="s">
        <v>458</v>
      </c>
      <c r="G206" s="317" t="s">
        <v>458</v>
      </c>
    </row>
    <row r="207" spans="1:8" x14ac:dyDescent="0.3">
      <c r="A207" s="474" t="s">
        <v>466</v>
      </c>
      <c r="B207" s="474">
        <v>2004</v>
      </c>
      <c r="C207" s="474">
        <f t="shared" ref="C207:H207" si="20">+B207+1</f>
        <v>2005</v>
      </c>
      <c r="D207" s="474">
        <f t="shared" si="20"/>
        <v>2006</v>
      </c>
      <c r="E207" s="474">
        <f t="shared" si="20"/>
        <v>2007</v>
      </c>
      <c r="F207" s="474">
        <f t="shared" si="20"/>
        <v>2008</v>
      </c>
      <c r="G207" s="452">
        <f t="shared" si="20"/>
        <v>2009</v>
      </c>
      <c r="H207" s="452">
        <f t="shared" si="20"/>
        <v>2010</v>
      </c>
    </row>
    <row r="208" spans="1:8" x14ac:dyDescent="0.3">
      <c r="A208" s="85" t="s">
        <v>409</v>
      </c>
    </row>
    <row r="209" spans="1:8" x14ac:dyDescent="0.3">
      <c r="A209" t="s">
        <v>1116</v>
      </c>
      <c r="B209" s="5">
        <f t="shared" ref="B209:H209" si="21">B157/$B157</f>
        <v>1</v>
      </c>
      <c r="C209" s="5">
        <f t="shared" si="21"/>
        <v>1.1068095036062793</v>
      </c>
      <c r="D209" s="5">
        <f t="shared" si="21"/>
        <v>1.1613279592702588</v>
      </c>
      <c r="E209" s="5">
        <f t="shared" si="21"/>
        <v>1.2516970725498515</v>
      </c>
      <c r="F209" s="5">
        <f t="shared" si="21"/>
        <v>1.3897963512940179</v>
      </c>
      <c r="G209" s="5">
        <f t="shared" si="21"/>
        <v>1.2702588035638525</v>
      </c>
      <c r="H209" s="5">
        <f t="shared" si="21"/>
        <v>1.4306321595248197</v>
      </c>
    </row>
    <row r="210" spans="1:8" x14ac:dyDescent="0.3">
      <c r="A210" t="s">
        <v>273</v>
      </c>
      <c r="B210" s="5">
        <f t="shared" ref="B210:H210" si="22">B160/$B160</f>
        <v>1</v>
      </c>
      <c r="C210" s="5">
        <f t="shared" si="22"/>
        <v>1.1099818797762546</v>
      </c>
      <c r="D210" s="5">
        <f t="shared" si="22"/>
        <v>1.1843273195199451</v>
      </c>
      <c r="E210" s="5">
        <f t="shared" si="22"/>
        <v>1.2506368339504714</v>
      </c>
      <c r="F210" s="5">
        <f t="shared" si="22"/>
        <v>1.3362483258488929</v>
      </c>
      <c r="G210" s="5">
        <f t="shared" si="22"/>
        <v>1.3695212584364085</v>
      </c>
      <c r="H210" s="5">
        <f t="shared" si="22"/>
        <v>1.5113317051393156</v>
      </c>
    </row>
    <row r="211" spans="1:8" x14ac:dyDescent="0.3">
      <c r="A211" t="s">
        <v>1221</v>
      </c>
      <c r="B211" s="5">
        <f t="shared" ref="B211:H211" si="23">B171/$B171</f>
        <v>1</v>
      </c>
      <c r="C211" s="5">
        <f t="shared" si="23"/>
        <v>1.1933649289099517</v>
      </c>
      <c r="D211" s="5">
        <f t="shared" si="23"/>
        <v>1.2706161137440746</v>
      </c>
      <c r="E211" s="5">
        <f t="shared" si="23"/>
        <v>1.3860189573459711</v>
      </c>
      <c r="F211" s="5">
        <f t="shared" si="23"/>
        <v>1.5067535545023683</v>
      </c>
      <c r="G211" s="5">
        <f t="shared" si="23"/>
        <v>1.5225118483412319</v>
      </c>
      <c r="H211" s="5">
        <f t="shared" si="23"/>
        <v>1.72867298578199</v>
      </c>
    </row>
    <row r="213" spans="1:8" x14ac:dyDescent="0.3">
      <c r="A213" t="s">
        <v>407</v>
      </c>
      <c r="B213" s="5">
        <f t="shared" ref="B213:H213" si="24">(B157/B161)/($B157/$B161)</f>
        <v>1</v>
      </c>
      <c r="C213" s="5">
        <f t="shared" si="24"/>
        <v>1.0312097163528444</v>
      </c>
      <c r="D213" s="5">
        <f t="shared" si="24"/>
        <v>1.0356446704582827</v>
      </c>
      <c r="E213" s="5">
        <f t="shared" si="24"/>
        <v>1.0623884859565331</v>
      </c>
      <c r="F213" s="5">
        <f t="shared" si="24"/>
        <v>1.1042777330017148</v>
      </c>
      <c r="G213" s="5">
        <f t="shared" si="24"/>
        <v>0.98257586164760236</v>
      </c>
      <c r="H213" s="5">
        <f t="shared" si="24"/>
        <v>1.0405472595097258</v>
      </c>
    </row>
    <row r="214" spans="1:8" x14ac:dyDescent="0.3">
      <c r="A214" t="s">
        <v>408</v>
      </c>
      <c r="B214" s="84">
        <f t="shared" ref="B214:H214" si="25">B174/B187</f>
        <v>0.12282608695652178</v>
      </c>
      <c r="C214" s="84">
        <f t="shared" si="25"/>
        <v>0.12688230497417771</v>
      </c>
      <c r="D214" s="84">
        <f t="shared" si="25"/>
        <v>0.13025854228920347</v>
      </c>
      <c r="E214" s="84">
        <f t="shared" si="25"/>
        <v>0.14946093438040728</v>
      </c>
      <c r="F214" s="84">
        <f t="shared" si="25"/>
        <v>0.15214517335994004</v>
      </c>
      <c r="G214" s="84">
        <f t="shared" si="25"/>
        <v>0.14055536510113129</v>
      </c>
      <c r="H214" s="84">
        <f t="shared" si="25"/>
        <v>0.13712276589510694</v>
      </c>
    </row>
    <row r="215" spans="1:8" x14ac:dyDescent="0.3">
      <c r="A215" t="s">
        <v>410</v>
      </c>
      <c r="B215" s="84">
        <f t="shared" ref="B215:H215" si="26">-B166/B163</f>
        <v>9.5751335225905773E-2</v>
      </c>
      <c r="C215" s="84">
        <f t="shared" si="26"/>
        <v>8.9524532759566303E-2</v>
      </c>
      <c r="D215" s="84">
        <f t="shared" si="26"/>
        <v>7.6878185425825807E-2</v>
      </c>
      <c r="E215" s="84">
        <f t="shared" si="26"/>
        <v>8.5777206826940719E-2</v>
      </c>
      <c r="F215" s="84">
        <f t="shared" si="26"/>
        <v>9.2838742916022704E-2</v>
      </c>
      <c r="G215" s="84">
        <f t="shared" si="26"/>
        <v>9.2312856663309836E-2</v>
      </c>
      <c r="H215" s="84">
        <f t="shared" si="26"/>
        <v>9.2093574178264734E-2</v>
      </c>
    </row>
    <row r="217" spans="1:8" x14ac:dyDescent="0.3">
      <c r="A217" s="474" t="s">
        <v>467</v>
      </c>
      <c r="B217" s="474">
        <v>2004</v>
      </c>
      <c r="C217" s="474">
        <f t="shared" ref="C217:H217" si="27">+B217+1</f>
        <v>2005</v>
      </c>
      <c r="D217" s="474">
        <f t="shared" si="27"/>
        <v>2006</v>
      </c>
      <c r="E217" s="474">
        <f t="shared" si="27"/>
        <v>2007</v>
      </c>
      <c r="F217" s="474">
        <f t="shared" si="27"/>
        <v>2008</v>
      </c>
      <c r="G217" s="452">
        <f t="shared" si="27"/>
        <v>2009</v>
      </c>
      <c r="H217" s="452">
        <f t="shared" si="27"/>
        <v>2010</v>
      </c>
    </row>
    <row r="218" spans="1:8" x14ac:dyDescent="0.3">
      <c r="A218" t="s">
        <v>441</v>
      </c>
      <c r="B218" s="84">
        <f t="shared" ref="B218:H218" si="28">B182/B157</f>
        <v>0.28097157403479001</v>
      </c>
      <c r="C218" s="84">
        <f t="shared" si="28"/>
        <v>0.27771921418303785</v>
      </c>
      <c r="D218" s="84">
        <f t="shared" si="28"/>
        <v>0.26331171796511099</v>
      </c>
      <c r="E218" s="84">
        <f t="shared" si="28"/>
        <v>0.27455300398271332</v>
      </c>
      <c r="F218" s="84">
        <f t="shared" si="28"/>
        <v>0.25856674044112038</v>
      </c>
      <c r="G218" s="84">
        <f t="shared" si="28"/>
        <v>0.24482297929191718</v>
      </c>
      <c r="H218" s="84">
        <f t="shared" si="28"/>
        <v>0.23354092526690393</v>
      </c>
    </row>
    <row r="219" spans="1:8" x14ac:dyDescent="0.3">
      <c r="A219" t="s">
        <v>442</v>
      </c>
      <c r="B219" s="84">
        <f t="shared" ref="B219:H219" si="29">B183/(-B158-B159)</f>
        <v>0.40871158876176578</v>
      </c>
      <c r="C219" s="84">
        <f t="shared" si="29"/>
        <v>0.42507610779118277</v>
      </c>
      <c r="D219" s="84">
        <f t="shared" si="29"/>
        <v>0.39787551248602304</v>
      </c>
      <c r="E219" s="84">
        <f t="shared" si="29"/>
        <v>0.4935570488868683</v>
      </c>
      <c r="F219" s="84">
        <f t="shared" si="29"/>
        <v>0.47400401761762756</v>
      </c>
      <c r="G219" s="84">
        <f t="shared" si="29"/>
        <v>0.50584233101612186</v>
      </c>
      <c r="H219" s="84">
        <f t="shared" si="29"/>
        <v>0.45454545454545453</v>
      </c>
    </row>
    <row r="220" spans="1:8" x14ac:dyDescent="0.3">
      <c r="A220" t="s">
        <v>206</v>
      </c>
      <c r="B220" s="84">
        <f t="shared" ref="B220:H220" si="30">B181/B157</f>
        <v>6.9155706406448872E-2</v>
      </c>
      <c r="C220" s="84">
        <f t="shared" si="30"/>
        <v>6.2654528030666026E-2</v>
      </c>
      <c r="D220" s="84">
        <f t="shared" si="30"/>
        <v>6.3412183761074062E-2</v>
      </c>
      <c r="E220" s="84">
        <f t="shared" si="30"/>
        <v>6.744343699686467E-2</v>
      </c>
      <c r="F220" s="84">
        <f t="shared" si="30"/>
        <v>6.2451347019766464E-2</v>
      </c>
      <c r="G220" s="84">
        <f t="shared" si="30"/>
        <v>5.9285237140948563E-2</v>
      </c>
      <c r="H220" s="84">
        <f t="shared" si="30"/>
        <v>5.5011862396204037E-2</v>
      </c>
    </row>
    <row r="222" spans="1:8" x14ac:dyDescent="0.3">
      <c r="A222" s="474" t="s">
        <v>468</v>
      </c>
      <c r="B222" s="474">
        <v>2004</v>
      </c>
      <c r="C222" s="474">
        <f t="shared" ref="C222:H222" si="31">+B222+1</f>
        <v>2005</v>
      </c>
      <c r="D222" s="474">
        <f t="shared" si="31"/>
        <v>2006</v>
      </c>
      <c r="E222" s="474">
        <f t="shared" si="31"/>
        <v>2007</v>
      </c>
      <c r="F222" s="474">
        <f t="shared" si="31"/>
        <v>2008</v>
      </c>
      <c r="G222" s="452">
        <f t="shared" si="31"/>
        <v>2009</v>
      </c>
      <c r="H222" s="452">
        <f t="shared" si="31"/>
        <v>2010</v>
      </c>
    </row>
    <row r="223" spans="1:8" x14ac:dyDescent="0.3">
      <c r="A223" s="68" t="s">
        <v>128</v>
      </c>
    </row>
    <row r="224" spans="1:8" x14ac:dyDescent="0.3">
      <c r="A224" s="68" t="s">
        <v>129</v>
      </c>
    </row>
    <row r="225" spans="1:8" x14ac:dyDescent="0.3">
      <c r="A225" s="68"/>
    </row>
    <row r="226" spans="1:8" x14ac:dyDescent="0.3">
      <c r="A226" t="s">
        <v>1349</v>
      </c>
      <c r="B226" s="65">
        <f t="shared" ref="B226:H227" si="32">B201</f>
        <v>1450.6000000000004</v>
      </c>
      <c r="C226" s="65">
        <f t="shared" si="32"/>
        <v>1513.6999999999994</v>
      </c>
      <c r="D226" s="65">
        <f t="shared" si="32"/>
        <v>2071.0999999999995</v>
      </c>
      <c r="E226" s="65">
        <f t="shared" si="32"/>
        <v>1987.1</v>
      </c>
      <c r="F226" s="65">
        <f t="shared" si="32"/>
        <v>2018.099999999999</v>
      </c>
      <c r="G226" s="65">
        <f t="shared" si="32"/>
        <v>2460</v>
      </c>
      <c r="H226" s="65">
        <f t="shared" si="32"/>
        <v>2358</v>
      </c>
    </row>
    <row r="227" spans="1:8" x14ac:dyDescent="0.3">
      <c r="A227" t="s">
        <v>287</v>
      </c>
      <c r="B227" s="65">
        <f t="shared" si="32"/>
        <v>-3007</v>
      </c>
      <c r="C227" s="65">
        <f t="shared" si="32"/>
        <v>-771</v>
      </c>
      <c r="D227" s="65">
        <f t="shared" si="32"/>
        <v>-1096</v>
      </c>
      <c r="E227" s="65">
        <f t="shared" si="32"/>
        <v>-2468</v>
      </c>
      <c r="F227" s="65">
        <f t="shared" si="32"/>
        <v>-2093</v>
      </c>
      <c r="G227" s="65">
        <f t="shared" si="32"/>
        <v>-1440</v>
      </c>
      <c r="H227" s="65">
        <f t="shared" si="32"/>
        <v>-1646</v>
      </c>
    </row>
    <row r="228" spans="1:8" x14ac:dyDescent="0.3">
      <c r="A228" t="s">
        <v>1329</v>
      </c>
      <c r="B228" s="65">
        <f t="shared" ref="B228:H228" si="33">B205</f>
        <v>-2077.3999999999996</v>
      </c>
      <c r="C228" s="65">
        <f t="shared" si="33"/>
        <v>285.69999999999936</v>
      </c>
      <c r="D228" s="65">
        <f t="shared" si="33"/>
        <v>473.09999999999945</v>
      </c>
      <c r="E228" s="65">
        <f t="shared" si="33"/>
        <v>-1453.9</v>
      </c>
      <c r="F228" s="65">
        <f t="shared" si="33"/>
        <v>-786.900000000001</v>
      </c>
      <c r="G228" s="65">
        <f t="shared" si="33"/>
        <v>563</v>
      </c>
      <c r="H228" s="65">
        <f t="shared" si="33"/>
        <v>178</v>
      </c>
    </row>
    <row r="230" spans="1:8" x14ac:dyDescent="0.3">
      <c r="A230" s="474" t="s">
        <v>469</v>
      </c>
      <c r="B230" s="474">
        <v>2004</v>
      </c>
      <c r="C230" s="474">
        <f t="shared" ref="C230:H230" si="34">+B230+1</f>
        <v>2005</v>
      </c>
      <c r="D230" s="474">
        <f t="shared" si="34"/>
        <v>2006</v>
      </c>
      <c r="E230" s="474">
        <f t="shared" si="34"/>
        <v>2007</v>
      </c>
      <c r="F230" s="474">
        <f t="shared" si="34"/>
        <v>2008</v>
      </c>
      <c r="G230" s="452">
        <f t="shared" si="34"/>
        <v>2009</v>
      </c>
      <c r="H230" s="452">
        <f t="shared" si="34"/>
        <v>2010</v>
      </c>
    </row>
    <row r="231" spans="1:8" x14ac:dyDescent="0.3">
      <c r="A231" s="97"/>
    </row>
    <row r="232" spans="1:8" x14ac:dyDescent="0.3">
      <c r="A232" t="s">
        <v>447</v>
      </c>
      <c r="B232" s="69">
        <f t="shared" ref="B232:H232" si="35">B227/B180</f>
        <v>-0.26694719647739784</v>
      </c>
      <c r="C232" s="69">
        <f t="shared" si="35"/>
        <v>-6.3863625068336566E-2</v>
      </c>
      <c r="D232" s="69">
        <f t="shared" si="35"/>
        <v>-9.2976696442962692E-2</v>
      </c>
      <c r="E232" s="69">
        <f t="shared" si="35"/>
        <v>-0.18336218489267961</v>
      </c>
      <c r="F232" s="69">
        <f t="shared" si="35"/>
        <v>-0.14042927208926281</v>
      </c>
      <c r="G232" s="69">
        <f t="shared" si="35"/>
        <v>-9.2664092664092659E-2</v>
      </c>
      <c r="H232" s="69">
        <f t="shared" si="35"/>
        <v>-9.6420830648468167E-2</v>
      </c>
    </row>
    <row r="233" spans="1:8" x14ac:dyDescent="0.3">
      <c r="A233" t="s">
        <v>126</v>
      </c>
      <c r="B233" s="86">
        <f t="shared" ref="B233:H233" si="36">B202/B197</f>
        <v>-3.5186051954130586</v>
      </c>
      <c r="C233" s="86">
        <f t="shared" si="36"/>
        <v>-0.85924439986626555</v>
      </c>
      <c r="D233" s="86">
        <f t="shared" si="36"/>
        <v>-1.2067826469940541</v>
      </c>
      <c r="E233" s="86">
        <f t="shared" si="36"/>
        <v>-2.6370338711400789</v>
      </c>
      <c r="F233" s="86">
        <f t="shared" si="36"/>
        <v>-2.1081788879935535</v>
      </c>
      <c r="G233" s="86">
        <f t="shared" si="36"/>
        <v>-1.411764705882353</v>
      </c>
      <c r="H233" s="86">
        <f t="shared" si="36"/>
        <v>-1.4670231729055259</v>
      </c>
    </row>
    <row r="235" spans="1:8" x14ac:dyDescent="0.3">
      <c r="A235" s="474" t="s">
        <v>474</v>
      </c>
      <c r="B235" s="474">
        <v>2004</v>
      </c>
      <c r="C235" s="474">
        <f t="shared" ref="C235:H235" si="37">+B235+1</f>
        <v>2005</v>
      </c>
      <c r="D235" s="474">
        <f t="shared" si="37"/>
        <v>2006</v>
      </c>
      <c r="E235" s="474">
        <f t="shared" si="37"/>
        <v>2007</v>
      </c>
      <c r="F235" s="474">
        <f t="shared" si="37"/>
        <v>2008</v>
      </c>
      <c r="G235" s="452">
        <f t="shared" si="37"/>
        <v>2009</v>
      </c>
      <c r="H235" s="452">
        <f t="shared" si="37"/>
        <v>2010</v>
      </c>
    </row>
    <row r="236" spans="1:8" x14ac:dyDescent="0.3">
      <c r="A236" s="68" t="s">
        <v>452</v>
      </c>
      <c r="B236" s="37">
        <f t="shared" ref="B236:H236" si="38">-B169/(B167+B168)</f>
        <v>0.23604541154210024</v>
      </c>
      <c r="C236" s="37">
        <f t="shared" si="38"/>
        <v>0.27635306396302378</v>
      </c>
      <c r="D236" s="37">
        <f t="shared" si="38"/>
        <v>0.28665073403892133</v>
      </c>
      <c r="E236" s="37">
        <f t="shared" si="38"/>
        <v>0.26484018264840187</v>
      </c>
      <c r="F236" s="37">
        <f t="shared" si="38"/>
        <v>0.24356952196068926</v>
      </c>
      <c r="G236" s="37">
        <f t="shared" si="38"/>
        <v>0.24881235154394299</v>
      </c>
      <c r="H236" s="37">
        <f t="shared" si="38"/>
        <v>0.2638888888888889</v>
      </c>
    </row>
    <row r="237" spans="1:8" x14ac:dyDescent="0.3">
      <c r="A237" s="1"/>
      <c r="B237" s="37"/>
    </row>
    <row r="238" spans="1:8" x14ac:dyDescent="0.3">
      <c r="A238" t="s">
        <v>449</v>
      </c>
      <c r="B238" s="5">
        <f t="shared" ref="B238:H238" si="39">B239*B240</f>
        <v>7.6199930707829239E-2</v>
      </c>
      <c r="C238" s="5">
        <f t="shared" si="39"/>
        <v>8.2086954331977879E-2</v>
      </c>
      <c r="D238" s="5">
        <f t="shared" si="39"/>
        <v>9.2606365201973601E-2</v>
      </c>
      <c r="E238" s="5">
        <f t="shared" si="39"/>
        <v>9.3777232934548718E-2</v>
      </c>
      <c r="F238" s="5">
        <f t="shared" si="39"/>
        <v>9.4788471369029015E-2</v>
      </c>
      <c r="G238" s="5">
        <f t="shared" si="39"/>
        <v>9.3362301949334828E-2</v>
      </c>
      <c r="H238" s="5">
        <f t="shared" si="39"/>
        <v>9.5135864027714095E-2</v>
      </c>
    </row>
    <row r="239" spans="1:8" x14ac:dyDescent="0.3">
      <c r="A239" t="s">
        <v>450</v>
      </c>
      <c r="B239" s="5">
        <f t="shared" ref="B239:H239" si="40">(B165*(1-B236))/B157</f>
        <v>9.9156897528206639E-2</v>
      </c>
      <c r="C239" s="5">
        <f t="shared" si="40"/>
        <v>0.10214968248993443</v>
      </c>
      <c r="D239" s="5">
        <f t="shared" si="40"/>
        <v>0.10828914192656028</v>
      </c>
      <c r="E239" s="5">
        <f t="shared" si="40"/>
        <v>0.11142334118422746</v>
      </c>
      <c r="F239" s="5">
        <f t="shared" si="40"/>
        <v>0.11076571458551666</v>
      </c>
      <c r="G239" s="5">
        <f t="shared" si="40"/>
        <v>0.12287713788622374</v>
      </c>
      <c r="H239" s="5">
        <f t="shared" si="40"/>
        <v>0.12306721200738105</v>
      </c>
    </row>
    <row r="240" spans="1:8" x14ac:dyDescent="0.3">
      <c r="A240" t="s">
        <v>451</v>
      </c>
      <c r="B240" s="5">
        <f t="shared" ref="B240:H240" si="41">B157/B185</f>
        <v>0.76847836718724527</v>
      </c>
      <c r="C240" s="5">
        <f t="shared" si="41"/>
        <v>0.80359480647496406</v>
      </c>
      <c r="D240" s="5">
        <f t="shared" si="41"/>
        <v>0.85517683079230189</v>
      </c>
      <c r="E240" s="5">
        <f t="shared" si="41"/>
        <v>0.84163005648428135</v>
      </c>
      <c r="F240" s="5">
        <f t="shared" si="41"/>
        <v>0.85575641996917362</v>
      </c>
      <c r="G240" s="5">
        <f t="shared" si="41"/>
        <v>0.75980205557670344</v>
      </c>
      <c r="H240" s="5">
        <f t="shared" si="41"/>
        <v>0.77303988995873452</v>
      </c>
    </row>
    <row r="242" spans="1:8" x14ac:dyDescent="0.3">
      <c r="A242" t="s">
        <v>247</v>
      </c>
      <c r="B242" s="84">
        <f t="shared" ref="B242:H242" si="42">(B165*(1-B236))/B185</f>
        <v>7.6199930707829239E-2</v>
      </c>
      <c r="C242" s="84">
        <f t="shared" si="42"/>
        <v>8.2086954331977879E-2</v>
      </c>
      <c r="D242" s="84">
        <f t="shared" si="42"/>
        <v>9.2606365201973601E-2</v>
      </c>
      <c r="E242" s="84">
        <f t="shared" si="42"/>
        <v>9.3777232934548718E-2</v>
      </c>
      <c r="F242" s="84">
        <f t="shared" si="42"/>
        <v>9.4788471369029015E-2</v>
      </c>
      <c r="G242" s="84">
        <f t="shared" si="42"/>
        <v>9.3362301949334828E-2</v>
      </c>
      <c r="H242" s="84">
        <f t="shared" si="42"/>
        <v>9.5135864027714095E-2</v>
      </c>
    </row>
    <row r="243" spans="1:8" x14ac:dyDescent="0.3">
      <c r="A243" t="s">
        <v>248</v>
      </c>
      <c r="B243" s="84">
        <f t="shared" ref="B243:H243" si="43">(-B166*(1-B236))/B191</f>
        <v>2.5680230253905752E-2</v>
      </c>
      <c r="C243" s="84">
        <f t="shared" si="43"/>
        <v>2.728462683494071E-2</v>
      </c>
      <c r="D243" s="84">
        <f t="shared" si="43"/>
        <v>2.7606309234999838E-2</v>
      </c>
      <c r="E243" s="84">
        <f t="shared" si="43"/>
        <v>2.6399331486642356E-2</v>
      </c>
      <c r="F243" s="84">
        <f t="shared" si="43"/>
        <v>2.8031691556625403E-2</v>
      </c>
      <c r="G243" s="84">
        <f t="shared" si="43"/>
        <v>2.946884498222763E-2</v>
      </c>
      <c r="H243" s="84">
        <f t="shared" si="43"/>
        <v>3.1756215224796165E-2</v>
      </c>
    </row>
    <row r="244" spans="1:8" x14ac:dyDescent="0.3">
      <c r="A244" s="25" t="s">
        <v>249</v>
      </c>
      <c r="B244" s="98">
        <f t="shared" ref="B244:H244" si="44">B191/B187</f>
        <v>0.93257718966603653</v>
      </c>
      <c r="C244" s="98">
        <f t="shared" si="44"/>
        <v>0.76488176134819241</v>
      </c>
      <c r="D244" s="98">
        <f t="shared" si="44"/>
        <v>0.66337534104196438</v>
      </c>
      <c r="E244" s="98">
        <f t="shared" si="44"/>
        <v>0.86623186476773595</v>
      </c>
      <c r="F244" s="98">
        <f t="shared" si="44"/>
        <v>0.90970316787228733</v>
      </c>
      <c r="G244" s="98">
        <f t="shared" si="44"/>
        <v>0.80105130842189465</v>
      </c>
      <c r="H244" s="98">
        <f t="shared" si="44"/>
        <v>0.70407266334602991</v>
      </c>
    </row>
    <row r="245" spans="1:8" x14ac:dyDescent="0.3">
      <c r="A245" s="1" t="s">
        <v>242</v>
      </c>
      <c r="B245" s="84">
        <f t="shared" ref="B245:H245" si="45">(B242-B243)*B244</f>
        <v>4.7113520272089954E-2</v>
      </c>
      <c r="C245" s="84">
        <f t="shared" si="45"/>
        <v>4.1917300781914267E-2</v>
      </c>
      <c r="D245" s="84">
        <f t="shared" si="45"/>
        <v>4.3119434294837992E-2</v>
      </c>
      <c r="E245" s="84">
        <f t="shared" si="45"/>
        <v>5.8364885215356668E-2</v>
      </c>
      <c r="F245" s="84">
        <f t="shared" si="45"/>
        <v>6.072885407229632E-2</v>
      </c>
      <c r="G245" s="84">
        <f t="shared" si="45"/>
        <v>5.1181937303099244E-2</v>
      </c>
      <c r="H245" s="84">
        <f t="shared" si="45"/>
        <v>4.462387813460645E-2</v>
      </c>
    </row>
    <row r="246" spans="1:8" x14ac:dyDescent="0.3">
      <c r="A246" t="s">
        <v>250</v>
      </c>
      <c r="B246" s="84">
        <f t="shared" ref="B246:H246" si="46">B242+B245</f>
        <v>0.12331345097991919</v>
      </c>
      <c r="C246" s="84">
        <f t="shared" si="46"/>
        <v>0.12400425511389215</v>
      </c>
      <c r="D246" s="84">
        <f t="shared" si="46"/>
        <v>0.1357257994968116</v>
      </c>
      <c r="E246" s="84">
        <f t="shared" si="46"/>
        <v>0.15214211814990539</v>
      </c>
      <c r="F246" s="84">
        <f t="shared" si="46"/>
        <v>0.15551732544132535</v>
      </c>
      <c r="G246" s="84">
        <f t="shared" si="46"/>
        <v>0.14454423925243406</v>
      </c>
      <c r="H246" s="84">
        <f t="shared" si="46"/>
        <v>0.13975974216232054</v>
      </c>
    </row>
    <row r="248" spans="1:8" x14ac:dyDescent="0.3">
      <c r="A248" t="s">
        <v>475</v>
      </c>
      <c r="B248" s="151">
        <f>B165/B157</f>
        <v>0.12979422995333054</v>
      </c>
      <c r="C248" s="151">
        <f t="shared" ref="C248:H248" si="47">C165/C157</f>
        <v>0.14115955917585049</v>
      </c>
      <c r="D248" s="151">
        <f t="shared" si="47"/>
        <v>0.15180381770024653</v>
      </c>
      <c r="E248" s="151">
        <f t="shared" si="47"/>
        <v>0.1515634268282349</v>
      </c>
      <c r="F248" s="151">
        <f t="shared" si="47"/>
        <v>0.14643211478287407</v>
      </c>
      <c r="G248" s="151">
        <f t="shared" si="47"/>
        <v>0.16357715430861725</v>
      </c>
      <c r="H248" s="151">
        <f t="shared" si="47"/>
        <v>0.16718564650059312</v>
      </c>
    </row>
    <row r="249" spans="1:8" x14ac:dyDescent="0.3">
      <c r="A249" t="s">
        <v>476</v>
      </c>
      <c r="B249" s="140">
        <f t="shared" ref="B249:H249" si="48">1-B236</f>
        <v>0.76395458845789976</v>
      </c>
      <c r="C249" s="140">
        <f t="shared" si="48"/>
        <v>0.72364693603697616</v>
      </c>
      <c r="D249" s="140">
        <f t="shared" si="48"/>
        <v>0.71334926596107873</v>
      </c>
      <c r="E249" s="140">
        <f t="shared" si="48"/>
        <v>0.73515981735159808</v>
      </c>
      <c r="F249" s="140">
        <f t="shared" si="48"/>
        <v>0.75643047803931074</v>
      </c>
      <c r="G249" s="140">
        <f t="shared" si="48"/>
        <v>0.75118764845605701</v>
      </c>
      <c r="H249" s="140">
        <f t="shared" si="48"/>
        <v>0.73611111111111116</v>
      </c>
    </row>
    <row r="250" spans="1:8" x14ac:dyDescent="0.3">
      <c r="A250" t="s">
        <v>477</v>
      </c>
      <c r="B250" s="5">
        <f t="shared" ref="B250:H250" si="49">B157/B185</f>
        <v>0.76847836718724527</v>
      </c>
      <c r="C250" s="5">
        <f t="shared" si="49"/>
        <v>0.80359480647496406</v>
      </c>
      <c r="D250" s="5">
        <f t="shared" si="49"/>
        <v>0.85517683079230189</v>
      </c>
      <c r="E250" s="5">
        <f t="shared" si="49"/>
        <v>0.84163005648428135</v>
      </c>
      <c r="F250" s="5">
        <f t="shared" si="49"/>
        <v>0.85575641996917362</v>
      </c>
      <c r="G250" s="5">
        <f t="shared" si="49"/>
        <v>0.75980205557670344</v>
      </c>
      <c r="H250" s="5">
        <f t="shared" si="49"/>
        <v>0.77303988995873452</v>
      </c>
    </row>
    <row r="251" spans="1:8" x14ac:dyDescent="0.3">
      <c r="A251" s="1" t="s">
        <v>247</v>
      </c>
      <c r="B251" s="115">
        <f t="shared" ref="B251:H251" si="50">B248*B249*B250</f>
        <v>7.6199930707829239E-2</v>
      </c>
      <c r="C251" s="115">
        <f t="shared" si="50"/>
        <v>8.2086954331977879E-2</v>
      </c>
      <c r="D251" s="115">
        <f t="shared" si="50"/>
        <v>9.2606365201973601E-2</v>
      </c>
      <c r="E251" s="115">
        <f t="shared" si="50"/>
        <v>9.3777232934548718E-2</v>
      </c>
      <c r="F251" s="115">
        <f t="shared" si="50"/>
        <v>9.4788471369029001E-2</v>
      </c>
      <c r="G251" s="115">
        <f t="shared" si="50"/>
        <v>9.3362301949334842E-2</v>
      </c>
      <c r="H251" s="115">
        <f t="shared" si="50"/>
        <v>9.5135864027714095E-2</v>
      </c>
    </row>
    <row r="253" spans="1:8" x14ac:dyDescent="0.3">
      <c r="A253" t="s">
        <v>478</v>
      </c>
      <c r="B253" s="84">
        <f t="shared" ref="B253:H253" si="51">B251-(-B166*B249/B191)</f>
        <v>5.0519700453923483E-2</v>
      </c>
      <c r="C253" s="84">
        <f t="shared" si="51"/>
        <v>5.4802327497037173E-2</v>
      </c>
      <c r="D253" s="84">
        <f t="shared" si="51"/>
        <v>6.5000055966973766E-2</v>
      </c>
      <c r="E253" s="84">
        <f t="shared" si="51"/>
        <v>6.7377901447906369E-2</v>
      </c>
      <c r="F253" s="84">
        <f t="shared" si="51"/>
        <v>6.6756779812403605E-2</v>
      </c>
      <c r="G253" s="84">
        <f t="shared" si="51"/>
        <v>6.3893456967107215E-2</v>
      </c>
      <c r="H253" s="84">
        <f t="shared" si="51"/>
        <v>6.3379648802917937E-2</v>
      </c>
    </row>
    <row r="254" spans="1:8" x14ac:dyDescent="0.3">
      <c r="A254" t="s">
        <v>249</v>
      </c>
      <c r="B254" s="98">
        <f t="shared" ref="B254:H254" si="52">B191/B187</f>
        <v>0.93257718966603653</v>
      </c>
      <c r="C254" s="98">
        <f t="shared" si="52"/>
        <v>0.76488176134819241</v>
      </c>
      <c r="D254" s="98">
        <f t="shared" si="52"/>
        <v>0.66337534104196438</v>
      </c>
      <c r="E254" s="98">
        <f t="shared" si="52"/>
        <v>0.86623186476773595</v>
      </c>
      <c r="F254" s="98">
        <f t="shared" si="52"/>
        <v>0.90970316787228733</v>
      </c>
      <c r="G254" s="98">
        <f t="shared" si="52"/>
        <v>0.80105130842189465</v>
      </c>
      <c r="H254" s="98">
        <f t="shared" si="52"/>
        <v>0.70407266334602991</v>
      </c>
    </row>
    <row r="255" spans="1:8" x14ac:dyDescent="0.3">
      <c r="A255" t="s">
        <v>267</v>
      </c>
      <c r="B255" s="143">
        <f t="shared" ref="B255:H255" si="53">B251+B253*B254</f>
        <v>0.12331345097991919</v>
      </c>
      <c r="C255" s="143">
        <f t="shared" si="53"/>
        <v>0.12400425511389215</v>
      </c>
      <c r="D255" s="143">
        <f t="shared" si="53"/>
        <v>0.1357257994968116</v>
      </c>
      <c r="E255" s="143">
        <f t="shared" si="53"/>
        <v>0.15214211814990539</v>
      </c>
      <c r="F255" s="143">
        <f t="shared" si="53"/>
        <v>0.15551732544132532</v>
      </c>
      <c r="G255" s="143">
        <f t="shared" si="53"/>
        <v>0.14454423925243409</v>
      </c>
      <c r="H255" s="143">
        <f t="shared" si="53"/>
        <v>0.13975974216232054</v>
      </c>
    </row>
    <row r="258" spans="1:1" x14ac:dyDescent="0.3">
      <c r="A258" s="85" t="s">
        <v>1549</v>
      </c>
    </row>
    <row r="261" spans="1:1" x14ac:dyDescent="0.3">
      <c r="A261" s="1" t="s">
        <v>244</v>
      </c>
    </row>
    <row r="263" spans="1:1" x14ac:dyDescent="0.3">
      <c r="A263" t="s">
        <v>1670</v>
      </c>
    </row>
  </sheetData>
  <phoneticPr fontId="4" type="noConversion"/>
  <conditionalFormatting sqref="B32 B36 B40">
    <cfRule type="expression" dxfId="0" priority="1" stopIfTrue="1">
      <formula>$A32=0</formula>
    </cfRule>
  </conditionalFormatting>
  <pageMargins left="0.78740157499999996" right="0.78740157499999996" top="0.984251969" bottom="0.984251969" header="0.4921259845" footer="0.4921259845"/>
  <pageSetup paperSize="9" orientation="portrait"/>
  <headerFooter alignWithMargins="0"/>
  <ignoredErrors>
    <ignoredError sqref="B9:F9" formulaRange="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J92"/>
  <sheetViews>
    <sheetView showGridLines="0" topLeftCell="A72" workbookViewId="0">
      <selection activeCell="B88" sqref="B88"/>
    </sheetView>
  </sheetViews>
  <sheetFormatPr baseColWidth="10" defaultRowHeight="13.5" x14ac:dyDescent="0.3"/>
  <cols>
    <col min="1" max="1" width="22.3828125" bestFit="1" customWidth="1"/>
    <col min="2" max="2" width="12.84375" customWidth="1"/>
    <col min="4" max="4" width="13" bestFit="1" customWidth="1"/>
    <col min="5" max="5" width="16.61328125" customWidth="1"/>
    <col min="6" max="6" width="20.3828125" bestFit="1" customWidth="1"/>
  </cols>
  <sheetData>
    <row r="1" spans="1:4" x14ac:dyDescent="0.3">
      <c r="A1" s="12" t="s">
        <v>1418</v>
      </c>
    </row>
    <row r="2" spans="1:4" x14ac:dyDescent="0.3">
      <c r="A2" t="s">
        <v>130</v>
      </c>
      <c r="B2" s="15">
        <v>100</v>
      </c>
      <c r="C2" s="15">
        <v>100</v>
      </c>
      <c r="D2" s="15">
        <v>100</v>
      </c>
    </row>
    <row r="3" spans="1:4" x14ac:dyDescent="0.3">
      <c r="A3" t="s">
        <v>482</v>
      </c>
      <c r="B3">
        <v>3</v>
      </c>
      <c r="C3">
        <v>3</v>
      </c>
      <c r="D3">
        <v>3</v>
      </c>
    </row>
    <row r="4" spans="1:4" x14ac:dyDescent="0.3">
      <c r="A4" t="s">
        <v>479</v>
      </c>
      <c r="B4" s="37">
        <v>0.05</v>
      </c>
      <c r="C4" s="37">
        <v>0.1</v>
      </c>
      <c r="D4" s="37">
        <v>0.2</v>
      </c>
    </row>
    <row r="5" spans="1:4" x14ac:dyDescent="0.3">
      <c r="A5" t="s">
        <v>480</v>
      </c>
      <c r="B5" s="70">
        <f>B2/POWER(1+B4,B3)</f>
        <v>86.383759853147595</v>
      </c>
      <c r="C5" s="70">
        <f>C2/POWER(1+C4,C3)</f>
        <v>75.131480090157751</v>
      </c>
      <c r="D5" s="70">
        <f>D2/POWER(1+D4,D3)</f>
        <v>57.870370370370374</v>
      </c>
    </row>
    <row r="7" spans="1:4" x14ac:dyDescent="0.3">
      <c r="A7" s="12" t="s">
        <v>1420</v>
      </c>
    </row>
    <row r="8" spans="1:4" x14ac:dyDescent="0.3">
      <c r="A8" t="s">
        <v>481</v>
      </c>
      <c r="B8" s="15">
        <v>100</v>
      </c>
      <c r="C8" s="15">
        <v>100</v>
      </c>
      <c r="D8" s="15">
        <v>100</v>
      </c>
    </row>
    <row r="9" spans="1:4" x14ac:dyDescent="0.3">
      <c r="A9" t="s">
        <v>482</v>
      </c>
      <c r="B9">
        <v>3</v>
      </c>
      <c r="C9">
        <v>5</v>
      </c>
      <c r="D9">
        <v>10</v>
      </c>
    </row>
    <row r="10" spans="1:4" x14ac:dyDescent="0.3">
      <c r="A10" t="s">
        <v>479</v>
      </c>
      <c r="B10" s="37">
        <v>0.1</v>
      </c>
      <c r="C10" s="37">
        <v>0.1</v>
      </c>
      <c r="D10" s="37">
        <v>0.1</v>
      </c>
    </row>
    <row r="11" spans="1:4" x14ac:dyDescent="0.3">
      <c r="A11" t="s">
        <v>480</v>
      </c>
      <c r="B11" s="70">
        <f>B8/POWER(1+B10,B9)</f>
        <v>75.131480090157751</v>
      </c>
      <c r="C11" s="70">
        <f>C8/POWER(1+C10,C9)</f>
        <v>62.092132305915499</v>
      </c>
      <c r="D11" s="70">
        <f>D8/POWER(1+D10,D9)</f>
        <v>38.554328942953148</v>
      </c>
    </row>
    <row r="12" spans="1:4" x14ac:dyDescent="0.3">
      <c r="A12" t="s">
        <v>483</v>
      </c>
      <c r="B12" s="99">
        <f>B11/B8</f>
        <v>0.75131480090157754</v>
      </c>
      <c r="C12" s="99">
        <f>C11/C8</f>
        <v>0.62092132305915504</v>
      </c>
      <c r="D12" s="99">
        <f>D11/D8</f>
        <v>0.38554328942953148</v>
      </c>
    </row>
    <row r="14" spans="1:4" x14ac:dyDescent="0.3">
      <c r="A14" s="33" t="s">
        <v>244</v>
      </c>
    </row>
    <row r="15" spans="1:4" x14ac:dyDescent="0.3">
      <c r="A15" t="s">
        <v>484</v>
      </c>
      <c r="B15" s="15">
        <v>1000</v>
      </c>
      <c r="C15" s="15">
        <v>1000</v>
      </c>
      <c r="D15" s="15">
        <v>1000</v>
      </c>
    </row>
    <row r="16" spans="1:4" x14ac:dyDescent="0.3">
      <c r="A16" t="s">
        <v>482</v>
      </c>
      <c r="B16">
        <v>5</v>
      </c>
      <c r="C16">
        <v>5</v>
      </c>
      <c r="D16">
        <v>5</v>
      </c>
    </row>
    <row r="17" spans="1:10" x14ac:dyDescent="0.3">
      <c r="A17" t="s">
        <v>479</v>
      </c>
      <c r="B17" s="37">
        <v>0.05</v>
      </c>
      <c r="C17" s="37">
        <v>0.1</v>
      </c>
      <c r="D17" s="37">
        <v>0.2</v>
      </c>
    </row>
    <row r="18" spans="1:10" x14ac:dyDescent="0.3">
      <c r="A18" t="s">
        <v>1318</v>
      </c>
      <c r="B18" s="65">
        <f>B15*POWER(1+B17,B16)</f>
        <v>1276.2815625000001</v>
      </c>
      <c r="C18" s="65">
        <f>C15*POWER(1+C17,C16)</f>
        <v>1610.5100000000004</v>
      </c>
      <c r="D18" s="65">
        <f>D15*POWER(1+D17,D16)</f>
        <v>2488.3199999999997</v>
      </c>
    </row>
    <row r="20" spans="1:10" x14ac:dyDescent="0.3">
      <c r="A20" s="33" t="s">
        <v>208</v>
      </c>
    </row>
    <row r="21" spans="1:10" x14ac:dyDescent="0.3">
      <c r="A21" t="s">
        <v>484</v>
      </c>
      <c r="B21" s="15">
        <v>1000</v>
      </c>
      <c r="C21" s="15">
        <v>1000</v>
      </c>
      <c r="D21" s="15">
        <v>1000</v>
      </c>
    </row>
    <row r="22" spans="1:10" x14ac:dyDescent="0.3">
      <c r="A22" t="s">
        <v>482</v>
      </c>
      <c r="B22">
        <v>5</v>
      </c>
      <c r="C22">
        <v>10</v>
      </c>
      <c r="D22">
        <v>20</v>
      </c>
    </row>
    <row r="23" spans="1:10" x14ac:dyDescent="0.3">
      <c r="A23" t="s">
        <v>479</v>
      </c>
      <c r="B23" s="37">
        <v>0.08</v>
      </c>
      <c r="C23" s="37">
        <v>0.08</v>
      </c>
      <c r="D23" s="37">
        <v>0.08</v>
      </c>
    </row>
    <row r="24" spans="1:10" x14ac:dyDescent="0.3">
      <c r="A24" t="s">
        <v>1318</v>
      </c>
      <c r="B24" s="65">
        <f>B21*POWER(1+B23,B22)</f>
        <v>1469.3280768000004</v>
      </c>
      <c r="C24" s="65">
        <f>C21*POWER(1+C23,C22)</f>
        <v>2158.9249972727876</v>
      </c>
      <c r="D24" s="65">
        <f>D21*POWER(1+D23,D22)</f>
        <v>4660.9571438493067</v>
      </c>
    </row>
    <row r="26" spans="1:10" x14ac:dyDescent="0.3">
      <c r="A26" s="33" t="s">
        <v>222</v>
      </c>
    </row>
    <row r="27" spans="1:10" x14ac:dyDescent="0.3">
      <c r="A27" s="25" t="s">
        <v>485</v>
      </c>
      <c r="B27" s="63" t="s">
        <v>489</v>
      </c>
      <c r="C27" s="25"/>
      <c r="D27" s="63" t="s">
        <v>488</v>
      </c>
      <c r="E27" s="25"/>
      <c r="F27" s="102" t="s">
        <v>1107</v>
      </c>
    </row>
    <row r="28" spans="1:10" x14ac:dyDescent="0.3">
      <c r="A28" t="s">
        <v>486</v>
      </c>
      <c r="B28" s="39">
        <v>0</v>
      </c>
      <c r="C28" s="45">
        <v>1</v>
      </c>
      <c r="D28" s="39"/>
      <c r="E28" s="45"/>
      <c r="F28" s="39"/>
    </row>
    <row r="29" spans="1:10" x14ac:dyDescent="0.3">
      <c r="A29" t="s">
        <v>132</v>
      </c>
      <c r="B29" s="41">
        <f>10000*0.95</f>
        <v>9500</v>
      </c>
      <c r="C29" s="54"/>
      <c r="D29" s="41">
        <f>B29/POWER(1+$B$32,B$28)</f>
        <v>9500</v>
      </c>
      <c r="E29" s="54">
        <f>C29/POWER(1+$B$32,C$28)</f>
        <v>0</v>
      </c>
      <c r="F29" s="41">
        <f>SUM(D29:E29)</f>
        <v>9500</v>
      </c>
      <c r="G29" s="15"/>
      <c r="H29" s="15"/>
      <c r="I29" s="15"/>
      <c r="J29" s="15"/>
    </row>
    <row r="30" spans="1:10" x14ac:dyDescent="0.3">
      <c r="A30" t="s">
        <v>131</v>
      </c>
      <c r="B30" s="41">
        <v>5000</v>
      </c>
      <c r="C30" s="54">
        <v>5000</v>
      </c>
      <c r="D30" s="41">
        <f>B30/POWER(1+$B$32,B$28)</f>
        <v>5000</v>
      </c>
      <c r="E30" s="54">
        <f>C30/POWER(1+$B$32,C$28)</f>
        <v>4500</v>
      </c>
      <c r="F30" s="41">
        <f>SUM(D30:E30)</f>
        <v>9500</v>
      </c>
      <c r="G30" s="352"/>
    </row>
    <row r="31" spans="1:10" x14ac:dyDescent="0.3">
      <c r="B31" s="379">
        <f>-B29+B30</f>
        <v>-4500</v>
      </c>
      <c r="C31" s="380">
        <f>+C30</f>
        <v>5000</v>
      </c>
    </row>
    <row r="32" spans="1:10" x14ac:dyDescent="0.3">
      <c r="A32" t="s">
        <v>487</v>
      </c>
      <c r="B32" s="143">
        <f>+IRR(B31:C31)</f>
        <v>0.11111111111111116</v>
      </c>
    </row>
    <row r="33" spans="1:6" x14ac:dyDescent="0.3">
      <c r="B33" s="378"/>
    </row>
    <row r="34" spans="1:6" x14ac:dyDescent="0.3">
      <c r="A34" s="12" t="s">
        <v>490</v>
      </c>
    </row>
    <row r="35" spans="1:6" x14ac:dyDescent="0.3">
      <c r="A35" t="s">
        <v>40</v>
      </c>
      <c r="B35" s="330">
        <f>3+5/12+17/365</f>
        <v>3.4632420091324199</v>
      </c>
      <c r="C35" t="s">
        <v>638</v>
      </c>
    </row>
    <row r="36" spans="1:6" x14ac:dyDescent="0.3">
      <c r="A36" t="s">
        <v>41</v>
      </c>
      <c r="B36" s="77">
        <f>100/(1.08^B35)</f>
        <v>76.602941382517059</v>
      </c>
    </row>
    <row r="37" spans="1:6" x14ac:dyDescent="0.3">
      <c r="B37" s="17"/>
    </row>
    <row r="39" spans="1:6" x14ac:dyDescent="0.3">
      <c r="A39" s="12" t="s">
        <v>492</v>
      </c>
    </row>
    <row r="40" spans="1:6" x14ac:dyDescent="0.3">
      <c r="A40" t="s">
        <v>494</v>
      </c>
      <c r="B40">
        <v>8</v>
      </c>
    </row>
    <row r="41" spans="1:6" x14ac:dyDescent="0.3">
      <c r="A41" t="s">
        <v>479</v>
      </c>
      <c r="B41" s="219">
        <v>0.05</v>
      </c>
      <c r="C41" s="37"/>
    </row>
    <row r="42" spans="1:6" x14ac:dyDescent="0.3">
      <c r="A42" t="s">
        <v>493</v>
      </c>
      <c r="B42" s="5">
        <f>POWER(1+B41,B40)</f>
        <v>1.4774554437890626</v>
      </c>
      <c r="C42" s="5"/>
    </row>
    <row r="43" spans="1:6" x14ac:dyDescent="0.3">
      <c r="A43" t="s">
        <v>495</v>
      </c>
      <c r="B43" s="15">
        <v>100</v>
      </c>
      <c r="C43" s="15"/>
    </row>
    <row r="45" spans="1:6" x14ac:dyDescent="0.3">
      <c r="A45" t="s">
        <v>496</v>
      </c>
      <c r="B45" s="91">
        <f>B43/B42</f>
        <v>67.683936202868722</v>
      </c>
      <c r="C45" s="150"/>
    </row>
    <row r="47" spans="1:6" x14ac:dyDescent="0.3">
      <c r="A47" s="12" t="s">
        <v>497</v>
      </c>
    </row>
    <row r="48" spans="1:6" x14ac:dyDescent="0.3">
      <c r="A48" s="25" t="s">
        <v>485</v>
      </c>
      <c r="B48" s="63" t="s">
        <v>489</v>
      </c>
      <c r="C48" s="25"/>
      <c r="D48" s="63" t="s">
        <v>488</v>
      </c>
      <c r="E48" s="25"/>
      <c r="F48" s="102" t="s">
        <v>1107</v>
      </c>
    </row>
    <row r="49" spans="1:7" x14ac:dyDescent="0.3">
      <c r="A49" t="s">
        <v>486</v>
      </c>
      <c r="B49" s="39">
        <v>0</v>
      </c>
      <c r="C49">
        <v>4</v>
      </c>
      <c r="D49" s="39"/>
      <c r="F49" s="39"/>
    </row>
    <row r="50" spans="1:7" x14ac:dyDescent="0.3">
      <c r="A50" t="s">
        <v>498</v>
      </c>
      <c r="B50" s="41">
        <v>100</v>
      </c>
      <c r="C50" s="15"/>
      <c r="D50" s="41">
        <f>B50/POWER(1+$B$53,B$49)</f>
        <v>100</v>
      </c>
      <c r="E50" s="15">
        <f>C50/POWER(1+$B$53,C$49)</f>
        <v>0</v>
      </c>
      <c r="F50" s="41">
        <f>SUM(D50:E50)</f>
        <v>100</v>
      </c>
    </row>
    <row r="51" spans="1:7" x14ac:dyDescent="0.3">
      <c r="A51" t="s">
        <v>499</v>
      </c>
      <c r="B51" s="41">
        <v>0</v>
      </c>
      <c r="C51" s="15">
        <v>131.08000000000001</v>
      </c>
      <c r="D51" s="41">
        <f>B51/POWER(1+$B$53,B$49)</f>
        <v>0</v>
      </c>
      <c r="E51" s="15">
        <f>C51/POWER(1+$B$53,C$49)</f>
        <v>100.00030439518962</v>
      </c>
      <c r="F51" s="41">
        <f>SUM(D51:E51)</f>
        <v>100.00030439518962</v>
      </c>
    </row>
    <row r="53" spans="1:7" x14ac:dyDescent="0.3">
      <c r="A53" t="s">
        <v>487</v>
      </c>
      <c r="B53" s="37">
        <v>7.0000000000000007E-2</v>
      </c>
    </row>
    <row r="55" spans="1:7" x14ac:dyDescent="0.3">
      <c r="A55" s="33" t="s">
        <v>500</v>
      </c>
    </row>
    <row r="56" spans="1:7" x14ac:dyDescent="0.3">
      <c r="A56" t="s">
        <v>133</v>
      </c>
      <c r="B56">
        <v>2</v>
      </c>
    </row>
    <row r="57" spans="1:7" x14ac:dyDescent="0.3">
      <c r="A57" t="s">
        <v>1110</v>
      </c>
      <c r="B57">
        <v>1</v>
      </c>
      <c r="C57">
        <v>2</v>
      </c>
      <c r="D57">
        <v>3</v>
      </c>
      <c r="E57">
        <v>4</v>
      </c>
      <c r="F57">
        <v>5</v>
      </c>
      <c r="G57">
        <v>6</v>
      </c>
    </row>
    <row r="58" spans="1:7" x14ac:dyDescent="0.3">
      <c r="A58" t="s">
        <v>479</v>
      </c>
      <c r="B58" s="69">
        <f t="shared" ref="B58:G58" si="0">POWER($B56,1/B57)-1</f>
        <v>1</v>
      </c>
      <c r="C58" s="69">
        <f t="shared" si="0"/>
        <v>0.41421356237309515</v>
      </c>
      <c r="D58" s="69">
        <f t="shared" si="0"/>
        <v>0.25992104989487319</v>
      </c>
      <c r="E58" s="69">
        <f t="shared" si="0"/>
        <v>0.18920711500272103</v>
      </c>
      <c r="F58" s="69">
        <f t="shared" si="0"/>
        <v>0.1486983549970351</v>
      </c>
      <c r="G58" s="69">
        <f t="shared" si="0"/>
        <v>0.12246204830937302</v>
      </c>
    </row>
    <row r="59" spans="1:7" x14ac:dyDescent="0.3">
      <c r="A59" t="s">
        <v>501</v>
      </c>
      <c r="B59" s="17">
        <f t="shared" ref="B59:G59" si="1">0.75/B57</f>
        <v>0.75</v>
      </c>
      <c r="C59" s="17">
        <f t="shared" si="1"/>
        <v>0.375</v>
      </c>
      <c r="D59" s="17">
        <f t="shared" si="1"/>
        <v>0.25</v>
      </c>
      <c r="E59" s="17">
        <f t="shared" si="1"/>
        <v>0.1875</v>
      </c>
      <c r="F59" s="17">
        <f t="shared" si="1"/>
        <v>0.15</v>
      </c>
      <c r="G59" s="17">
        <f t="shared" si="1"/>
        <v>0.125</v>
      </c>
    </row>
    <row r="61" spans="1:7" x14ac:dyDescent="0.3">
      <c r="A61" s="33" t="s">
        <v>502</v>
      </c>
    </row>
    <row r="62" spans="1:7" x14ac:dyDescent="0.3">
      <c r="A62" t="s">
        <v>133</v>
      </c>
      <c r="B62">
        <v>3</v>
      </c>
    </row>
    <row r="63" spans="1:7" x14ac:dyDescent="0.3">
      <c r="A63" t="s">
        <v>1110</v>
      </c>
      <c r="B63">
        <v>1</v>
      </c>
      <c r="C63">
        <v>2</v>
      </c>
      <c r="D63">
        <v>3</v>
      </c>
      <c r="E63">
        <v>4</v>
      </c>
      <c r="F63">
        <v>5</v>
      </c>
      <c r="G63">
        <v>6</v>
      </c>
    </row>
    <row r="64" spans="1:7" x14ac:dyDescent="0.3">
      <c r="A64" t="s">
        <v>479</v>
      </c>
      <c r="B64" s="69">
        <f t="shared" ref="B64:G64" si="2">POWER($B62,1/B63)-1</f>
        <v>2</v>
      </c>
      <c r="C64" s="69">
        <f t="shared" si="2"/>
        <v>0.73205080756887719</v>
      </c>
      <c r="D64" s="69">
        <f t="shared" si="2"/>
        <v>0.4422495703074083</v>
      </c>
      <c r="E64" s="69">
        <f t="shared" si="2"/>
        <v>0.3160740129524926</v>
      </c>
      <c r="F64" s="69">
        <f t="shared" si="2"/>
        <v>0.2457309396155174</v>
      </c>
      <c r="G64" s="69">
        <f t="shared" si="2"/>
        <v>0.20093695517600274</v>
      </c>
    </row>
    <row r="65" spans="1:7" x14ac:dyDescent="0.3">
      <c r="A65" t="s">
        <v>503</v>
      </c>
      <c r="B65" s="17">
        <f t="shared" ref="B65:G65" si="3">1.25/B63</f>
        <v>1.25</v>
      </c>
      <c r="C65" s="17">
        <f t="shared" si="3"/>
        <v>0.625</v>
      </c>
      <c r="D65" s="17">
        <f t="shared" si="3"/>
        <v>0.41666666666666669</v>
      </c>
      <c r="E65" s="17">
        <f t="shared" si="3"/>
        <v>0.3125</v>
      </c>
      <c r="F65" s="17">
        <f t="shared" si="3"/>
        <v>0.25</v>
      </c>
      <c r="G65" s="17">
        <f t="shared" si="3"/>
        <v>0.20833333333333334</v>
      </c>
    </row>
    <row r="67" spans="1:7" x14ac:dyDescent="0.3">
      <c r="A67" s="33" t="s">
        <v>504</v>
      </c>
    </row>
    <row r="68" spans="1:7" x14ac:dyDescent="0.3">
      <c r="A68" t="s">
        <v>505</v>
      </c>
      <c r="B68" s="54">
        <v>121</v>
      </c>
      <c r="C68" s="54">
        <v>121</v>
      </c>
    </row>
    <row r="69" spans="1:7" x14ac:dyDescent="0.3">
      <c r="A69" t="s">
        <v>482</v>
      </c>
      <c r="B69" s="45">
        <v>2</v>
      </c>
      <c r="C69" s="45">
        <v>2</v>
      </c>
    </row>
    <row r="70" spans="1:7" x14ac:dyDescent="0.3">
      <c r="A70" t="s">
        <v>506</v>
      </c>
      <c r="B70" s="103">
        <v>0.09</v>
      </c>
      <c r="C70" s="103">
        <v>0.08</v>
      </c>
    </row>
    <row r="71" spans="1:7" x14ac:dyDescent="0.3">
      <c r="A71" t="s">
        <v>516</v>
      </c>
      <c r="B71" s="104">
        <f>B68/POWER(1+B70,B69)</f>
        <v>101.84327918525375</v>
      </c>
      <c r="C71" s="104">
        <f>C68/POWER(1+C70,C69)</f>
        <v>103.73799725651577</v>
      </c>
    </row>
    <row r="73" spans="1:7" x14ac:dyDescent="0.3">
      <c r="A73" s="33" t="s">
        <v>507</v>
      </c>
    </row>
    <row r="74" spans="1:7" x14ac:dyDescent="0.3">
      <c r="A74" t="s">
        <v>508</v>
      </c>
      <c r="B74" s="54">
        <v>30</v>
      </c>
      <c r="C74" t="s">
        <v>510</v>
      </c>
      <c r="E74" t="s">
        <v>508</v>
      </c>
      <c r="F74" s="54">
        <v>30</v>
      </c>
      <c r="G74" t="s">
        <v>510</v>
      </c>
    </row>
    <row r="75" spans="1:7" x14ac:dyDescent="0.3">
      <c r="A75" t="s">
        <v>509</v>
      </c>
      <c r="B75">
        <v>33</v>
      </c>
      <c r="C75" t="s">
        <v>1128</v>
      </c>
      <c r="E75" t="s">
        <v>509</v>
      </c>
      <c r="F75">
        <v>33</v>
      </c>
      <c r="G75" t="s">
        <v>1128</v>
      </c>
    </row>
    <row r="76" spans="1:7" x14ac:dyDescent="0.3">
      <c r="A76" t="s">
        <v>1745</v>
      </c>
      <c r="B76">
        <f>2016-B75</f>
        <v>1983</v>
      </c>
      <c r="E76" t="s">
        <v>1686</v>
      </c>
      <c r="F76">
        <f>B76</f>
        <v>1983</v>
      </c>
    </row>
    <row r="77" spans="1:7" x14ac:dyDescent="0.3">
      <c r="A77" t="s">
        <v>479</v>
      </c>
      <c r="B77" s="37">
        <v>0.03</v>
      </c>
      <c r="E77" t="s">
        <v>479</v>
      </c>
      <c r="F77" s="37">
        <v>0.01</v>
      </c>
    </row>
    <row r="78" spans="1:7" x14ac:dyDescent="0.3">
      <c r="A78" t="s">
        <v>491</v>
      </c>
      <c r="B78" s="62">
        <f>B74*POWER(1+B77,B76)</f>
        <v>8.5770480895829222E+26</v>
      </c>
      <c r="C78" t="s">
        <v>510</v>
      </c>
      <c r="E78" t="s">
        <v>491</v>
      </c>
      <c r="F78" s="62">
        <f>F74*POWER(1+F77,F76)</f>
        <v>11127701461.207544</v>
      </c>
      <c r="G78" t="s">
        <v>510</v>
      </c>
    </row>
    <row r="79" spans="1:7" x14ac:dyDescent="0.3">
      <c r="F79" s="62"/>
    </row>
    <row r="80" spans="1:7" x14ac:dyDescent="0.3">
      <c r="A80" s="33" t="s">
        <v>511</v>
      </c>
      <c r="B80" t="s">
        <v>512</v>
      </c>
      <c r="F80" s="108"/>
    </row>
    <row r="81" spans="1:2" x14ac:dyDescent="0.3">
      <c r="A81" t="s">
        <v>508</v>
      </c>
      <c r="B81" s="54">
        <v>100</v>
      </c>
    </row>
    <row r="82" spans="1:2" x14ac:dyDescent="0.3">
      <c r="A82" t="s">
        <v>482</v>
      </c>
      <c r="B82">
        <v>4</v>
      </c>
    </row>
    <row r="83" spans="1:2" x14ac:dyDescent="0.3">
      <c r="A83" t="s">
        <v>479</v>
      </c>
      <c r="B83" s="37">
        <v>0.06</v>
      </c>
    </row>
    <row r="84" spans="1:2" x14ac:dyDescent="0.3">
      <c r="A84" t="s">
        <v>505</v>
      </c>
      <c r="B84" s="99">
        <f>B81*POWER(1+B83,B82)</f>
        <v>126.24769600000003</v>
      </c>
    </row>
    <row r="86" spans="1:2" x14ac:dyDescent="0.3">
      <c r="A86" s="33" t="s">
        <v>513</v>
      </c>
      <c r="B86" t="s">
        <v>515</v>
      </c>
    </row>
    <row r="87" spans="1:2" x14ac:dyDescent="0.3">
      <c r="A87" t="s">
        <v>491</v>
      </c>
      <c r="B87" s="54">
        <v>650</v>
      </c>
    </row>
    <row r="88" spans="1:2" x14ac:dyDescent="0.3">
      <c r="A88" t="s">
        <v>514</v>
      </c>
      <c r="B88" s="37">
        <v>0.12</v>
      </c>
    </row>
    <row r="89" spans="1:2" x14ac:dyDescent="0.3">
      <c r="A89" t="s">
        <v>482</v>
      </c>
      <c r="B89">
        <v>4</v>
      </c>
    </row>
    <row r="90" spans="1:2" x14ac:dyDescent="0.3">
      <c r="A90" t="s">
        <v>505</v>
      </c>
      <c r="B90" s="104">
        <f>B87*POWER(1+B88,B89)</f>
        <v>1022.7875840000003</v>
      </c>
    </row>
    <row r="91" spans="1:2" x14ac:dyDescent="0.3">
      <c r="B91" s="104"/>
    </row>
    <row r="92" spans="1:2" x14ac:dyDescent="0.3">
      <c r="A92" s="291"/>
      <c r="B92" s="104"/>
    </row>
  </sheetData>
  <phoneticPr fontId="4" type="noConversion"/>
  <pageMargins left="0.78740157480314965" right="0.78740157480314965" top="0.98425196850393704" bottom="0.98425196850393704" header="0.51181102362204722" footer="0.51181102362204722"/>
  <pageSetup paperSize="9" scale="23" fitToHeight="4"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AZ139"/>
  <sheetViews>
    <sheetView showGridLines="0" workbookViewId="0">
      <selection activeCell="C1" sqref="C1"/>
    </sheetView>
  </sheetViews>
  <sheetFormatPr baseColWidth="10" defaultRowHeight="13.5" x14ac:dyDescent="0.3"/>
  <cols>
    <col min="1" max="1" width="23.84375" bestFit="1" customWidth="1"/>
    <col min="2" max="2" width="12.15234375" bestFit="1" customWidth="1"/>
    <col min="4" max="4" width="13.765625" bestFit="1" customWidth="1"/>
    <col min="5" max="5" width="12" customWidth="1"/>
  </cols>
  <sheetData>
    <row r="1" spans="1:6" x14ac:dyDescent="0.3">
      <c r="A1" s="33" t="s">
        <v>1610</v>
      </c>
    </row>
    <row r="2" spans="1:6" x14ac:dyDescent="0.3">
      <c r="A2" t="s">
        <v>517</v>
      </c>
      <c r="B2">
        <v>897</v>
      </c>
    </row>
    <row r="4" spans="1:6" x14ac:dyDescent="0.3">
      <c r="A4" s="248" t="s">
        <v>1110</v>
      </c>
      <c r="B4" s="249">
        <v>1</v>
      </c>
      <c r="C4" s="249">
        <v>2</v>
      </c>
      <c r="D4" s="249">
        <v>3</v>
      </c>
      <c r="E4" s="249">
        <v>4</v>
      </c>
      <c r="F4" s="249">
        <v>5</v>
      </c>
    </row>
    <row r="5" spans="1:6" x14ac:dyDescent="0.3">
      <c r="A5" s="142" t="s">
        <v>518</v>
      </c>
      <c r="B5" s="249">
        <v>300</v>
      </c>
      <c r="C5" s="249">
        <v>300</v>
      </c>
      <c r="D5" s="249">
        <v>300</v>
      </c>
      <c r="E5" s="249">
        <v>300</v>
      </c>
      <c r="F5" s="249">
        <v>300</v>
      </c>
    </row>
    <row r="7" spans="1:6" x14ac:dyDescent="0.3">
      <c r="A7" t="s">
        <v>479</v>
      </c>
      <c r="B7" s="37" t="s">
        <v>519</v>
      </c>
      <c r="C7" s="37"/>
      <c r="D7" s="37"/>
      <c r="E7" s="37"/>
      <c r="F7" s="37"/>
    </row>
    <row r="8" spans="1:6" x14ac:dyDescent="0.3">
      <c r="A8" s="106">
        <v>0.05</v>
      </c>
      <c r="B8" s="107">
        <f>SUMPRODUCT(B$5:F$5,POWER(1+$A8,-B$4:F$4))-B$2</f>
        <v>401.8430011892458</v>
      </c>
    </row>
    <row r="9" spans="1:6" x14ac:dyDescent="0.3">
      <c r="A9" s="106">
        <v>0.1</v>
      </c>
      <c r="B9" s="107">
        <f>SUMPRODUCT(B$5:F$5,POWER(1+$A9,-B$4:F$4))-B$2</f>
        <v>240.2360308225343</v>
      </c>
    </row>
    <row r="10" spans="1:6" x14ac:dyDescent="0.3">
      <c r="A10" s="106">
        <v>0.15</v>
      </c>
      <c r="B10" s="107">
        <f>SUMPRODUCT(B$5:F$5,POWER(1+$A10,-B$4:F$4))-B$2</f>
        <v>108.6465294034208</v>
      </c>
    </row>
    <row r="11" spans="1:6" x14ac:dyDescent="0.3">
      <c r="A11" s="106">
        <v>0.2</v>
      </c>
      <c r="B11" s="107">
        <f>SUMPRODUCT(B$5:F$5,POWER(1+$A11,-B$4:F$4))-B$2</f>
        <v>0.18364197530866022</v>
      </c>
    </row>
    <row r="12" spans="1:6" x14ac:dyDescent="0.3">
      <c r="A12" s="106">
        <v>0.25</v>
      </c>
      <c r="B12" s="107">
        <f>SUMPRODUCT(B$5:F$5,POWER(1+$A12,-B$4:F$4))-B$2</f>
        <v>-90.216000000000008</v>
      </c>
    </row>
    <row r="23" spans="1:3" x14ac:dyDescent="0.3">
      <c r="A23" s="33" t="s">
        <v>1420</v>
      </c>
    </row>
    <row r="24" spans="1:3" x14ac:dyDescent="0.3">
      <c r="A24" t="s">
        <v>520</v>
      </c>
      <c r="B24">
        <v>100</v>
      </c>
    </row>
    <row r="25" spans="1:3" x14ac:dyDescent="0.3">
      <c r="A25" t="s">
        <v>479</v>
      </c>
      <c r="B25" s="37">
        <v>0.1</v>
      </c>
    </row>
    <row r="27" spans="1:3" ht="27" x14ac:dyDescent="0.3">
      <c r="A27" s="3" t="s">
        <v>521</v>
      </c>
      <c r="B27">
        <f>B24/B25</f>
        <v>1000</v>
      </c>
    </row>
    <row r="28" spans="1:3" x14ac:dyDescent="0.3">
      <c r="A28" s="3"/>
    </row>
    <row r="29" spans="1:3" x14ac:dyDescent="0.3">
      <c r="A29" t="s">
        <v>523</v>
      </c>
      <c r="B29" s="37">
        <v>0.03</v>
      </c>
    </row>
    <row r="30" spans="1:3" x14ac:dyDescent="0.3">
      <c r="C30" s="363"/>
    </row>
    <row r="31" spans="1:3" ht="27" x14ac:dyDescent="0.3">
      <c r="A31" s="3" t="s">
        <v>522</v>
      </c>
      <c r="B31" s="107">
        <f>B24/(B25-B29)</f>
        <v>1428.5714285714284</v>
      </c>
    </row>
    <row r="33" spans="1:17" x14ac:dyDescent="0.3">
      <c r="A33" s="33" t="s">
        <v>244</v>
      </c>
    </row>
    <row r="34" spans="1:17" x14ac:dyDescent="0.3">
      <c r="A34" t="s">
        <v>520</v>
      </c>
      <c r="B34">
        <v>100</v>
      </c>
    </row>
    <row r="35" spans="1:17" x14ac:dyDescent="0.3">
      <c r="A35" t="s">
        <v>479</v>
      </c>
      <c r="B35" s="37">
        <v>0.1</v>
      </c>
    </row>
    <row r="37" spans="1:17" ht="27" x14ac:dyDescent="0.3">
      <c r="A37" s="3" t="s">
        <v>521</v>
      </c>
      <c r="B37" s="77">
        <f>B34/B35</f>
        <v>1000</v>
      </c>
    </row>
    <row r="38" spans="1:17" x14ac:dyDescent="0.3">
      <c r="A38" s="3"/>
    </row>
    <row r="39" spans="1:17" x14ac:dyDescent="0.3">
      <c r="A39" t="s">
        <v>494</v>
      </c>
      <c r="B39" s="108">
        <v>3</v>
      </c>
    </row>
    <row r="41" spans="1:17" ht="27" x14ac:dyDescent="0.3">
      <c r="A41" s="3" t="s">
        <v>134</v>
      </c>
      <c r="B41" s="77">
        <f>B34/B35*(1-1/POWER(1+B35,B39))</f>
        <v>248.68519909842246</v>
      </c>
    </row>
    <row r="43" spans="1:17" x14ac:dyDescent="0.3">
      <c r="A43" s="33" t="s">
        <v>208</v>
      </c>
    </row>
    <row r="44" spans="1:17" x14ac:dyDescent="0.3">
      <c r="A44" s="249" t="s">
        <v>524</v>
      </c>
      <c r="B44" s="249">
        <v>1</v>
      </c>
      <c r="C44" s="249">
        <v>2</v>
      </c>
      <c r="D44" s="249">
        <v>3</v>
      </c>
      <c r="E44" s="249">
        <v>4</v>
      </c>
      <c r="F44" s="105"/>
      <c r="G44" s="105"/>
      <c r="H44" s="105"/>
      <c r="I44" s="105"/>
      <c r="J44" s="105"/>
      <c r="K44" s="105"/>
      <c r="L44" s="105"/>
      <c r="M44" s="105"/>
      <c r="N44" s="105"/>
      <c r="O44" s="105"/>
      <c r="P44" s="105"/>
      <c r="Q44" s="105"/>
    </row>
    <row r="45" spans="1:17" x14ac:dyDescent="0.3">
      <c r="A45" s="249" t="s">
        <v>518</v>
      </c>
      <c r="B45" s="249">
        <v>52</v>
      </c>
      <c r="C45" s="249">
        <f>B45</f>
        <v>52</v>
      </c>
      <c r="D45" s="249">
        <f>C45</f>
        <v>52</v>
      </c>
      <c r="E45" s="249">
        <f>D45</f>
        <v>52</v>
      </c>
    </row>
    <row r="47" spans="1:17" x14ac:dyDescent="0.3">
      <c r="A47" t="s">
        <v>525</v>
      </c>
      <c r="B47" s="86">
        <v>0.08</v>
      </c>
    </row>
    <row r="48" spans="1:17" x14ac:dyDescent="0.3">
      <c r="A48" t="s">
        <v>526</v>
      </c>
      <c r="B48" s="77">
        <f>SUMPRODUCT(B45:E45,POWER(1+B47,-B44:E44))</f>
        <v>172.23059568230528</v>
      </c>
    </row>
    <row r="50" spans="1:3" x14ac:dyDescent="0.3">
      <c r="A50" t="s">
        <v>527</v>
      </c>
      <c r="B50">
        <v>165</v>
      </c>
    </row>
    <row r="51" spans="1:3" x14ac:dyDescent="0.3">
      <c r="A51" s="22" t="s">
        <v>528</v>
      </c>
    </row>
    <row r="52" spans="1:3" x14ac:dyDescent="0.3">
      <c r="A52" t="s">
        <v>519</v>
      </c>
      <c r="B52" s="5">
        <f>B48-B50</f>
        <v>7.2305956823052782</v>
      </c>
    </row>
    <row r="54" spans="1:3" x14ac:dyDescent="0.3">
      <c r="A54" s="3" t="s">
        <v>529</v>
      </c>
      <c r="B54" s="86">
        <v>9.9532807563535428E-2</v>
      </c>
    </row>
    <row r="55" spans="1:3" x14ac:dyDescent="0.3">
      <c r="B55" s="5">
        <f>SUMPRODUCT(B45:E45,POWER(1+B54,-B44:E44))</f>
        <v>164.99984210023899</v>
      </c>
    </row>
    <row r="57" spans="1:3" x14ac:dyDescent="0.3">
      <c r="A57" s="33" t="s">
        <v>222</v>
      </c>
    </row>
    <row r="58" spans="1:3" x14ac:dyDescent="0.3">
      <c r="A58" t="s">
        <v>479</v>
      </c>
      <c r="B58" s="37">
        <v>0.08</v>
      </c>
      <c r="C58" s="37">
        <v>0.15</v>
      </c>
    </row>
    <row r="59" spans="1:3" x14ac:dyDescent="0.3">
      <c r="A59" t="s">
        <v>135</v>
      </c>
      <c r="B59">
        <v>100</v>
      </c>
      <c r="C59">
        <v>100</v>
      </c>
    </row>
    <row r="60" spans="1:3" x14ac:dyDescent="0.3">
      <c r="A60" t="s">
        <v>530</v>
      </c>
      <c r="B60" s="5">
        <f>B59/B58</f>
        <v>1250</v>
      </c>
      <c r="C60" s="5">
        <f>C59/C58</f>
        <v>666.66666666666674</v>
      </c>
    </row>
    <row r="62" spans="1:3" x14ac:dyDescent="0.3">
      <c r="A62" t="s">
        <v>531</v>
      </c>
      <c r="B62">
        <v>40</v>
      </c>
      <c r="C62">
        <v>40</v>
      </c>
    </row>
    <row r="63" spans="1:3" x14ac:dyDescent="0.3">
      <c r="A63" t="s">
        <v>532</v>
      </c>
      <c r="B63" s="5">
        <f>B59*(1-POWER(1+B58,-B62))/B58</f>
        <v>1192.4613333746324</v>
      </c>
      <c r="C63" s="5">
        <f>C59*(1-POWER(1+C58,-C62))/C58</f>
        <v>664.17783727559106</v>
      </c>
    </row>
    <row r="64" spans="1:3" x14ac:dyDescent="0.3">
      <c r="B64" s="5"/>
      <c r="C64" s="5"/>
    </row>
    <row r="65" spans="1:3" x14ac:dyDescent="0.3">
      <c r="A65" t="s">
        <v>136</v>
      </c>
      <c r="B65" s="37">
        <f>B60/B63-1</f>
        <v>4.825201875731655E-2</v>
      </c>
      <c r="C65" s="86">
        <f>C60/C63-1</f>
        <v>3.7472334236334781E-3</v>
      </c>
    </row>
    <row r="67" spans="1:3" x14ac:dyDescent="0.3">
      <c r="A67" s="33" t="s">
        <v>490</v>
      </c>
    </row>
    <row r="68" spans="1:3" x14ac:dyDescent="0.3">
      <c r="A68" t="s">
        <v>533</v>
      </c>
      <c r="B68" s="65">
        <v>2000</v>
      </c>
    </row>
    <row r="69" spans="1:3" x14ac:dyDescent="0.3">
      <c r="A69" t="s">
        <v>534</v>
      </c>
      <c r="B69" s="37">
        <v>0.02</v>
      </c>
    </row>
    <row r="70" spans="1:3" x14ac:dyDescent="0.3">
      <c r="A70" t="s">
        <v>482</v>
      </c>
      <c r="B70">
        <v>75</v>
      </c>
    </row>
    <row r="71" spans="1:3" x14ac:dyDescent="0.3">
      <c r="A71" t="s">
        <v>535</v>
      </c>
      <c r="B71" s="37">
        <v>0.05</v>
      </c>
    </row>
    <row r="73" spans="1:3" x14ac:dyDescent="0.3">
      <c r="A73" t="s">
        <v>536</v>
      </c>
      <c r="B73" s="65">
        <f>B68/(B71-B69)*(1-POWER((1+B69)/(1+B71),B70))</f>
        <v>59085.706881400954</v>
      </c>
    </row>
    <row r="75" spans="1:3" x14ac:dyDescent="0.3">
      <c r="A75" s="33" t="s">
        <v>492</v>
      </c>
    </row>
    <row r="76" spans="1:3" x14ac:dyDescent="0.3">
      <c r="A76" t="s">
        <v>537</v>
      </c>
      <c r="B76">
        <v>0.8</v>
      </c>
    </row>
    <row r="77" spans="1:3" x14ac:dyDescent="0.3">
      <c r="A77" t="s">
        <v>479</v>
      </c>
      <c r="B77" s="86">
        <v>0.06</v>
      </c>
    </row>
    <row r="78" spans="1:3" x14ac:dyDescent="0.3">
      <c r="A78" t="s">
        <v>552</v>
      </c>
      <c r="B78" s="86">
        <f>(1+B77)*(1+B77)-1</f>
        <v>0.12360000000000015</v>
      </c>
    </row>
    <row r="79" spans="1:3" x14ac:dyDescent="0.3">
      <c r="A79" t="s">
        <v>541</v>
      </c>
      <c r="B79" s="109">
        <v>15</v>
      </c>
    </row>
    <row r="81" spans="1:4" x14ac:dyDescent="0.3">
      <c r="A81" t="s">
        <v>539</v>
      </c>
      <c r="B81" s="5">
        <f>B76/B78*(1-POWER(1+B78,-B79))</f>
        <v>5.3455654957240437</v>
      </c>
    </row>
    <row r="82" spans="1:4" x14ac:dyDescent="0.3">
      <c r="A82" t="s">
        <v>540</v>
      </c>
      <c r="B82" s="5">
        <f>B76/B78</f>
        <v>6.4724919093851057</v>
      </c>
    </row>
    <row r="84" spans="1:4" x14ac:dyDescent="0.3">
      <c r="A84" s="33" t="s">
        <v>497</v>
      </c>
    </row>
    <row r="85" spans="1:4" x14ac:dyDescent="0.3">
      <c r="A85" t="s">
        <v>542</v>
      </c>
      <c r="B85" s="65">
        <v>12000</v>
      </c>
    </row>
    <row r="86" spans="1:4" x14ac:dyDescent="0.3">
      <c r="A86" t="s">
        <v>534</v>
      </c>
      <c r="B86" s="37">
        <v>0.03</v>
      </c>
    </row>
    <row r="87" spans="1:4" x14ac:dyDescent="0.3">
      <c r="A87" t="s">
        <v>479</v>
      </c>
      <c r="B87" s="37">
        <v>7.0000000000000007E-2</v>
      </c>
    </row>
    <row r="89" spans="1:4" x14ac:dyDescent="0.3">
      <c r="A89" t="s">
        <v>543</v>
      </c>
      <c r="B89" s="65">
        <f>B85/(B87-B86)</f>
        <v>299999.99999999994</v>
      </c>
    </row>
    <row r="91" spans="1:4" x14ac:dyDescent="0.3">
      <c r="A91" s="33" t="s">
        <v>500</v>
      </c>
    </row>
    <row r="92" spans="1:4" x14ac:dyDescent="0.3">
      <c r="A92" t="s">
        <v>544</v>
      </c>
      <c r="B92" s="65">
        <v>50000</v>
      </c>
    </row>
    <row r="93" spans="1:4" x14ac:dyDescent="0.3">
      <c r="A93" t="s">
        <v>534</v>
      </c>
      <c r="B93" s="37">
        <v>0.04</v>
      </c>
    </row>
    <row r="94" spans="1:4" x14ac:dyDescent="0.3">
      <c r="D94" s="363"/>
    </row>
    <row r="95" spans="1:4" x14ac:dyDescent="0.3">
      <c r="A95" t="s">
        <v>546</v>
      </c>
      <c r="B95">
        <v>2</v>
      </c>
      <c r="D95" s="363"/>
    </row>
    <row r="96" spans="1:4" x14ac:dyDescent="0.3">
      <c r="A96" t="s">
        <v>545</v>
      </c>
      <c r="B96" s="65">
        <v>65000</v>
      </c>
    </row>
    <row r="97" spans="1:2" x14ac:dyDescent="0.3">
      <c r="A97" t="s">
        <v>534</v>
      </c>
      <c r="B97" s="37">
        <v>0.05</v>
      </c>
    </row>
    <row r="98" spans="1:2" x14ac:dyDescent="0.3">
      <c r="A98" t="s">
        <v>550</v>
      </c>
      <c r="B98" s="65">
        <v>50000</v>
      </c>
    </row>
    <row r="100" spans="1:2" x14ac:dyDescent="0.3">
      <c r="A100" t="s">
        <v>782</v>
      </c>
      <c r="B100">
        <v>40</v>
      </c>
    </row>
    <row r="101" spans="1:2" x14ac:dyDescent="0.3">
      <c r="A101" t="s">
        <v>547</v>
      </c>
      <c r="B101" s="37">
        <v>0.04</v>
      </c>
    </row>
    <row r="103" spans="1:2" x14ac:dyDescent="0.3">
      <c r="A103" t="s">
        <v>548</v>
      </c>
      <c r="B103" s="65">
        <f>B92*B100/(1+B101)</f>
        <v>1923076.923076923</v>
      </c>
    </row>
    <row r="104" spans="1:2" x14ac:dyDescent="0.3">
      <c r="A104" t="s">
        <v>549</v>
      </c>
      <c r="B104" s="65">
        <f>B96/(B101-B97)*(1-POWER((1+B97)/(1+B101),B100-B95))/POWER(1+B101,B95)-B98</f>
        <v>2585546.8841929249</v>
      </c>
    </row>
    <row r="105" spans="1:2" x14ac:dyDescent="0.3">
      <c r="A105" t="s">
        <v>551</v>
      </c>
      <c r="B105" s="65">
        <f>B104-B103</f>
        <v>662469.96111600194</v>
      </c>
    </row>
    <row r="107" spans="1:2" x14ac:dyDescent="0.3">
      <c r="A107" s="33" t="s">
        <v>502</v>
      </c>
    </row>
    <row r="109" spans="1:2" x14ac:dyDescent="0.3">
      <c r="A109" t="s">
        <v>518</v>
      </c>
      <c r="B109">
        <v>1200</v>
      </c>
    </row>
    <row r="110" spans="1:2" x14ac:dyDescent="0.3">
      <c r="A110" t="s">
        <v>482</v>
      </c>
      <c r="B110">
        <v>40</v>
      </c>
    </row>
    <row r="111" spans="1:2" x14ac:dyDescent="0.3">
      <c r="A111" t="s">
        <v>479</v>
      </c>
      <c r="B111" s="37">
        <v>0.04</v>
      </c>
    </row>
    <row r="112" spans="1:2" x14ac:dyDescent="0.3">
      <c r="B112" s="37"/>
    </row>
    <row r="113" spans="1:52" x14ac:dyDescent="0.3">
      <c r="A113" t="s">
        <v>1129</v>
      </c>
      <c r="B113" s="403">
        <v>25</v>
      </c>
      <c r="C113">
        <f>B113+1</f>
        <v>26</v>
      </c>
      <c r="D113">
        <f t="shared" ref="D113:AP113" si="0">C113+1</f>
        <v>27</v>
      </c>
      <c r="E113">
        <f t="shared" si="0"/>
        <v>28</v>
      </c>
      <c r="F113">
        <f t="shared" si="0"/>
        <v>29</v>
      </c>
      <c r="G113">
        <f t="shared" si="0"/>
        <v>30</v>
      </c>
      <c r="H113">
        <f t="shared" si="0"/>
        <v>31</v>
      </c>
      <c r="I113">
        <f t="shared" si="0"/>
        <v>32</v>
      </c>
      <c r="J113">
        <f t="shared" si="0"/>
        <v>33</v>
      </c>
      <c r="K113">
        <f t="shared" si="0"/>
        <v>34</v>
      </c>
      <c r="L113">
        <f t="shared" si="0"/>
        <v>35</v>
      </c>
      <c r="M113">
        <f t="shared" si="0"/>
        <v>36</v>
      </c>
      <c r="N113">
        <f t="shared" si="0"/>
        <v>37</v>
      </c>
      <c r="O113">
        <f t="shared" si="0"/>
        <v>38</v>
      </c>
      <c r="P113">
        <f t="shared" si="0"/>
        <v>39</v>
      </c>
      <c r="Q113">
        <f t="shared" si="0"/>
        <v>40</v>
      </c>
      <c r="R113">
        <f t="shared" si="0"/>
        <v>41</v>
      </c>
      <c r="S113">
        <f t="shared" si="0"/>
        <v>42</v>
      </c>
      <c r="T113">
        <f t="shared" si="0"/>
        <v>43</v>
      </c>
      <c r="U113">
        <f t="shared" si="0"/>
        <v>44</v>
      </c>
      <c r="V113">
        <f t="shared" si="0"/>
        <v>45</v>
      </c>
      <c r="W113">
        <f t="shared" si="0"/>
        <v>46</v>
      </c>
      <c r="X113">
        <f t="shared" si="0"/>
        <v>47</v>
      </c>
      <c r="Y113">
        <f t="shared" si="0"/>
        <v>48</v>
      </c>
      <c r="Z113">
        <f t="shared" si="0"/>
        <v>49</v>
      </c>
      <c r="AA113">
        <f t="shared" si="0"/>
        <v>50</v>
      </c>
      <c r="AB113">
        <f t="shared" si="0"/>
        <v>51</v>
      </c>
      <c r="AC113">
        <f t="shared" si="0"/>
        <v>52</v>
      </c>
      <c r="AD113">
        <f t="shared" si="0"/>
        <v>53</v>
      </c>
      <c r="AE113">
        <f t="shared" si="0"/>
        <v>54</v>
      </c>
      <c r="AF113">
        <f t="shared" si="0"/>
        <v>55</v>
      </c>
      <c r="AG113">
        <f t="shared" si="0"/>
        <v>56</v>
      </c>
      <c r="AH113">
        <f t="shared" si="0"/>
        <v>57</v>
      </c>
      <c r="AI113">
        <f t="shared" si="0"/>
        <v>58</v>
      </c>
      <c r="AJ113">
        <f t="shared" si="0"/>
        <v>59</v>
      </c>
      <c r="AK113">
        <f t="shared" si="0"/>
        <v>60</v>
      </c>
      <c r="AL113">
        <f t="shared" si="0"/>
        <v>61</v>
      </c>
      <c r="AM113">
        <f t="shared" si="0"/>
        <v>62</v>
      </c>
      <c r="AN113">
        <f t="shared" si="0"/>
        <v>63</v>
      </c>
      <c r="AO113">
        <f t="shared" si="0"/>
        <v>64</v>
      </c>
      <c r="AP113">
        <f t="shared" si="0"/>
        <v>65</v>
      </c>
    </row>
    <row r="114" spans="1:52" x14ac:dyDescent="0.3">
      <c r="A114" t="s">
        <v>1132</v>
      </c>
      <c r="B114" s="11">
        <f>B110</f>
        <v>40</v>
      </c>
      <c r="C114">
        <f>B114-1</f>
        <v>39</v>
      </c>
      <c r="D114">
        <f t="shared" ref="D114:AP114" si="1">C114-1</f>
        <v>38</v>
      </c>
      <c r="E114">
        <f t="shared" si="1"/>
        <v>37</v>
      </c>
      <c r="F114">
        <f t="shared" si="1"/>
        <v>36</v>
      </c>
      <c r="G114">
        <f t="shared" si="1"/>
        <v>35</v>
      </c>
      <c r="H114">
        <f t="shared" si="1"/>
        <v>34</v>
      </c>
      <c r="I114">
        <f t="shared" si="1"/>
        <v>33</v>
      </c>
      <c r="J114">
        <f t="shared" si="1"/>
        <v>32</v>
      </c>
      <c r="K114">
        <f t="shared" si="1"/>
        <v>31</v>
      </c>
      <c r="L114">
        <f t="shared" si="1"/>
        <v>30</v>
      </c>
      <c r="M114">
        <f t="shared" si="1"/>
        <v>29</v>
      </c>
      <c r="N114">
        <f t="shared" si="1"/>
        <v>28</v>
      </c>
      <c r="O114">
        <f t="shared" si="1"/>
        <v>27</v>
      </c>
      <c r="P114">
        <f t="shared" si="1"/>
        <v>26</v>
      </c>
      <c r="Q114">
        <f t="shared" si="1"/>
        <v>25</v>
      </c>
      <c r="R114">
        <f t="shared" si="1"/>
        <v>24</v>
      </c>
      <c r="S114">
        <f t="shared" si="1"/>
        <v>23</v>
      </c>
      <c r="T114">
        <f t="shared" si="1"/>
        <v>22</v>
      </c>
      <c r="U114">
        <f t="shared" si="1"/>
        <v>21</v>
      </c>
      <c r="V114">
        <f t="shared" si="1"/>
        <v>20</v>
      </c>
      <c r="W114">
        <f t="shared" si="1"/>
        <v>19</v>
      </c>
      <c r="X114">
        <f t="shared" si="1"/>
        <v>18</v>
      </c>
      <c r="Y114">
        <f t="shared" si="1"/>
        <v>17</v>
      </c>
      <c r="Z114">
        <f t="shared" si="1"/>
        <v>16</v>
      </c>
      <c r="AA114">
        <f t="shared" si="1"/>
        <v>15</v>
      </c>
      <c r="AB114">
        <f t="shared" si="1"/>
        <v>14</v>
      </c>
      <c r="AC114">
        <f t="shared" si="1"/>
        <v>13</v>
      </c>
      <c r="AD114">
        <f t="shared" si="1"/>
        <v>12</v>
      </c>
      <c r="AE114">
        <f t="shared" si="1"/>
        <v>11</v>
      </c>
      <c r="AF114">
        <f t="shared" si="1"/>
        <v>10</v>
      </c>
      <c r="AG114">
        <f t="shared" si="1"/>
        <v>9</v>
      </c>
      <c r="AH114">
        <f t="shared" si="1"/>
        <v>8</v>
      </c>
      <c r="AI114">
        <f t="shared" si="1"/>
        <v>7</v>
      </c>
      <c r="AJ114">
        <f t="shared" si="1"/>
        <v>6</v>
      </c>
      <c r="AK114">
        <f t="shared" si="1"/>
        <v>5</v>
      </c>
      <c r="AL114">
        <f t="shared" si="1"/>
        <v>4</v>
      </c>
      <c r="AM114">
        <f t="shared" si="1"/>
        <v>3</v>
      </c>
      <c r="AN114">
        <f t="shared" si="1"/>
        <v>2</v>
      </c>
      <c r="AO114">
        <f t="shared" si="1"/>
        <v>1</v>
      </c>
      <c r="AP114">
        <f t="shared" si="1"/>
        <v>0</v>
      </c>
    </row>
    <row r="115" spans="1:52" x14ac:dyDescent="0.3">
      <c r="A115" t="s">
        <v>1130</v>
      </c>
      <c r="B115" s="107">
        <f>$B109*(1+$B111)^B114</f>
        <v>5761.2247535239912</v>
      </c>
      <c r="C115" s="107">
        <f>$B109*(1+$B111)^C114</f>
        <v>5539.6391860807589</v>
      </c>
      <c r="D115" s="107">
        <f t="shared" ref="D115:AP115" si="2">$B109*(1+$B111)^D114</f>
        <v>5326.576140462269</v>
      </c>
      <c r="E115" s="107">
        <f t="shared" si="2"/>
        <v>5121.707827367567</v>
      </c>
      <c r="F115" s="107">
        <f t="shared" si="2"/>
        <v>4924.7190647765055</v>
      </c>
      <c r="G115" s="107">
        <f t="shared" si="2"/>
        <v>4735.306793054332</v>
      </c>
      <c r="H115" s="107">
        <f t="shared" si="2"/>
        <v>4553.1796087060884</v>
      </c>
      <c r="I115" s="107">
        <f t="shared" si="2"/>
        <v>4378.0573160635458</v>
      </c>
      <c r="J115" s="107">
        <f t="shared" si="2"/>
        <v>4209.6704962149479</v>
      </c>
      <c r="K115" s="107">
        <f t="shared" si="2"/>
        <v>4047.7600925143729</v>
      </c>
      <c r="L115" s="107">
        <f t="shared" si="2"/>
        <v>3892.0770120330508</v>
      </c>
      <c r="M115" s="107">
        <f t="shared" si="2"/>
        <v>3742.3817423394721</v>
      </c>
      <c r="N115" s="107">
        <f t="shared" si="2"/>
        <v>3598.4439830187234</v>
      </c>
      <c r="O115" s="107">
        <f t="shared" si="2"/>
        <v>3460.0422913641564</v>
      </c>
      <c r="P115" s="107">
        <f t="shared" si="2"/>
        <v>3326.9637416963042</v>
      </c>
      <c r="Q115" s="107">
        <f t="shared" si="2"/>
        <v>3199.0035977849079</v>
      </c>
      <c r="R115" s="107">
        <f t="shared" si="2"/>
        <v>3075.9649978701032</v>
      </c>
      <c r="S115" s="107">
        <f t="shared" si="2"/>
        <v>2957.6586517981759</v>
      </c>
      <c r="T115" s="107">
        <f t="shared" si="2"/>
        <v>2843.9025498059386</v>
      </c>
      <c r="U115" s="107">
        <f t="shared" si="2"/>
        <v>2734.5216825057105</v>
      </c>
      <c r="V115" s="107">
        <f t="shared" si="2"/>
        <v>2629.3477716401053</v>
      </c>
      <c r="W115" s="107">
        <f t="shared" si="2"/>
        <v>2528.2190111924092</v>
      </c>
      <c r="X115" s="107">
        <f t="shared" si="2"/>
        <v>2430.9798184542396</v>
      </c>
      <c r="Y115" s="107">
        <f t="shared" si="2"/>
        <v>2337.4805946675378</v>
      </c>
      <c r="Z115" s="107">
        <f t="shared" si="2"/>
        <v>2247.5774948726325</v>
      </c>
      <c r="AA115" s="107">
        <f t="shared" si="2"/>
        <v>2161.1322066083003</v>
      </c>
      <c r="AB115" s="107">
        <f t="shared" si="2"/>
        <v>2078.0117371233655</v>
      </c>
      <c r="AC115" s="107">
        <f t="shared" si="2"/>
        <v>1998.0882087724669</v>
      </c>
      <c r="AD115" s="107">
        <f t="shared" si="2"/>
        <v>1921.238662281218</v>
      </c>
      <c r="AE115" s="107">
        <f t="shared" si="2"/>
        <v>1847.344867578094</v>
      </c>
      <c r="AF115" s="107">
        <f t="shared" si="2"/>
        <v>1776.2931419020135</v>
      </c>
      <c r="AG115" s="107">
        <f t="shared" si="2"/>
        <v>1707.9741749057823</v>
      </c>
      <c r="AH115" s="107">
        <f t="shared" si="2"/>
        <v>1642.2828604863289</v>
      </c>
      <c r="AI115" s="107">
        <f t="shared" si="2"/>
        <v>1579.1181350830084</v>
      </c>
      <c r="AJ115" s="107">
        <f t="shared" si="2"/>
        <v>1518.3828221952003</v>
      </c>
      <c r="AK115" s="107">
        <f t="shared" si="2"/>
        <v>1459.9834828800003</v>
      </c>
      <c r="AL115" s="107">
        <f t="shared" si="2"/>
        <v>1403.8302720000002</v>
      </c>
      <c r="AM115" s="107">
        <f t="shared" si="2"/>
        <v>1349.8368</v>
      </c>
      <c r="AN115" s="107">
        <f t="shared" si="2"/>
        <v>1297.92</v>
      </c>
      <c r="AO115" s="107">
        <f t="shared" si="2"/>
        <v>1248</v>
      </c>
      <c r="AP115" s="107">
        <f t="shared" si="2"/>
        <v>1200</v>
      </c>
      <c r="AQ115" s="107"/>
      <c r="AR115" s="107"/>
      <c r="AS115" s="107"/>
      <c r="AT115" s="107"/>
      <c r="AU115" s="107"/>
      <c r="AV115" s="107"/>
      <c r="AW115" s="107"/>
      <c r="AX115" s="107"/>
      <c r="AY115" s="107"/>
      <c r="AZ115" s="107"/>
    </row>
    <row r="116" spans="1:52" x14ac:dyDescent="0.3">
      <c r="A116" t="s">
        <v>1131</v>
      </c>
      <c r="B116" s="107">
        <f>B115</f>
        <v>5761.2247535239912</v>
      </c>
      <c r="C116" s="107">
        <f>B116+C115</f>
        <v>11300.863939604751</v>
      </c>
      <c r="D116" s="107">
        <f t="shared" ref="D116:AP116" si="3">C116+D115</f>
        <v>16627.440080067019</v>
      </c>
      <c r="E116" s="107">
        <f t="shared" si="3"/>
        <v>21749.147907434584</v>
      </c>
      <c r="F116" s="107">
        <f t="shared" si="3"/>
        <v>26673.86697221109</v>
      </c>
      <c r="G116" s="107">
        <f t="shared" si="3"/>
        <v>31409.173765265423</v>
      </c>
      <c r="H116" s="107">
        <f t="shared" si="3"/>
        <v>35962.353373971513</v>
      </c>
      <c r="I116" s="107">
        <f t="shared" si="3"/>
        <v>40340.41069003506</v>
      </c>
      <c r="J116" s="107">
        <f t="shared" si="3"/>
        <v>44550.081186250005</v>
      </c>
      <c r="K116" s="107">
        <f t="shared" si="3"/>
        <v>48597.841278764376</v>
      </c>
      <c r="L116" s="107">
        <f t="shared" si="3"/>
        <v>52489.918290797425</v>
      </c>
      <c r="M116" s="107">
        <f t="shared" si="3"/>
        <v>56232.300033136897</v>
      </c>
      <c r="N116" s="107">
        <f t="shared" si="3"/>
        <v>59830.744016155622</v>
      </c>
      <c r="O116" s="107">
        <f t="shared" si="3"/>
        <v>63290.786307519782</v>
      </c>
      <c r="P116" s="107">
        <f t="shared" si="3"/>
        <v>66617.750049216091</v>
      </c>
      <c r="Q116" s="107">
        <f t="shared" si="3"/>
        <v>69816.753647000995</v>
      </c>
      <c r="R116" s="107">
        <f t="shared" si="3"/>
        <v>72892.7186448711</v>
      </c>
      <c r="S116" s="107">
        <f t="shared" si="3"/>
        <v>75850.377296669278</v>
      </c>
      <c r="T116" s="107">
        <f t="shared" si="3"/>
        <v>78694.279846475212</v>
      </c>
      <c r="U116" s="107">
        <f t="shared" si="3"/>
        <v>81428.801528980926</v>
      </c>
      <c r="V116" s="107">
        <f t="shared" si="3"/>
        <v>84058.149300621037</v>
      </c>
      <c r="W116" s="107">
        <f t="shared" si="3"/>
        <v>86586.36831181345</v>
      </c>
      <c r="X116" s="107">
        <f t="shared" si="3"/>
        <v>89017.348130267696</v>
      </c>
      <c r="Y116" s="107">
        <f t="shared" si="3"/>
        <v>91354.828724935229</v>
      </c>
      <c r="Z116" s="107">
        <f t="shared" si="3"/>
        <v>93602.406219807861</v>
      </c>
      <c r="AA116" s="107">
        <f t="shared" si="3"/>
        <v>95763.538426416155</v>
      </c>
      <c r="AB116" s="107">
        <f t="shared" si="3"/>
        <v>97841.550163539519</v>
      </c>
      <c r="AC116" s="107">
        <f t="shared" si="3"/>
        <v>99839.63837231198</v>
      </c>
      <c r="AD116" s="107">
        <f t="shared" si="3"/>
        <v>101760.8770345932</v>
      </c>
      <c r="AE116" s="107">
        <f t="shared" si="3"/>
        <v>103608.2219021713</v>
      </c>
      <c r="AF116" s="107">
        <f t="shared" si="3"/>
        <v>105384.51504407331</v>
      </c>
      <c r="AG116" s="107">
        <f t="shared" si="3"/>
        <v>107092.4892189791</v>
      </c>
      <c r="AH116" s="107">
        <f t="shared" si="3"/>
        <v>108734.77207946543</v>
      </c>
      <c r="AI116" s="107">
        <f t="shared" si="3"/>
        <v>110313.89021454845</v>
      </c>
      <c r="AJ116" s="107">
        <f t="shared" si="3"/>
        <v>111832.27303674365</v>
      </c>
      <c r="AK116" s="107">
        <f t="shared" si="3"/>
        <v>113292.25651962364</v>
      </c>
      <c r="AL116" s="107">
        <f t="shared" si="3"/>
        <v>114696.08679162365</v>
      </c>
      <c r="AM116" s="107">
        <f t="shared" si="3"/>
        <v>116045.92359162365</v>
      </c>
      <c r="AN116" s="107">
        <f t="shared" si="3"/>
        <v>117343.84359162365</v>
      </c>
      <c r="AO116" s="107">
        <f t="shared" si="3"/>
        <v>118591.84359162365</v>
      </c>
      <c r="AP116" s="107">
        <f t="shared" si="3"/>
        <v>119791.84359162365</v>
      </c>
      <c r="AQ116" s="107"/>
      <c r="AR116" s="107"/>
      <c r="AS116" s="107"/>
      <c r="AT116" s="107"/>
      <c r="AU116" s="107"/>
      <c r="AV116" s="107"/>
      <c r="AW116" s="107"/>
      <c r="AX116" s="107"/>
      <c r="AY116" s="107"/>
      <c r="AZ116" s="107"/>
    </row>
    <row r="117" spans="1:52" x14ac:dyDescent="0.3">
      <c r="B117" s="37"/>
    </row>
    <row r="119" spans="1:52" x14ac:dyDescent="0.3">
      <c r="A119" t="s">
        <v>590</v>
      </c>
      <c r="B119" s="404">
        <f>AP116</f>
        <v>119791.84359162365</v>
      </c>
    </row>
    <row r="122" spans="1:52" x14ac:dyDescent="0.3">
      <c r="A122" t="s">
        <v>1133</v>
      </c>
      <c r="B122" s="404">
        <v>200000</v>
      </c>
      <c r="C122" t="s">
        <v>1135</v>
      </c>
      <c r="F122" s="404">
        <f>B122/B119*B109</f>
        <v>2003.4753018592146</v>
      </c>
      <c r="G122" t="s">
        <v>1134</v>
      </c>
    </row>
    <row r="124" spans="1:52" x14ac:dyDescent="0.3">
      <c r="A124" t="s">
        <v>518</v>
      </c>
      <c r="B124">
        <v>1200</v>
      </c>
    </row>
    <row r="125" spans="1:52" x14ac:dyDescent="0.3">
      <c r="A125" t="s">
        <v>482</v>
      </c>
      <c r="B125">
        <v>40</v>
      </c>
    </row>
    <row r="126" spans="1:52" x14ac:dyDescent="0.3">
      <c r="A126" t="s">
        <v>479</v>
      </c>
      <c r="B126" s="83">
        <v>6.03765E-2</v>
      </c>
    </row>
    <row r="127" spans="1:52" x14ac:dyDescent="0.3">
      <c r="B127" s="37"/>
    </row>
    <row r="128" spans="1:52" x14ac:dyDescent="0.3">
      <c r="A128" t="s">
        <v>1129</v>
      </c>
      <c r="B128" s="403">
        <v>25</v>
      </c>
      <c r="C128">
        <f>B128+1</f>
        <v>26</v>
      </c>
      <c r="D128">
        <f t="shared" ref="D128:AP128" si="4">C128+1</f>
        <v>27</v>
      </c>
      <c r="E128">
        <f t="shared" si="4"/>
        <v>28</v>
      </c>
      <c r="F128">
        <f t="shared" si="4"/>
        <v>29</v>
      </c>
      <c r="G128">
        <f t="shared" si="4"/>
        <v>30</v>
      </c>
      <c r="H128">
        <f t="shared" si="4"/>
        <v>31</v>
      </c>
      <c r="I128">
        <f t="shared" si="4"/>
        <v>32</v>
      </c>
      <c r="J128">
        <f t="shared" si="4"/>
        <v>33</v>
      </c>
      <c r="K128">
        <f t="shared" si="4"/>
        <v>34</v>
      </c>
      <c r="L128">
        <f t="shared" si="4"/>
        <v>35</v>
      </c>
      <c r="M128">
        <f t="shared" si="4"/>
        <v>36</v>
      </c>
      <c r="N128">
        <f t="shared" si="4"/>
        <v>37</v>
      </c>
      <c r="O128">
        <f t="shared" si="4"/>
        <v>38</v>
      </c>
      <c r="P128">
        <f t="shared" si="4"/>
        <v>39</v>
      </c>
      <c r="Q128">
        <f t="shared" si="4"/>
        <v>40</v>
      </c>
      <c r="R128">
        <f t="shared" si="4"/>
        <v>41</v>
      </c>
      <c r="S128">
        <f t="shared" si="4"/>
        <v>42</v>
      </c>
      <c r="T128">
        <f t="shared" si="4"/>
        <v>43</v>
      </c>
      <c r="U128">
        <f t="shared" si="4"/>
        <v>44</v>
      </c>
      <c r="V128">
        <f t="shared" si="4"/>
        <v>45</v>
      </c>
      <c r="W128">
        <f t="shared" si="4"/>
        <v>46</v>
      </c>
      <c r="X128">
        <f t="shared" si="4"/>
        <v>47</v>
      </c>
      <c r="Y128">
        <f t="shared" si="4"/>
        <v>48</v>
      </c>
      <c r="Z128">
        <f t="shared" si="4"/>
        <v>49</v>
      </c>
      <c r="AA128">
        <f t="shared" si="4"/>
        <v>50</v>
      </c>
      <c r="AB128">
        <f t="shared" si="4"/>
        <v>51</v>
      </c>
      <c r="AC128">
        <f t="shared" si="4"/>
        <v>52</v>
      </c>
      <c r="AD128">
        <f t="shared" si="4"/>
        <v>53</v>
      </c>
      <c r="AE128">
        <f t="shared" si="4"/>
        <v>54</v>
      </c>
      <c r="AF128">
        <f t="shared" si="4"/>
        <v>55</v>
      </c>
      <c r="AG128">
        <f t="shared" si="4"/>
        <v>56</v>
      </c>
      <c r="AH128">
        <f t="shared" si="4"/>
        <v>57</v>
      </c>
      <c r="AI128">
        <f t="shared" si="4"/>
        <v>58</v>
      </c>
      <c r="AJ128">
        <f t="shared" si="4"/>
        <v>59</v>
      </c>
      <c r="AK128">
        <f t="shared" si="4"/>
        <v>60</v>
      </c>
      <c r="AL128">
        <f t="shared" si="4"/>
        <v>61</v>
      </c>
      <c r="AM128">
        <f t="shared" si="4"/>
        <v>62</v>
      </c>
      <c r="AN128">
        <f t="shared" si="4"/>
        <v>63</v>
      </c>
      <c r="AO128">
        <f t="shared" si="4"/>
        <v>64</v>
      </c>
      <c r="AP128">
        <f t="shared" si="4"/>
        <v>65</v>
      </c>
    </row>
    <row r="129" spans="1:48" x14ac:dyDescent="0.3">
      <c r="A129" t="s">
        <v>1132</v>
      </c>
      <c r="B129" s="11">
        <f>B125</f>
        <v>40</v>
      </c>
      <c r="C129">
        <f>B129-1</f>
        <v>39</v>
      </c>
      <c r="D129">
        <f t="shared" ref="D129:AP129" si="5">C129-1</f>
        <v>38</v>
      </c>
      <c r="E129">
        <f t="shared" si="5"/>
        <v>37</v>
      </c>
      <c r="F129">
        <f t="shared" si="5"/>
        <v>36</v>
      </c>
      <c r="G129">
        <f t="shared" si="5"/>
        <v>35</v>
      </c>
      <c r="H129">
        <f t="shared" si="5"/>
        <v>34</v>
      </c>
      <c r="I129">
        <f t="shared" si="5"/>
        <v>33</v>
      </c>
      <c r="J129">
        <f t="shared" si="5"/>
        <v>32</v>
      </c>
      <c r="K129">
        <f t="shared" si="5"/>
        <v>31</v>
      </c>
      <c r="L129">
        <f t="shared" si="5"/>
        <v>30</v>
      </c>
      <c r="M129">
        <f t="shared" si="5"/>
        <v>29</v>
      </c>
      <c r="N129">
        <f t="shared" si="5"/>
        <v>28</v>
      </c>
      <c r="O129">
        <f t="shared" si="5"/>
        <v>27</v>
      </c>
      <c r="P129">
        <f t="shared" si="5"/>
        <v>26</v>
      </c>
      <c r="Q129">
        <f t="shared" si="5"/>
        <v>25</v>
      </c>
      <c r="R129">
        <f t="shared" si="5"/>
        <v>24</v>
      </c>
      <c r="S129">
        <f t="shared" si="5"/>
        <v>23</v>
      </c>
      <c r="T129">
        <f t="shared" si="5"/>
        <v>22</v>
      </c>
      <c r="U129">
        <f t="shared" si="5"/>
        <v>21</v>
      </c>
      <c r="V129">
        <f t="shared" si="5"/>
        <v>20</v>
      </c>
      <c r="W129">
        <f t="shared" si="5"/>
        <v>19</v>
      </c>
      <c r="X129">
        <f t="shared" si="5"/>
        <v>18</v>
      </c>
      <c r="Y129">
        <f t="shared" si="5"/>
        <v>17</v>
      </c>
      <c r="Z129">
        <f t="shared" si="5"/>
        <v>16</v>
      </c>
      <c r="AA129">
        <f t="shared" si="5"/>
        <v>15</v>
      </c>
      <c r="AB129">
        <f t="shared" si="5"/>
        <v>14</v>
      </c>
      <c r="AC129">
        <f t="shared" si="5"/>
        <v>13</v>
      </c>
      <c r="AD129">
        <f t="shared" si="5"/>
        <v>12</v>
      </c>
      <c r="AE129">
        <f t="shared" si="5"/>
        <v>11</v>
      </c>
      <c r="AF129">
        <f t="shared" si="5"/>
        <v>10</v>
      </c>
      <c r="AG129">
        <f t="shared" si="5"/>
        <v>9</v>
      </c>
      <c r="AH129">
        <f t="shared" si="5"/>
        <v>8</v>
      </c>
      <c r="AI129">
        <f t="shared" si="5"/>
        <v>7</v>
      </c>
      <c r="AJ129">
        <f t="shared" si="5"/>
        <v>6</v>
      </c>
      <c r="AK129">
        <f t="shared" si="5"/>
        <v>5</v>
      </c>
      <c r="AL129">
        <f t="shared" si="5"/>
        <v>4</v>
      </c>
      <c r="AM129">
        <f t="shared" si="5"/>
        <v>3</v>
      </c>
      <c r="AN129">
        <f t="shared" si="5"/>
        <v>2</v>
      </c>
      <c r="AO129">
        <f t="shared" si="5"/>
        <v>1</v>
      </c>
      <c r="AP129">
        <f t="shared" si="5"/>
        <v>0</v>
      </c>
    </row>
    <row r="130" spans="1:48" x14ac:dyDescent="0.3">
      <c r="A130" t="s">
        <v>1130</v>
      </c>
      <c r="B130" s="107">
        <f t="shared" ref="B130:AP130" si="6">$B124*(1+$B126)^B129</f>
        <v>12519.443381539419</v>
      </c>
      <c r="C130" s="107">
        <f t="shared" si="6"/>
        <v>11806.602071565541</v>
      </c>
      <c r="D130" s="107">
        <f t="shared" si="6"/>
        <v>11134.349046367528</v>
      </c>
      <c r="E130" s="107">
        <f t="shared" si="6"/>
        <v>10500.373260221751</v>
      </c>
      <c r="F130" s="107">
        <f t="shared" si="6"/>
        <v>9902.4952554321517</v>
      </c>
      <c r="G130" s="107">
        <f t="shared" si="6"/>
        <v>9338.6596698740013</v>
      </c>
      <c r="H130" s="107">
        <f t="shared" si="6"/>
        <v>8806.9281711486437</v>
      </c>
      <c r="I130" s="107">
        <f t="shared" si="6"/>
        <v>8305.472793058545</v>
      </c>
      <c r="J130" s="107">
        <f t="shared" si="6"/>
        <v>7832.5696514950532</v>
      </c>
      <c r="K130" s="107">
        <f t="shared" si="6"/>
        <v>7386.5930181355898</v>
      </c>
      <c r="L130" s="107">
        <f t="shared" si="6"/>
        <v>6966.0097315770272</v>
      </c>
      <c r="M130" s="107">
        <f t="shared" si="6"/>
        <v>6569.3739266921011</v>
      </c>
      <c r="N130" s="107">
        <f t="shared" si="6"/>
        <v>6195.3220640895952</v>
      </c>
      <c r="O130" s="107">
        <f t="shared" si="6"/>
        <v>5842.5682425908108</v>
      </c>
      <c r="P130" s="107">
        <f t="shared" si="6"/>
        <v>5509.8997786077025</v>
      </c>
      <c r="Q130" s="107">
        <f t="shared" si="6"/>
        <v>5196.1730372256479</v>
      </c>
      <c r="R130" s="107">
        <f t="shared" si="6"/>
        <v>4900.3095006591029</v>
      </c>
      <c r="S130" s="107">
        <f t="shared" si="6"/>
        <v>4621.292060564434</v>
      </c>
      <c r="T130" s="107">
        <f t="shared" si="6"/>
        <v>4358.161521463775</v>
      </c>
      <c r="U130" s="107">
        <f t="shared" si="6"/>
        <v>4110.0133032595268</v>
      </c>
      <c r="V130" s="107">
        <f t="shared" si="6"/>
        <v>3875.9943315035048</v>
      </c>
      <c r="W130" s="107">
        <f t="shared" si="6"/>
        <v>3655.3001047302578</v>
      </c>
      <c r="X130" s="107">
        <f t="shared" si="6"/>
        <v>3447.1719287727119</v>
      </c>
      <c r="Y130" s="107">
        <f t="shared" si="6"/>
        <v>3250.8943085523979</v>
      </c>
      <c r="Z130" s="107">
        <f t="shared" si="6"/>
        <v>3065.7924883778524</v>
      </c>
      <c r="AA130" s="107">
        <f t="shared" si="6"/>
        <v>2891.2301322953235</v>
      </c>
      <c r="AB130" s="107">
        <f t="shared" si="6"/>
        <v>2726.6071365173812</v>
      </c>
      <c r="AC130" s="107">
        <f t="shared" si="6"/>
        <v>2571.3575664090831</v>
      </c>
      <c r="AD130" s="107">
        <f t="shared" si="6"/>
        <v>2424.9477109395416</v>
      </c>
      <c r="AE130" s="107">
        <f t="shared" si="6"/>
        <v>2286.874247910569</v>
      </c>
      <c r="AF130" s="107">
        <f t="shared" si="6"/>
        <v>2156.6625136548846</v>
      </c>
      <c r="AG130" s="107">
        <f t="shared" si="6"/>
        <v>2033.8648712555253</v>
      </c>
      <c r="AH130" s="107">
        <f t="shared" si="6"/>
        <v>1918.0591716767819</v>
      </c>
      <c r="AI130" s="107">
        <f t="shared" si="6"/>
        <v>1808.8473025164005</v>
      </c>
      <c r="AJ130" s="107">
        <f t="shared" si="6"/>
        <v>1705.8538193899997</v>
      </c>
      <c r="AK130" s="107">
        <f t="shared" si="6"/>
        <v>1608.7246552427366</v>
      </c>
      <c r="AL130" s="107">
        <f t="shared" si="6"/>
        <v>1517.1259031511322</v>
      </c>
      <c r="AM130" s="107">
        <f t="shared" si="6"/>
        <v>1430.7426684306301</v>
      </c>
      <c r="AN130" s="107">
        <f t="shared" si="6"/>
        <v>1349.2779861027002</v>
      </c>
      <c r="AO130" s="107">
        <f t="shared" si="6"/>
        <v>1272.4518</v>
      </c>
      <c r="AP130" s="107">
        <f t="shared" si="6"/>
        <v>1200</v>
      </c>
      <c r="AQ130" s="107"/>
      <c r="AR130" s="107"/>
      <c r="AS130" s="107"/>
      <c r="AT130" s="107"/>
      <c r="AU130" s="107"/>
      <c r="AV130" s="107"/>
    </row>
    <row r="131" spans="1:48" x14ac:dyDescent="0.3">
      <c r="A131" t="s">
        <v>1131</v>
      </c>
      <c r="B131" s="107">
        <f>B130</f>
        <v>12519.443381539419</v>
      </c>
      <c r="C131" s="107">
        <f t="shared" ref="C131:AP131" si="7">B131+C130</f>
        <v>24326.045453104962</v>
      </c>
      <c r="D131" s="107">
        <f t="shared" si="7"/>
        <v>35460.394499472488</v>
      </c>
      <c r="E131" s="107">
        <f t="shared" si="7"/>
        <v>45960.767759694238</v>
      </c>
      <c r="F131" s="107">
        <f t="shared" si="7"/>
        <v>55863.263015126387</v>
      </c>
      <c r="G131" s="107">
        <f t="shared" si="7"/>
        <v>65201.922685000391</v>
      </c>
      <c r="H131" s="107">
        <f t="shared" si="7"/>
        <v>74008.850856149031</v>
      </c>
      <c r="I131" s="107">
        <f t="shared" si="7"/>
        <v>82314.323649207581</v>
      </c>
      <c r="J131" s="107">
        <f t="shared" si="7"/>
        <v>90146.893300702635</v>
      </c>
      <c r="K131" s="107">
        <f t="shared" si="7"/>
        <v>97533.48631883823</v>
      </c>
      <c r="L131" s="107">
        <f t="shared" si="7"/>
        <v>104499.49605041526</v>
      </c>
      <c r="M131" s="107">
        <f t="shared" si="7"/>
        <v>111068.86997710736</v>
      </c>
      <c r="N131" s="107">
        <f t="shared" si="7"/>
        <v>117264.19204119695</v>
      </c>
      <c r="O131" s="107">
        <f t="shared" si="7"/>
        <v>123106.76028378776</v>
      </c>
      <c r="P131" s="107">
        <f t="shared" si="7"/>
        <v>128616.66006239547</v>
      </c>
      <c r="Q131" s="107">
        <f t="shared" si="7"/>
        <v>133812.83309962112</v>
      </c>
      <c r="R131" s="107">
        <f t="shared" si="7"/>
        <v>138713.14260028023</v>
      </c>
      <c r="S131" s="107">
        <f t="shared" si="7"/>
        <v>143334.43466084468</v>
      </c>
      <c r="T131" s="107">
        <f t="shared" si="7"/>
        <v>147692.59618230845</v>
      </c>
      <c r="U131" s="107">
        <f t="shared" si="7"/>
        <v>151802.60948556798</v>
      </c>
      <c r="V131" s="107">
        <f t="shared" si="7"/>
        <v>155678.60381707147</v>
      </c>
      <c r="W131" s="107">
        <f t="shared" si="7"/>
        <v>159333.90392180174</v>
      </c>
      <c r="X131" s="107">
        <f t="shared" si="7"/>
        <v>162781.07585057445</v>
      </c>
      <c r="Y131" s="107">
        <f t="shared" si="7"/>
        <v>166031.97015912685</v>
      </c>
      <c r="Z131" s="107">
        <f t="shared" si="7"/>
        <v>169097.76264750471</v>
      </c>
      <c r="AA131" s="107">
        <f t="shared" si="7"/>
        <v>171988.99277980003</v>
      </c>
      <c r="AB131" s="107">
        <f t="shared" si="7"/>
        <v>174715.59991631741</v>
      </c>
      <c r="AC131" s="107">
        <f t="shared" si="7"/>
        <v>177286.95748272649</v>
      </c>
      <c r="AD131" s="107">
        <f t="shared" si="7"/>
        <v>179711.90519366603</v>
      </c>
      <c r="AE131" s="107">
        <f t="shared" si="7"/>
        <v>181998.7794415766</v>
      </c>
      <c r="AF131" s="107">
        <f t="shared" si="7"/>
        <v>184155.44195523148</v>
      </c>
      <c r="AG131" s="107">
        <f t="shared" si="7"/>
        <v>186189.30682648701</v>
      </c>
      <c r="AH131" s="107">
        <f t="shared" si="7"/>
        <v>188107.36599816379</v>
      </c>
      <c r="AI131" s="107">
        <f t="shared" si="7"/>
        <v>189916.21330068019</v>
      </c>
      <c r="AJ131" s="107">
        <f t="shared" si="7"/>
        <v>191622.06712007019</v>
      </c>
      <c r="AK131" s="107">
        <f t="shared" si="7"/>
        <v>193230.79177531291</v>
      </c>
      <c r="AL131" s="107">
        <f t="shared" si="7"/>
        <v>194747.91767846406</v>
      </c>
      <c r="AM131" s="107">
        <f t="shared" si="7"/>
        <v>196178.6603468947</v>
      </c>
      <c r="AN131" s="107">
        <f t="shared" si="7"/>
        <v>197527.93833299741</v>
      </c>
      <c r="AO131" s="107">
        <f t="shared" si="7"/>
        <v>198800.39013299742</v>
      </c>
      <c r="AP131" s="107">
        <f t="shared" si="7"/>
        <v>200000.39013299742</v>
      </c>
      <c r="AQ131" s="107"/>
      <c r="AR131" s="107"/>
      <c r="AS131" s="107"/>
      <c r="AT131" s="107"/>
      <c r="AU131" s="107"/>
      <c r="AV131" s="107"/>
    </row>
    <row r="132" spans="1:48" x14ac:dyDescent="0.3">
      <c r="B132" s="37"/>
    </row>
    <row r="134" spans="1:48" x14ac:dyDescent="0.3">
      <c r="A134" t="s">
        <v>590</v>
      </c>
      <c r="B134" s="404">
        <f>AP131</f>
        <v>200000.39013299742</v>
      </c>
    </row>
    <row r="137" spans="1:48" x14ac:dyDescent="0.3">
      <c r="A137" s="33" t="s">
        <v>504</v>
      </c>
    </row>
    <row r="139" spans="1:48" x14ac:dyDescent="0.3">
      <c r="A139" t="s">
        <v>1136</v>
      </c>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N233"/>
  <sheetViews>
    <sheetView showGridLines="0" workbookViewId="0">
      <selection activeCell="I1" sqref="I1"/>
    </sheetView>
  </sheetViews>
  <sheetFormatPr baseColWidth="10" defaultRowHeight="13.5" x14ac:dyDescent="0.3"/>
  <cols>
    <col min="1" max="1" width="37.765625" customWidth="1"/>
    <col min="2" max="2" width="11.3828125" bestFit="1" customWidth="1"/>
  </cols>
  <sheetData>
    <row r="1" spans="1:2" x14ac:dyDescent="0.3">
      <c r="A1" s="12" t="s">
        <v>1418</v>
      </c>
    </row>
    <row r="2" spans="1:2" x14ac:dyDescent="0.3">
      <c r="A2" t="s">
        <v>555</v>
      </c>
      <c r="B2">
        <v>120</v>
      </c>
    </row>
    <row r="3" spans="1:2" x14ac:dyDescent="0.3">
      <c r="A3" t="s">
        <v>556</v>
      </c>
      <c r="B3">
        <v>172.8</v>
      </c>
    </row>
    <row r="4" spans="1:2" x14ac:dyDescent="0.3">
      <c r="A4" t="s">
        <v>596</v>
      </c>
      <c r="B4" s="17">
        <f>B3/B2-1</f>
        <v>0.44000000000000017</v>
      </c>
    </row>
    <row r="5" spans="1:2" x14ac:dyDescent="0.3">
      <c r="A5" t="s">
        <v>553</v>
      </c>
      <c r="B5" s="37">
        <f>SQRT(B3/B2)-1</f>
        <v>0.20000000000000018</v>
      </c>
    </row>
    <row r="6" spans="1:2" x14ac:dyDescent="0.3">
      <c r="A6" s="3" t="s">
        <v>554</v>
      </c>
      <c r="B6" s="17">
        <f>B5/12*3</f>
        <v>5.0000000000000044E-2</v>
      </c>
    </row>
    <row r="8" spans="1:2" x14ac:dyDescent="0.3">
      <c r="A8" s="12" t="s">
        <v>1420</v>
      </c>
    </row>
    <row r="9" spans="1:2" x14ac:dyDescent="0.3">
      <c r="A9" t="s">
        <v>555</v>
      </c>
      <c r="B9">
        <v>100</v>
      </c>
    </row>
    <row r="10" spans="1:2" x14ac:dyDescent="0.3">
      <c r="A10" t="s">
        <v>553</v>
      </c>
      <c r="B10" s="37">
        <v>0.14000000000000001</v>
      </c>
    </row>
    <row r="11" spans="1:2" x14ac:dyDescent="0.3">
      <c r="A11" t="s">
        <v>558</v>
      </c>
      <c r="B11">
        <v>7</v>
      </c>
    </row>
    <row r="13" spans="1:2" x14ac:dyDescent="0.3">
      <c r="A13" t="s">
        <v>557</v>
      </c>
      <c r="B13" s="107">
        <f>B9*POWER(1+B10,B11)</f>
        <v>250.22687912870421</v>
      </c>
    </row>
    <row r="15" spans="1:2" x14ac:dyDescent="0.3">
      <c r="A15" s="33" t="s">
        <v>244</v>
      </c>
    </row>
    <row r="16" spans="1:2" x14ac:dyDescent="0.3">
      <c r="A16" t="s">
        <v>555</v>
      </c>
      <c r="B16">
        <v>100</v>
      </c>
    </row>
    <row r="17" spans="1:3" x14ac:dyDescent="0.3">
      <c r="A17" t="s">
        <v>559</v>
      </c>
      <c r="B17">
        <v>174.9</v>
      </c>
    </row>
    <row r="18" spans="1:3" x14ac:dyDescent="0.3">
      <c r="A18" t="s">
        <v>553</v>
      </c>
      <c r="B18" s="37">
        <v>0.15</v>
      </c>
    </row>
    <row r="19" spans="1:3" x14ac:dyDescent="0.3">
      <c r="B19" s="37"/>
    </row>
    <row r="20" spans="1:3" x14ac:dyDescent="0.3">
      <c r="A20" t="s">
        <v>558</v>
      </c>
      <c r="B20" s="77">
        <f>LN(B17/B16)/LN(1+B18)</f>
        <v>3.9999744317794335</v>
      </c>
    </row>
    <row r="22" spans="1:3" x14ac:dyDescent="0.3">
      <c r="A22" s="33" t="s">
        <v>208</v>
      </c>
    </row>
    <row r="23" spans="1:3" x14ac:dyDescent="0.3">
      <c r="A23" t="s">
        <v>555</v>
      </c>
      <c r="B23" s="308">
        <v>1000</v>
      </c>
    </row>
    <row r="24" spans="1:3" x14ac:dyDescent="0.3">
      <c r="A24" t="s">
        <v>479</v>
      </c>
      <c r="B24" s="83">
        <v>0.06</v>
      </c>
    </row>
    <row r="25" spans="1:3" x14ac:dyDescent="0.3">
      <c r="A25" t="s">
        <v>560</v>
      </c>
      <c r="B25" s="108">
        <v>0.5</v>
      </c>
      <c r="C25" t="s">
        <v>561</v>
      </c>
    </row>
    <row r="26" spans="1:3" x14ac:dyDescent="0.3">
      <c r="A26" t="s">
        <v>558</v>
      </c>
      <c r="B26">
        <v>4</v>
      </c>
    </row>
    <row r="28" spans="1:3" x14ac:dyDescent="0.3">
      <c r="A28" t="s">
        <v>553</v>
      </c>
      <c r="B28" s="84">
        <f>B24*B25*(POWER(1+B24,B25)+1)</f>
        <v>6.0886890422960999E-2</v>
      </c>
    </row>
    <row r="29" spans="1:3" x14ac:dyDescent="0.3">
      <c r="A29" t="s">
        <v>559</v>
      </c>
      <c r="B29" s="5">
        <f>B23*POWER(1+B28,B26)</f>
        <v>1266.7074684659131</v>
      </c>
    </row>
    <row r="31" spans="1:3" x14ac:dyDescent="0.3">
      <c r="A31" s="33" t="s">
        <v>222</v>
      </c>
    </row>
    <row r="32" spans="1:3" x14ac:dyDescent="0.3">
      <c r="A32" s="1" t="s">
        <v>563</v>
      </c>
    </row>
    <row r="33" spans="1:14" x14ac:dyDescent="0.3">
      <c r="A33" t="s">
        <v>524</v>
      </c>
      <c r="B33">
        <v>0</v>
      </c>
      <c r="C33">
        <v>1</v>
      </c>
      <c r="D33">
        <v>2</v>
      </c>
      <c r="E33">
        <v>3</v>
      </c>
      <c r="F33">
        <v>4</v>
      </c>
      <c r="G33">
        <v>5</v>
      </c>
      <c r="H33">
        <v>6</v>
      </c>
    </row>
    <row r="34" spans="1:14" x14ac:dyDescent="0.3">
      <c r="A34" t="s">
        <v>518</v>
      </c>
      <c r="B34">
        <v>-4</v>
      </c>
      <c r="C34">
        <v>1</v>
      </c>
      <c r="D34">
        <v>1</v>
      </c>
      <c r="E34">
        <v>1</v>
      </c>
      <c r="F34">
        <v>1</v>
      </c>
      <c r="G34">
        <v>1</v>
      </c>
      <c r="H34">
        <v>1</v>
      </c>
    </row>
    <row r="36" spans="1:14" x14ac:dyDescent="0.3">
      <c r="B36" s="99"/>
    </row>
    <row r="37" spans="1:14" x14ac:dyDescent="0.3">
      <c r="A37" t="s">
        <v>830</v>
      </c>
      <c r="B37" s="69">
        <v>0.12976959078756212</v>
      </c>
    </row>
    <row r="39" spans="1:14" x14ac:dyDescent="0.3">
      <c r="A39" s="1" t="s">
        <v>564</v>
      </c>
    </row>
    <row r="40" spans="1:14" x14ac:dyDescent="0.3">
      <c r="A40" t="s">
        <v>524</v>
      </c>
      <c r="B40">
        <v>0</v>
      </c>
      <c r="C40">
        <v>1</v>
      </c>
      <c r="D40">
        <v>2</v>
      </c>
      <c r="E40">
        <v>3</v>
      </c>
      <c r="F40">
        <v>4</v>
      </c>
      <c r="G40">
        <v>5</v>
      </c>
    </row>
    <row r="41" spans="1:14" x14ac:dyDescent="0.3">
      <c r="A41" t="s">
        <v>518</v>
      </c>
      <c r="B41">
        <v>-6</v>
      </c>
      <c r="C41">
        <v>2</v>
      </c>
      <c r="D41">
        <v>2</v>
      </c>
      <c r="E41">
        <v>1.5</v>
      </c>
      <c r="F41">
        <v>1.5</v>
      </c>
      <c r="G41">
        <v>1.5</v>
      </c>
    </row>
    <row r="43" spans="1:14" x14ac:dyDescent="0.3">
      <c r="B43" s="99"/>
    </row>
    <row r="44" spans="1:14" x14ac:dyDescent="0.3">
      <c r="A44" t="s">
        <v>830</v>
      </c>
      <c r="B44" s="69">
        <v>0.13799314135471749</v>
      </c>
    </row>
    <row r="46" spans="1:14" x14ac:dyDescent="0.3">
      <c r="A46" t="s">
        <v>479</v>
      </c>
      <c r="B46" s="37">
        <v>0.09</v>
      </c>
      <c r="C46" s="37">
        <f>B46+1%</f>
        <v>9.9999999999999992E-2</v>
      </c>
      <c r="D46" s="37">
        <f t="shared" ref="D46:I46" si="0">C46+1%</f>
        <v>0.10999999999999999</v>
      </c>
      <c r="E46" s="37">
        <f t="shared" si="0"/>
        <v>0.11999999999999998</v>
      </c>
      <c r="F46" s="37">
        <f t="shared" si="0"/>
        <v>0.12999999999999998</v>
      </c>
      <c r="G46" s="37">
        <f t="shared" si="0"/>
        <v>0.13999999999999999</v>
      </c>
      <c r="H46" s="37">
        <f t="shared" si="0"/>
        <v>0.15</v>
      </c>
      <c r="I46" s="37">
        <f t="shared" si="0"/>
        <v>0.16</v>
      </c>
      <c r="J46" s="37">
        <f>I46+1%</f>
        <v>0.17</v>
      </c>
      <c r="K46" s="37">
        <f>J46+1%</f>
        <v>0.18000000000000002</v>
      </c>
      <c r="L46" s="37">
        <f>K46+1%</f>
        <v>0.19000000000000003</v>
      </c>
      <c r="M46" s="37">
        <f>L46+1%</f>
        <v>0.20000000000000004</v>
      </c>
      <c r="N46" s="37">
        <f>M46+1%</f>
        <v>0.21000000000000005</v>
      </c>
    </row>
    <row r="47" spans="1:14" x14ac:dyDescent="0.3">
      <c r="A47" t="s">
        <v>565</v>
      </c>
      <c r="B47" s="110">
        <f t="shared" ref="B47:I47" si="1">SUMPRODUCT($B34:$H34,POWER(1+B46,-$B33:$H33))</f>
        <v>0.48591859023093176</v>
      </c>
      <c r="C47" s="110">
        <f t="shared" si="1"/>
        <v>0.35526069946222483</v>
      </c>
      <c r="D47" s="110">
        <f t="shared" si="1"/>
        <v>0.23053785373825852</v>
      </c>
      <c r="E47" s="110">
        <f t="shared" si="1"/>
        <v>0.11140732352232741</v>
      </c>
      <c r="F47" s="110">
        <f t="shared" si="1"/>
        <v>-2.4502110241529373E-3</v>
      </c>
      <c r="G47" s="110">
        <f t="shared" si="1"/>
        <v>-0.11133248345748997</v>
      </c>
      <c r="H47" s="110">
        <f t="shared" si="1"/>
        <v>-0.21551730607704078</v>
      </c>
      <c r="I47" s="110">
        <f t="shared" si="1"/>
        <v>-0.315264091671348</v>
      </c>
      <c r="J47" s="110">
        <f>SUMPRODUCT($B34:$H34,POWER(1+J46,-$B33:$H33))</f>
        <v>-0.41081524553058452</v>
      </c>
      <c r="K47" s="110">
        <f>SUMPRODUCT($B34:$H34,POWER(1+K46,-$B33:$H33))</f>
        <v>-0.50239743987974805</v>
      </c>
      <c r="L47" s="110">
        <f>SUMPRODUCT($B34:$H34,POWER(1+L46,-$B33:$H33))</f>
        <v>-0.59022278164974096</v>
      </c>
      <c r="M47" s="110">
        <f>SUMPRODUCT($B34:$H34,POWER(1+M46,-$B33:$H33))</f>
        <v>-0.6744898834019204</v>
      </c>
      <c r="N47" s="110">
        <f>SUMPRODUCT($B34:$H34,POWER(1+N46,-$B33:$H33))</f>
        <v>-0.75538484623979396</v>
      </c>
    </row>
    <row r="48" spans="1:14" x14ac:dyDescent="0.3">
      <c r="A48" t="s">
        <v>566</v>
      </c>
      <c r="B48" s="110">
        <f t="shared" ref="B48:I48" si="2">SUMPRODUCT($B41:$G41,POWER(1+B46,-$B40:$G40))</f>
        <v>0.71403248799112906</v>
      </c>
      <c r="C48" s="110">
        <f t="shared" si="2"/>
        <v>0.55394874915399361</v>
      </c>
      <c r="D48" s="110">
        <f t="shared" si="2"/>
        <v>0.40010719354667768</v>
      </c>
      <c r="E48" s="110">
        <f t="shared" si="2"/>
        <v>0.25218981372159077</v>
      </c>
      <c r="F48" s="110">
        <f t="shared" si="2"/>
        <v>0.10989811010715289</v>
      </c>
      <c r="G48" s="110">
        <f t="shared" si="2"/>
        <v>-2.7048291249088918E-2</v>
      </c>
      <c r="H48" s="110">
        <f t="shared" si="2"/>
        <v>-0.15891291063885038</v>
      </c>
      <c r="I48" s="110">
        <f t="shared" si="2"/>
        <v>-0.2859435860955416</v>
      </c>
      <c r="J48" s="110">
        <f>SUMPRODUCT($B41:$G41,POWER(1+J46,-$B40:$G40))</f>
        <v>-0.4083735530425634</v>
      </c>
      <c r="K48" s="110">
        <f>SUMPRODUCT($B41:$G41,POWER(1+K46,-$B40:$G40))</f>
        <v>-0.52642244014705097</v>
      </c>
      <c r="L48" s="110">
        <f>SUMPRODUCT($B41:$G41,POWER(1+L46,-$B40:$G40))</f>
        <v>-0.64029718858353479</v>
      </c>
      <c r="M48" s="110">
        <f>SUMPRODUCT($B41:$G41,POWER(1+M46,-$B40:$G40))</f>
        <v>-0.75019290123456728</v>
      </c>
      <c r="N48" s="110">
        <f>SUMPRODUCT($B41:$G41,POWER(1+N46,-$B40:$G40))</f>
        <v>-0.85629362774682316</v>
      </c>
    </row>
    <row r="61" spans="1:2" x14ac:dyDescent="0.3">
      <c r="A61" s="33" t="s">
        <v>490</v>
      </c>
    </row>
    <row r="62" spans="1:2" x14ac:dyDescent="0.3">
      <c r="A62" s="1" t="s">
        <v>570</v>
      </c>
    </row>
    <row r="63" spans="1:2" x14ac:dyDescent="0.3">
      <c r="A63" t="s">
        <v>479</v>
      </c>
      <c r="B63" s="83">
        <v>8.0000000000000002E-3</v>
      </c>
    </row>
    <row r="64" spans="1:2" x14ac:dyDescent="0.3">
      <c r="A64" t="s">
        <v>572</v>
      </c>
      <c r="B64">
        <v>3</v>
      </c>
    </row>
    <row r="65" spans="1:3" x14ac:dyDescent="0.3">
      <c r="A65" t="s">
        <v>573</v>
      </c>
      <c r="B65" s="84">
        <f>POWER(1+B63,12/B64)-1</f>
        <v>3.2386052096000206E-2</v>
      </c>
    </row>
    <row r="67" spans="1:3" x14ac:dyDescent="0.3">
      <c r="A67" s="1" t="s">
        <v>571</v>
      </c>
    </row>
    <row r="68" spans="1:3" x14ac:dyDescent="0.3">
      <c r="A68" t="s">
        <v>479</v>
      </c>
      <c r="B68" s="83">
        <v>1.6E-2</v>
      </c>
    </row>
    <row r="69" spans="1:3" x14ac:dyDescent="0.3">
      <c r="A69" t="s">
        <v>572</v>
      </c>
      <c r="B69">
        <v>6</v>
      </c>
    </row>
    <row r="70" spans="1:3" x14ac:dyDescent="0.3">
      <c r="A70" t="s">
        <v>573</v>
      </c>
      <c r="B70" s="84">
        <f>POWER(1+B68,12/B69)-1</f>
        <v>3.2256000000000062E-2</v>
      </c>
    </row>
    <row r="72" spans="1:3" x14ac:dyDescent="0.3">
      <c r="A72" s="33" t="s">
        <v>492</v>
      </c>
      <c r="B72" s="602" t="s">
        <v>567</v>
      </c>
      <c r="C72" s="602"/>
    </row>
    <row r="73" spans="1:3" x14ac:dyDescent="0.3">
      <c r="A73" t="s">
        <v>555</v>
      </c>
      <c r="B73" s="601">
        <v>10000000</v>
      </c>
      <c r="C73" s="601"/>
    </row>
    <row r="74" spans="1:3" x14ac:dyDescent="0.3">
      <c r="A74" t="s">
        <v>559</v>
      </c>
      <c r="B74" s="601">
        <v>10019745</v>
      </c>
      <c r="C74" s="601"/>
    </row>
    <row r="75" spans="1:3" x14ac:dyDescent="0.3">
      <c r="A75" t="s">
        <v>568</v>
      </c>
      <c r="B75">
        <v>24</v>
      </c>
    </row>
    <row r="77" spans="1:3" x14ac:dyDescent="0.3">
      <c r="A77" t="s">
        <v>569</v>
      </c>
      <c r="B77" s="111">
        <f>(B74-B73)/B73</f>
        <v>1.9745000000000001E-3</v>
      </c>
    </row>
    <row r="78" spans="1:3" x14ac:dyDescent="0.3">
      <c r="A78" t="s">
        <v>562</v>
      </c>
      <c r="B78" s="84">
        <f>POWER(1+B77,365/B75)-1</f>
        <v>3.0453758172704237E-2</v>
      </c>
    </row>
    <row r="80" spans="1:3" x14ac:dyDescent="0.3">
      <c r="A80" s="33" t="s">
        <v>497</v>
      </c>
    </row>
    <row r="81" spans="1:5" x14ac:dyDescent="0.3">
      <c r="A81" t="s">
        <v>555</v>
      </c>
      <c r="B81">
        <v>100</v>
      </c>
    </row>
    <row r="82" spans="1:5" x14ac:dyDescent="0.3">
      <c r="A82" t="s">
        <v>553</v>
      </c>
      <c r="B82" s="37">
        <v>7.0000000000000007E-2</v>
      </c>
    </row>
    <row r="83" spans="1:5" x14ac:dyDescent="0.3">
      <c r="A83" t="s">
        <v>558</v>
      </c>
      <c r="B83">
        <v>4</v>
      </c>
    </row>
    <row r="85" spans="1:5" x14ac:dyDescent="0.3">
      <c r="A85" s="1" t="s">
        <v>574</v>
      </c>
    </row>
    <row r="86" spans="1:5" ht="20" x14ac:dyDescent="0.3">
      <c r="A86" s="66" t="s">
        <v>1096</v>
      </c>
      <c r="B86" s="66" t="s">
        <v>576</v>
      </c>
      <c r="C86" s="66" t="s">
        <v>578</v>
      </c>
      <c r="D86" s="66" t="s">
        <v>579</v>
      </c>
      <c r="E86" s="66" t="s">
        <v>577</v>
      </c>
    </row>
    <row r="87" spans="1:5" x14ac:dyDescent="0.3">
      <c r="A87" s="114">
        <v>1</v>
      </c>
      <c r="B87" s="15">
        <f>B81</f>
        <v>100</v>
      </c>
      <c r="C87" s="15">
        <v>29.5228</v>
      </c>
      <c r="D87" s="15">
        <f>C87-E87</f>
        <v>22.5228</v>
      </c>
      <c r="E87" s="15">
        <f>B87*$B$82</f>
        <v>7.0000000000000009</v>
      </c>
    </row>
    <row r="88" spans="1:5" x14ac:dyDescent="0.3">
      <c r="A88" s="114">
        <f>A87+1</f>
        <v>2</v>
      </c>
      <c r="B88" s="15">
        <f>B87-D87</f>
        <v>77.477199999999996</v>
      </c>
      <c r="C88" s="15">
        <f>C87</f>
        <v>29.5228</v>
      </c>
      <c r="D88" s="15">
        <f>C88-E88</f>
        <v>24.099395999999999</v>
      </c>
      <c r="E88" s="15">
        <f>B88*$B$82</f>
        <v>5.4234040000000006</v>
      </c>
    </row>
    <row r="89" spans="1:5" x14ac:dyDescent="0.3">
      <c r="A89" s="114">
        <f>A88+1</f>
        <v>3</v>
      </c>
      <c r="B89" s="15">
        <f>B88-D88</f>
        <v>53.377803999999998</v>
      </c>
      <c r="C89" s="15">
        <f>C88</f>
        <v>29.5228</v>
      </c>
      <c r="D89" s="15">
        <f>C89-E89</f>
        <v>25.786353720000001</v>
      </c>
      <c r="E89" s="15">
        <f>B89*$B$82</f>
        <v>3.73644628</v>
      </c>
    </row>
    <row r="90" spans="1:5" x14ac:dyDescent="0.3">
      <c r="A90" s="114">
        <f>A89+1</f>
        <v>4</v>
      </c>
      <c r="B90" s="15">
        <f>B89-D89</f>
        <v>27.591450279999997</v>
      </c>
      <c r="C90" s="15">
        <f>C89</f>
        <v>29.5228</v>
      </c>
      <c r="D90" s="15">
        <f>C90-E90</f>
        <v>27.591398480399999</v>
      </c>
      <c r="E90" s="15">
        <f>B90*$B$82</f>
        <v>1.9314015195999998</v>
      </c>
    </row>
    <row r="91" spans="1:5" x14ac:dyDescent="0.3">
      <c r="A91" s="68"/>
      <c r="D91" s="15">
        <f>SUM(D87:D90)</f>
        <v>99.999948200399999</v>
      </c>
    </row>
    <row r="92" spans="1:5" x14ac:dyDescent="0.3">
      <c r="A92" s="68"/>
      <c r="B92" s="126"/>
    </row>
    <row r="93" spans="1:5" x14ac:dyDescent="0.3">
      <c r="A93" s="68"/>
    </row>
    <row r="94" spans="1:5" x14ac:dyDescent="0.3">
      <c r="A94" s="1" t="s">
        <v>575</v>
      </c>
    </row>
    <row r="95" spans="1:5" ht="20" x14ac:dyDescent="0.3">
      <c r="A95" s="66" t="s">
        <v>1096</v>
      </c>
      <c r="B95" s="66" t="s">
        <v>576</v>
      </c>
      <c r="C95" s="66" t="s">
        <v>578</v>
      </c>
      <c r="D95" s="66" t="s">
        <v>579</v>
      </c>
      <c r="E95" s="66" t="s">
        <v>577</v>
      </c>
    </row>
    <row r="96" spans="1:5" x14ac:dyDescent="0.3">
      <c r="A96" s="114">
        <v>1</v>
      </c>
      <c r="B96" s="15">
        <f>B81</f>
        <v>100</v>
      </c>
      <c r="C96" s="15">
        <f>D96+E96</f>
        <v>32</v>
      </c>
      <c r="D96" s="15">
        <v>25</v>
      </c>
      <c r="E96" s="15">
        <f>B96*$B$82</f>
        <v>7.0000000000000009</v>
      </c>
    </row>
    <row r="97" spans="1:6" x14ac:dyDescent="0.3">
      <c r="A97" s="114">
        <f>A96+1</f>
        <v>2</v>
      </c>
      <c r="B97" s="15">
        <f>B96-D96</f>
        <v>75</v>
      </c>
      <c r="C97" s="15">
        <f>D97+E97</f>
        <v>30.25</v>
      </c>
      <c r="D97" s="15">
        <f>D96</f>
        <v>25</v>
      </c>
      <c r="E97" s="15">
        <f>B97*$B$82</f>
        <v>5.2500000000000009</v>
      </c>
    </row>
    <row r="98" spans="1:6" x14ac:dyDescent="0.3">
      <c r="A98" s="114">
        <f>A97+1</f>
        <v>3</v>
      </c>
      <c r="B98" s="15">
        <f>B97-D97</f>
        <v>50</v>
      </c>
      <c r="C98" s="15">
        <f>D98+E98</f>
        <v>28.5</v>
      </c>
      <c r="D98" s="15">
        <f>D97</f>
        <v>25</v>
      </c>
      <c r="E98" s="15">
        <f>B98*$B$82</f>
        <v>3.5000000000000004</v>
      </c>
    </row>
    <row r="99" spans="1:6" x14ac:dyDescent="0.3">
      <c r="A99" s="114">
        <f>A98+1</f>
        <v>4</v>
      </c>
      <c r="B99" s="15">
        <f>B98-D98</f>
        <v>25</v>
      </c>
      <c r="C99" s="15">
        <f>D99+E99</f>
        <v>26.75</v>
      </c>
      <c r="D99" s="15">
        <f>D98</f>
        <v>25</v>
      </c>
      <c r="E99" s="15">
        <f>B99*$B$82</f>
        <v>1.7500000000000002</v>
      </c>
    </row>
    <row r="100" spans="1:6" x14ac:dyDescent="0.3">
      <c r="A100" s="68"/>
      <c r="D100" s="15">
        <f>SUM(D96:D99)</f>
        <v>100</v>
      </c>
    </row>
    <row r="101" spans="1:6" x14ac:dyDescent="0.3">
      <c r="A101" s="68"/>
      <c r="B101" s="126"/>
    </row>
    <row r="103" spans="1:6" x14ac:dyDescent="0.3">
      <c r="A103" s="33" t="s">
        <v>500</v>
      </c>
    </row>
    <row r="104" spans="1:6" x14ac:dyDescent="0.3">
      <c r="A104" t="s">
        <v>555</v>
      </c>
      <c r="B104">
        <v>400</v>
      </c>
    </row>
    <row r="105" spans="1:6" x14ac:dyDescent="0.3">
      <c r="A105" t="s">
        <v>553</v>
      </c>
      <c r="B105" s="83">
        <v>6.5000000000000002E-2</v>
      </c>
    </row>
    <row r="106" spans="1:6" x14ac:dyDescent="0.3">
      <c r="A106" t="s">
        <v>558</v>
      </c>
      <c r="B106">
        <v>7</v>
      </c>
      <c r="D106" t="s">
        <v>458</v>
      </c>
    </row>
    <row r="107" spans="1:6" x14ac:dyDescent="0.3">
      <c r="A107" t="s">
        <v>580</v>
      </c>
      <c r="B107">
        <v>2</v>
      </c>
    </row>
    <row r="109" spans="1:6" x14ac:dyDescent="0.3">
      <c r="A109" s="1" t="s">
        <v>574</v>
      </c>
    </row>
    <row r="110" spans="1:6" ht="30" x14ac:dyDescent="0.3">
      <c r="A110" s="66" t="s">
        <v>1096</v>
      </c>
      <c r="B110" s="66" t="s">
        <v>576</v>
      </c>
      <c r="C110" s="66" t="s">
        <v>578</v>
      </c>
      <c r="D110" s="66" t="s">
        <v>579</v>
      </c>
      <c r="E110" s="66" t="s">
        <v>577</v>
      </c>
      <c r="F110" s="112" t="s">
        <v>137</v>
      </c>
    </row>
    <row r="111" spans="1:6" x14ac:dyDescent="0.3">
      <c r="A111" s="114">
        <v>1</v>
      </c>
      <c r="B111" s="15">
        <f>B104</f>
        <v>400</v>
      </c>
      <c r="C111" s="15"/>
      <c r="D111" s="15">
        <f t="shared" ref="D111:D117" si="3">C111-E111</f>
        <v>0</v>
      </c>
      <c r="E111" s="15"/>
      <c r="F111" s="113">
        <f t="shared" ref="F111:F117" si="4">B111*$B$105</f>
        <v>26</v>
      </c>
    </row>
    <row r="112" spans="1:6" x14ac:dyDescent="0.3">
      <c r="A112" s="114">
        <f t="shared" ref="A112:A117" si="5">A111+1</f>
        <v>2</v>
      </c>
      <c r="B112" s="15">
        <f>B111-D111+F111</f>
        <v>426</v>
      </c>
      <c r="C112" s="15"/>
      <c r="D112" s="15">
        <f t="shared" si="3"/>
        <v>0</v>
      </c>
      <c r="E112" s="15"/>
      <c r="F112" s="113">
        <f t="shared" si="4"/>
        <v>27.69</v>
      </c>
    </row>
    <row r="113" spans="1:6" x14ac:dyDescent="0.3">
      <c r="A113" s="114">
        <f t="shared" si="5"/>
        <v>3</v>
      </c>
      <c r="B113" s="15">
        <f>B112-D112+F112</f>
        <v>453.69</v>
      </c>
      <c r="C113" s="15">
        <v>109.17348336260372</v>
      </c>
      <c r="D113" s="15">
        <f t="shared" si="3"/>
        <v>79.683633362603715</v>
      </c>
      <c r="E113" s="15">
        <f>IF(F113&gt;C113,C113,F113)</f>
        <v>29.489850000000001</v>
      </c>
      <c r="F113" s="113">
        <f t="shared" si="4"/>
        <v>29.489850000000001</v>
      </c>
    </row>
    <row r="114" spans="1:6" x14ac:dyDescent="0.3">
      <c r="A114" s="114">
        <f t="shared" si="5"/>
        <v>4</v>
      </c>
      <c r="B114" s="15">
        <f>B113-D113</f>
        <v>374.0063666373963</v>
      </c>
      <c r="C114" s="15">
        <f>C113</f>
        <v>109.17348336260372</v>
      </c>
      <c r="D114" s="15">
        <f t="shared" si="3"/>
        <v>84.863069531172954</v>
      </c>
      <c r="E114" s="15">
        <f>IF(F114&gt;C114,C114,F114)</f>
        <v>24.310413831430761</v>
      </c>
      <c r="F114" s="113">
        <f t="shared" si="4"/>
        <v>24.310413831430761</v>
      </c>
    </row>
    <row r="115" spans="1:6" x14ac:dyDescent="0.3">
      <c r="A115" s="114">
        <f t="shared" si="5"/>
        <v>5</v>
      </c>
      <c r="B115" s="15">
        <f>B114-D114</f>
        <v>289.14329710622337</v>
      </c>
      <c r="C115" s="15">
        <f>C114</f>
        <v>109.17348336260372</v>
      </c>
      <c r="D115" s="15">
        <f t="shared" si="3"/>
        <v>90.379169050699204</v>
      </c>
      <c r="E115" s="15">
        <f>IF(F115&gt;C115,C115,F115)</f>
        <v>18.794314311904518</v>
      </c>
      <c r="F115" s="113">
        <f t="shared" si="4"/>
        <v>18.794314311904518</v>
      </c>
    </row>
    <row r="116" spans="1:6" x14ac:dyDescent="0.3">
      <c r="A116" s="114">
        <f t="shared" si="5"/>
        <v>6</v>
      </c>
      <c r="B116" s="15">
        <f>B115-D115</f>
        <v>198.76412805552417</v>
      </c>
      <c r="C116" s="15">
        <f>C115</f>
        <v>109.17348336260372</v>
      </c>
      <c r="D116" s="15">
        <f t="shared" si="3"/>
        <v>96.253815038994645</v>
      </c>
      <c r="E116" s="15">
        <f>IF(F116&gt;C116,C116,F116)</f>
        <v>12.919668323609072</v>
      </c>
      <c r="F116" s="113">
        <f t="shared" si="4"/>
        <v>12.919668323609072</v>
      </c>
    </row>
    <row r="117" spans="1:6" x14ac:dyDescent="0.3">
      <c r="A117" s="114">
        <f t="shared" si="5"/>
        <v>7</v>
      </c>
      <c r="B117" s="15">
        <f>B116-D116</f>
        <v>102.51031301652952</v>
      </c>
      <c r="C117" s="15">
        <f>C116</f>
        <v>109.17348336260372</v>
      </c>
      <c r="D117" s="15">
        <f t="shared" si="3"/>
        <v>102.5103130165293</v>
      </c>
      <c r="E117" s="15">
        <f>IF(F117&gt;C117,C117,F117)</f>
        <v>6.6631703460744189</v>
      </c>
      <c r="F117" s="113">
        <f t="shared" si="4"/>
        <v>6.6631703460744189</v>
      </c>
    </row>
    <row r="118" spans="1:6" x14ac:dyDescent="0.3">
      <c r="A118" s="68"/>
      <c r="D118" s="15">
        <f>SUM(D111:D117)</f>
        <v>453.68999999999983</v>
      </c>
    </row>
    <row r="119" spans="1:6" x14ac:dyDescent="0.3">
      <c r="A119" s="68" t="s">
        <v>519</v>
      </c>
      <c r="B119" s="126">
        <f>SUMPRODUCT(C111:C117,POWER(1+B105,-(A111:A117)))-B104</f>
        <v>0</v>
      </c>
    </row>
    <row r="120" spans="1:6" x14ac:dyDescent="0.3">
      <c r="A120" s="68"/>
      <c r="B120" s="126"/>
    </row>
    <row r="121" spans="1:6" x14ac:dyDescent="0.3">
      <c r="A121" s="68"/>
      <c r="B121" s="126"/>
    </row>
    <row r="122" spans="1:6" x14ac:dyDescent="0.3">
      <c r="A122" s="68"/>
      <c r="B122" s="126"/>
    </row>
    <row r="123" spans="1:6" x14ac:dyDescent="0.3">
      <c r="A123" s="68"/>
    </row>
    <row r="124" spans="1:6" x14ac:dyDescent="0.3">
      <c r="A124" s="1" t="s">
        <v>575</v>
      </c>
    </row>
    <row r="125" spans="1:6" ht="30" x14ac:dyDescent="0.3">
      <c r="A125" s="66" t="s">
        <v>1096</v>
      </c>
      <c r="B125" s="66" t="s">
        <v>576</v>
      </c>
      <c r="C125" s="66" t="s">
        <v>578</v>
      </c>
      <c r="D125" s="66" t="s">
        <v>579</v>
      </c>
      <c r="E125" s="66" t="s">
        <v>577</v>
      </c>
      <c r="F125" s="112" t="s">
        <v>137</v>
      </c>
    </row>
    <row r="126" spans="1:6" x14ac:dyDescent="0.3">
      <c r="A126" s="114">
        <v>1</v>
      </c>
      <c r="B126" s="15">
        <f>B104</f>
        <v>400</v>
      </c>
      <c r="C126" s="15">
        <f t="shared" ref="C126:C132" si="6">D126+E126</f>
        <v>0</v>
      </c>
      <c r="D126" s="15"/>
      <c r="E126" s="15"/>
      <c r="F126" s="113">
        <f>B126*$B$105</f>
        <v>26</v>
      </c>
    </row>
    <row r="127" spans="1:6" x14ac:dyDescent="0.3">
      <c r="A127" s="114">
        <f t="shared" ref="A127:A132" si="7">A126+1</f>
        <v>2</v>
      </c>
      <c r="B127" s="15">
        <f>B126-D126+F126</f>
        <v>426</v>
      </c>
      <c r="C127" s="15">
        <f t="shared" si="6"/>
        <v>0</v>
      </c>
      <c r="D127" s="15"/>
      <c r="E127" s="15"/>
      <c r="F127" s="113">
        <f t="shared" ref="F127:F132" si="8">B127*$B$105</f>
        <v>27.69</v>
      </c>
    </row>
    <row r="128" spans="1:6" x14ac:dyDescent="0.3">
      <c r="A128" s="114">
        <f t="shared" si="7"/>
        <v>3</v>
      </c>
      <c r="B128" s="15">
        <f>B127-D127+F127</f>
        <v>453.69</v>
      </c>
      <c r="C128" s="15">
        <f t="shared" si="6"/>
        <v>120.22785</v>
      </c>
      <c r="D128" s="15">
        <f>B128/5</f>
        <v>90.738</v>
      </c>
      <c r="E128" s="15">
        <f>F128</f>
        <v>29.489850000000001</v>
      </c>
      <c r="F128" s="113">
        <f t="shared" si="8"/>
        <v>29.489850000000001</v>
      </c>
    </row>
    <row r="129" spans="1:6" x14ac:dyDescent="0.3">
      <c r="A129" s="114">
        <f t="shared" si="7"/>
        <v>4</v>
      </c>
      <c r="B129" s="15">
        <f>B128-D128</f>
        <v>362.952</v>
      </c>
      <c r="C129" s="15">
        <f t="shared" si="6"/>
        <v>114.32988</v>
      </c>
      <c r="D129" s="15">
        <f>D128</f>
        <v>90.738</v>
      </c>
      <c r="E129" s="15">
        <f>F129</f>
        <v>23.59188</v>
      </c>
      <c r="F129" s="113">
        <f t="shared" si="8"/>
        <v>23.59188</v>
      </c>
    </row>
    <row r="130" spans="1:6" x14ac:dyDescent="0.3">
      <c r="A130" s="114">
        <f t="shared" si="7"/>
        <v>5</v>
      </c>
      <c r="B130" s="15">
        <f>B129-D129</f>
        <v>272.214</v>
      </c>
      <c r="C130" s="15">
        <f t="shared" si="6"/>
        <v>108.43191</v>
      </c>
      <c r="D130" s="15">
        <f>D129</f>
        <v>90.738</v>
      </c>
      <c r="E130" s="15">
        <f>F130</f>
        <v>17.693909999999999</v>
      </c>
      <c r="F130" s="113">
        <f t="shared" si="8"/>
        <v>17.693909999999999</v>
      </c>
    </row>
    <row r="131" spans="1:6" x14ac:dyDescent="0.3">
      <c r="A131" s="114">
        <f t="shared" si="7"/>
        <v>6</v>
      </c>
      <c r="B131" s="15">
        <f>B130-D130</f>
        <v>181.476</v>
      </c>
      <c r="C131" s="15">
        <f t="shared" si="6"/>
        <v>102.53394</v>
      </c>
      <c r="D131" s="15">
        <f>D130</f>
        <v>90.738</v>
      </c>
      <c r="E131" s="15">
        <f>F131</f>
        <v>11.79594</v>
      </c>
      <c r="F131" s="113">
        <f t="shared" si="8"/>
        <v>11.79594</v>
      </c>
    </row>
    <row r="132" spans="1:6" x14ac:dyDescent="0.3">
      <c r="A132" s="114">
        <f t="shared" si="7"/>
        <v>7</v>
      </c>
      <c r="B132" s="15">
        <f>B131-D131</f>
        <v>90.738</v>
      </c>
      <c r="C132" s="15">
        <f t="shared" si="6"/>
        <v>96.63597</v>
      </c>
      <c r="D132" s="15">
        <f>D131</f>
        <v>90.738</v>
      </c>
      <c r="E132" s="15">
        <f>F132</f>
        <v>5.8979699999999999</v>
      </c>
      <c r="F132" s="113">
        <f t="shared" si="8"/>
        <v>5.8979699999999999</v>
      </c>
    </row>
    <row r="133" spans="1:6" x14ac:dyDescent="0.3">
      <c r="A133" s="68"/>
      <c r="D133" s="15">
        <f>SUM(D126:D132)</f>
        <v>453.69</v>
      </c>
    </row>
    <row r="134" spans="1:6" x14ac:dyDescent="0.3">
      <c r="A134" s="68" t="s">
        <v>519</v>
      </c>
      <c r="B134" s="126">
        <f>SUMPRODUCT(C126:C132,POWER(1+B105,-A126:A132))-B104</f>
        <v>0</v>
      </c>
    </row>
    <row r="136" spans="1:6" x14ac:dyDescent="0.3">
      <c r="A136" s="33" t="s">
        <v>502</v>
      </c>
    </row>
    <row r="137" spans="1:6" x14ac:dyDescent="0.3">
      <c r="A137" t="s">
        <v>581</v>
      </c>
      <c r="B137" s="37">
        <v>0.98</v>
      </c>
      <c r="C137" s="37">
        <v>1.01</v>
      </c>
    </row>
    <row r="138" spans="1:6" x14ac:dyDescent="0.3">
      <c r="A138" t="s">
        <v>582</v>
      </c>
      <c r="B138" s="37">
        <v>1.08</v>
      </c>
      <c r="C138" s="37">
        <v>1.08</v>
      </c>
    </row>
    <row r="139" spans="1:6" x14ac:dyDescent="0.3">
      <c r="A139" t="s">
        <v>583</v>
      </c>
      <c r="B139" s="37">
        <v>7.0000000000000007E-2</v>
      </c>
      <c r="C139" s="37">
        <v>7.0000000000000007E-2</v>
      </c>
    </row>
    <row r="140" spans="1:6" x14ac:dyDescent="0.3">
      <c r="A140" t="s">
        <v>558</v>
      </c>
      <c r="B140" s="108">
        <v>10</v>
      </c>
    </row>
    <row r="142" spans="1:6" x14ac:dyDescent="0.3">
      <c r="A142" s="66" t="s">
        <v>524</v>
      </c>
      <c r="B142" s="66" t="s">
        <v>518</v>
      </c>
      <c r="C142" s="66" t="s">
        <v>518</v>
      </c>
    </row>
    <row r="143" spans="1:6" x14ac:dyDescent="0.3">
      <c r="A143">
        <v>0</v>
      </c>
      <c r="B143" s="37">
        <f>-B137</f>
        <v>-0.98</v>
      </c>
      <c r="C143" s="37">
        <f>-C137</f>
        <v>-1.01</v>
      </c>
    </row>
    <row r="144" spans="1:6" x14ac:dyDescent="0.3">
      <c r="A144">
        <v>1</v>
      </c>
      <c r="B144" s="37">
        <f t="shared" ref="B144:C152" si="9">B$139</f>
        <v>7.0000000000000007E-2</v>
      </c>
      <c r="C144" s="37">
        <f t="shared" si="9"/>
        <v>7.0000000000000007E-2</v>
      </c>
    </row>
    <row r="145" spans="1:5" x14ac:dyDescent="0.3">
      <c r="A145">
        <f>A144+1</f>
        <v>2</v>
      </c>
      <c r="B145" s="37">
        <f t="shared" si="9"/>
        <v>7.0000000000000007E-2</v>
      </c>
      <c r="C145" s="37">
        <f t="shared" si="9"/>
        <v>7.0000000000000007E-2</v>
      </c>
    </row>
    <row r="146" spans="1:5" x14ac:dyDescent="0.3">
      <c r="A146">
        <f t="shared" ref="A146:A153" si="10">A145+1</f>
        <v>3</v>
      </c>
      <c r="B146" s="37">
        <f t="shared" si="9"/>
        <v>7.0000000000000007E-2</v>
      </c>
      <c r="C146" s="37">
        <f t="shared" si="9"/>
        <v>7.0000000000000007E-2</v>
      </c>
    </row>
    <row r="147" spans="1:5" x14ac:dyDescent="0.3">
      <c r="A147">
        <f t="shared" si="10"/>
        <v>4</v>
      </c>
      <c r="B147" s="37">
        <f t="shared" si="9"/>
        <v>7.0000000000000007E-2</v>
      </c>
      <c r="C147" s="37">
        <f t="shared" si="9"/>
        <v>7.0000000000000007E-2</v>
      </c>
    </row>
    <row r="148" spans="1:5" x14ac:dyDescent="0.3">
      <c r="A148">
        <f t="shared" si="10"/>
        <v>5</v>
      </c>
      <c r="B148" s="37">
        <f t="shared" si="9"/>
        <v>7.0000000000000007E-2</v>
      </c>
      <c r="C148" s="37">
        <f t="shared" si="9"/>
        <v>7.0000000000000007E-2</v>
      </c>
    </row>
    <row r="149" spans="1:5" x14ac:dyDescent="0.3">
      <c r="A149">
        <f t="shared" si="10"/>
        <v>6</v>
      </c>
      <c r="B149" s="37">
        <f t="shared" si="9"/>
        <v>7.0000000000000007E-2</v>
      </c>
      <c r="C149" s="37">
        <f t="shared" si="9"/>
        <v>7.0000000000000007E-2</v>
      </c>
    </row>
    <row r="150" spans="1:5" x14ac:dyDescent="0.3">
      <c r="A150">
        <f t="shared" si="10"/>
        <v>7</v>
      </c>
      <c r="B150" s="37">
        <f t="shared" si="9"/>
        <v>7.0000000000000007E-2</v>
      </c>
      <c r="C150" s="37">
        <f t="shared" si="9"/>
        <v>7.0000000000000007E-2</v>
      </c>
    </row>
    <row r="151" spans="1:5" x14ac:dyDescent="0.3">
      <c r="A151">
        <f t="shared" si="10"/>
        <v>8</v>
      </c>
      <c r="B151" s="37">
        <f t="shared" si="9"/>
        <v>7.0000000000000007E-2</v>
      </c>
      <c r="C151" s="37">
        <f t="shared" si="9"/>
        <v>7.0000000000000007E-2</v>
      </c>
    </row>
    <row r="152" spans="1:5" x14ac:dyDescent="0.3">
      <c r="A152">
        <f t="shared" si="10"/>
        <v>9</v>
      </c>
      <c r="B152" s="37">
        <f t="shared" si="9"/>
        <v>7.0000000000000007E-2</v>
      </c>
      <c r="C152" s="37">
        <f t="shared" si="9"/>
        <v>7.0000000000000007E-2</v>
      </c>
    </row>
    <row r="153" spans="1:5" x14ac:dyDescent="0.3">
      <c r="A153">
        <f t="shared" si="10"/>
        <v>10</v>
      </c>
      <c r="B153" s="37">
        <f>B$139+B138</f>
        <v>1.1500000000000001</v>
      </c>
      <c r="C153" s="37">
        <f>C$139+C138</f>
        <v>1.1500000000000001</v>
      </c>
    </row>
    <row r="156" spans="1:5" x14ac:dyDescent="0.3">
      <c r="A156" t="s">
        <v>562</v>
      </c>
      <c r="B156" s="84">
        <f>IRR(B143:B153)</f>
        <v>7.8521990352673043E-2</v>
      </c>
      <c r="C156" s="84">
        <f>IRR(C143:C153)</f>
        <v>7.4223990429296283E-2</v>
      </c>
    </row>
    <row r="158" spans="1:5" x14ac:dyDescent="0.3">
      <c r="A158" s="33" t="s">
        <v>504</v>
      </c>
    </row>
    <row r="159" spans="1:5" x14ac:dyDescent="0.3">
      <c r="A159" t="s">
        <v>581</v>
      </c>
      <c r="B159" s="37">
        <v>0.98</v>
      </c>
      <c r="D159" t="s">
        <v>586</v>
      </c>
      <c r="E159" s="83">
        <v>3.5000000000000001E-3</v>
      </c>
    </row>
    <row r="160" spans="1:5" x14ac:dyDescent="0.3">
      <c r="A160" t="s">
        <v>582</v>
      </c>
      <c r="B160" s="37">
        <v>1.08</v>
      </c>
      <c r="D160" t="s">
        <v>587</v>
      </c>
      <c r="E160" s="83">
        <v>2.5000000000000001E-2</v>
      </c>
    </row>
    <row r="161" spans="1:5" x14ac:dyDescent="0.3">
      <c r="A161" t="s">
        <v>583</v>
      </c>
      <c r="B161" s="37">
        <v>7.0000000000000007E-2</v>
      </c>
      <c r="D161" t="s">
        <v>588</v>
      </c>
      <c r="E161" s="83">
        <v>6.0000000000000001E-3</v>
      </c>
    </row>
    <row r="162" spans="1:5" x14ac:dyDescent="0.3">
      <c r="A162" t="s">
        <v>558</v>
      </c>
      <c r="B162" s="108">
        <v>10</v>
      </c>
    </row>
    <row r="164" spans="1:5" x14ac:dyDescent="0.3">
      <c r="A164" s="66" t="s">
        <v>524</v>
      </c>
      <c r="B164" s="66" t="s">
        <v>584</v>
      </c>
      <c r="C164" s="66" t="s">
        <v>585</v>
      </c>
    </row>
    <row r="165" spans="1:5" x14ac:dyDescent="0.3">
      <c r="A165">
        <v>0</v>
      </c>
      <c r="B165" s="37">
        <f>-B159</f>
        <v>-0.98</v>
      </c>
      <c r="C165" s="84">
        <f>B165*(1-E159)</f>
        <v>-0.97657000000000005</v>
      </c>
    </row>
    <row r="166" spans="1:5" x14ac:dyDescent="0.3">
      <c r="A166">
        <v>1</v>
      </c>
      <c r="B166" s="37">
        <f>B$161</f>
        <v>7.0000000000000007E-2</v>
      </c>
      <c r="C166" s="83">
        <f>B166*(1+E$160)</f>
        <v>7.1749999999999994E-2</v>
      </c>
    </row>
    <row r="167" spans="1:5" x14ac:dyDescent="0.3">
      <c r="A167">
        <f>A166+1</f>
        <v>2</v>
      </c>
      <c r="B167" s="37">
        <f t="shared" ref="B167:B174" si="11">B$161</f>
        <v>7.0000000000000007E-2</v>
      </c>
      <c r="C167" s="83">
        <f t="shared" ref="C167:C174" si="12">B167*(1+E$160)</f>
        <v>7.1749999999999994E-2</v>
      </c>
    </row>
    <row r="168" spans="1:5" x14ac:dyDescent="0.3">
      <c r="A168">
        <f t="shared" ref="A168:A175" si="13">A167+1</f>
        <v>3</v>
      </c>
      <c r="B168" s="37">
        <f t="shared" si="11"/>
        <v>7.0000000000000007E-2</v>
      </c>
      <c r="C168" s="83">
        <f t="shared" si="12"/>
        <v>7.1749999999999994E-2</v>
      </c>
    </row>
    <row r="169" spans="1:5" x14ac:dyDescent="0.3">
      <c r="A169">
        <f t="shared" si="13"/>
        <v>4</v>
      </c>
      <c r="B169" s="37">
        <f t="shared" si="11"/>
        <v>7.0000000000000007E-2</v>
      </c>
      <c r="C169" s="83">
        <f t="shared" si="12"/>
        <v>7.1749999999999994E-2</v>
      </c>
    </row>
    <row r="170" spans="1:5" x14ac:dyDescent="0.3">
      <c r="A170">
        <f t="shared" si="13"/>
        <v>5</v>
      </c>
      <c r="B170" s="37">
        <f t="shared" si="11"/>
        <v>7.0000000000000007E-2</v>
      </c>
      <c r="C170" s="83">
        <f t="shared" si="12"/>
        <v>7.1749999999999994E-2</v>
      </c>
    </row>
    <row r="171" spans="1:5" x14ac:dyDescent="0.3">
      <c r="A171">
        <f t="shared" si="13"/>
        <v>6</v>
      </c>
      <c r="B171" s="37">
        <f t="shared" si="11"/>
        <v>7.0000000000000007E-2</v>
      </c>
      <c r="C171" s="83">
        <f t="shared" si="12"/>
        <v>7.1749999999999994E-2</v>
      </c>
    </row>
    <row r="172" spans="1:5" x14ac:dyDescent="0.3">
      <c r="A172">
        <f t="shared" si="13"/>
        <v>7</v>
      </c>
      <c r="B172" s="37">
        <f t="shared" si="11"/>
        <v>7.0000000000000007E-2</v>
      </c>
      <c r="C172" s="83">
        <f t="shared" si="12"/>
        <v>7.1749999999999994E-2</v>
      </c>
    </row>
    <row r="173" spans="1:5" x14ac:dyDescent="0.3">
      <c r="A173">
        <f t="shared" si="13"/>
        <v>8</v>
      </c>
      <c r="B173" s="37">
        <f t="shared" si="11"/>
        <v>7.0000000000000007E-2</v>
      </c>
      <c r="C173" s="83">
        <f t="shared" si="12"/>
        <v>7.1749999999999994E-2</v>
      </c>
    </row>
    <row r="174" spans="1:5" x14ac:dyDescent="0.3">
      <c r="A174">
        <f t="shared" si="13"/>
        <v>9</v>
      </c>
      <c r="B174" s="37">
        <f t="shared" si="11"/>
        <v>7.0000000000000007E-2</v>
      </c>
      <c r="C174" s="83">
        <f t="shared" si="12"/>
        <v>7.1749999999999994E-2</v>
      </c>
    </row>
    <row r="175" spans="1:5" x14ac:dyDescent="0.3">
      <c r="A175">
        <f t="shared" si="13"/>
        <v>10</v>
      </c>
      <c r="B175" s="37">
        <f>B160+B174</f>
        <v>1.1500000000000001</v>
      </c>
      <c r="C175" s="83">
        <f>B160*(1+E161)+C174</f>
        <v>1.1582300000000001</v>
      </c>
    </row>
    <row r="178" spans="1:3" x14ac:dyDescent="0.3">
      <c r="A178" t="s">
        <v>562</v>
      </c>
      <c r="B178" s="84">
        <f>IRR(B165:B175)</f>
        <v>7.8521990352673043E-2</v>
      </c>
      <c r="C178" s="84">
        <f>IRR(C165:C175)</f>
        <v>8.1196465564861597E-2</v>
      </c>
    </row>
    <row r="180" spans="1:3" x14ac:dyDescent="0.3">
      <c r="A180" s="33" t="s">
        <v>507</v>
      </c>
      <c r="B180" s="105" t="s">
        <v>512</v>
      </c>
    </row>
    <row r="181" spans="1:3" x14ac:dyDescent="0.3">
      <c r="A181" t="s">
        <v>590</v>
      </c>
      <c r="B181">
        <v>300</v>
      </c>
    </row>
    <row r="182" spans="1:3" x14ac:dyDescent="0.3">
      <c r="A182" t="s">
        <v>555</v>
      </c>
      <c r="B182">
        <v>100</v>
      </c>
    </row>
    <row r="183" spans="1:3" x14ac:dyDescent="0.3">
      <c r="A183" t="s">
        <v>589</v>
      </c>
      <c r="B183">
        <v>11</v>
      </c>
    </row>
    <row r="184" spans="1:3" x14ac:dyDescent="0.3">
      <c r="A184" t="s">
        <v>591</v>
      </c>
      <c r="B184">
        <v>20</v>
      </c>
    </row>
    <row r="186" spans="1:3" x14ac:dyDescent="0.3">
      <c r="A186" s="66" t="s">
        <v>592</v>
      </c>
      <c r="B186" s="66" t="s">
        <v>518</v>
      </c>
      <c r="C186" t="s">
        <v>1611</v>
      </c>
    </row>
    <row r="187" spans="1:3" x14ac:dyDescent="0.3">
      <c r="A187" s="105">
        <v>0</v>
      </c>
      <c r="B187">
        <f>B182</f>
        <v>100</v>
      </c>
      <c r="C187">
        <v>-200</v>
      </c>
    </row>
    <row r="188" spans="1:3" x14ac:dyDescent="0.3">
      <c r="A188" s="105">
        <f>A187+1</f>
        <v>1</v>
      </c>
      <c r="B188">
        <f>B$183</f>
        <v>11</v>
      </c>
      <c r="C188">
        <f>B188</f>
        <v>11</v>
      </c>
    </row>
    <row r="189" spans="1:3" x14ac:dyDescent="0.3">
      <c r="A189" s="105">
        <f t="shared" ref="A189:A207" si="14">A188+1</f>
        <v>2</v>
      </c>
      <c r="B189">
        <f t="shared" ref="B189:B207" si="15">B$183</f>
        <v>11</v>
      </c>
      <c r="C189">
        <f t="shared" ref="C189:C207" si="16">B189</f>
        <v>11</v>
      </c>
    </row>
    <row r="190" spans="1:3" x14ac:dyDescent="0.3">
      <c r="A190" s="105">
        <f t="shared" si="14"/>
        <v>3</v>
      </c>
      <c r="B190">
        <f t="shared" si="15"/>
        <v>11</v>
      </c>
      <c r="C190">
        <f t="shared" si="16"/>
        <v>11</v>
      </c>
    </row>
    <row r="191" spans="1:3" x14ac:dyDescent="0.3">
      <c r="A191" s="105">
        <f t="shared" si="14"/>
        <v>4</v>
      </c>
      <c r="B191">
        <f t="shared" si="15"/>
        <v>11</v>
      </c>
      <c r="C191">
        <f t="shared" si="16"/>
        <v>11</v>
      </c>
    </row>
    <row r="192" spans="1:3" x14ac:dyDescent="0.3">
      <c r="A192" s="105">
        <f t="shared" si="14"/>
        <v>5</v>
      </c>
      <c r="B192">
        <f t="shared" si="15"/>
        <v>11</v>
      </c>
      <c r="C192">
        <f t="shared" si="16"/>
        <v>11</v>
      </c>
    </row>
    <row r="193" spans="1:3" x14ac:dyDescent="0.3">
      <c r="A193" s="105">
        <f t="shared" si="14"/>
        <v>6</v>
      </c>
      <c r="B193">
        <f t="shared" si="15"/>
        <v>11</v>
      </c>
      <c r="C193">
        <f t="shared" si="16"/>
        <v>11</v>
      </c>
    </row>
    <row r="194" spans="1:3" x14ac:dyDescent="0.3">
      <c r="A194" s="105">
        <f t="shared" si="14"/>
        <v>7</v>
      </c>
      <c r="B194">
        <f t="shared" si="15"/>
        <v>11</v>
      </c>
      <c r="C194">
        <f t="shared" si="16"/>
        <v>11</v>
      </c>
    </row>
    <row r="195" spans="1:3" x14ac:dyDescent="0.3">
      <c r="A195" s="105">
        <f t="shared" si="14"/>
        <v>8</v>
      </c>
      <c r="B195">
        <f t="shared" si="15"/>
        <v>11</v>
      </c>
      <c r="C195">
        <f t="shared" si="16"/>
        <v>11</v>
      </c>
    </row>
    <row r="196" spans="1:3" x14ac:dyDescent="0.3">
      <c r="A196" s="105">
        <f t="shared" si="14"/>
        <v>9</v>
      </c>
      <c r="B196">
        <f t="shared" si="15"/>
        <v>11</v>
      </c>
      <c r="C196">
        <f t="shared" si="16"/>
        <v>11</v>
      </c>
    </row>
    <row r="197" spans="1:3" x14ac:dyDescent="0.3">
      <c r="A197" s="105">
        <f t="shared" si="14"/>
        <v>10</v>
      </c>
      <c r="B197">
        <f t="shared" si="15"/>
        <v>11</v>
      </c>
      <c r="C197">
        <f t="shared" si="16"/>
        <v>11</v>
      </c>
    </row>
    <row r="198" spans="1:3" x14ac:dyDescent="0.3">
      <c r="A198" s="105">
        <f t="shared" si="14"/>
        <v>11</v>
      </c>
      <c r="B198">
        <f t="shared" si="15"/>
        <v>11</v>
      </c>
      <c r="C198">
        <f t="shared" si="16"/>
        <v>11</v>
      </c>
    </row>
    <row r="199" spans="1:3" x14ac:dyDescent="0.3">
      <c r="A199" s="105">
        <f t="shared" si="14"/>
        <v>12</v>
      </c>
      <c r="B199">
        <f t="shared" si="15"/>
        <v>11</v>
      </c>
      <c r="C199">
        <f t="shared" si="16"/>
        <v>11</v>
      </c>
    </row>
    <row r="200" spans="1:3" x14ac:dyDescent="0.3">
      <c r="A200" s="105">
        <f t="shared" si="14"/>
        <v>13</v>
      </c>
      <c r="B200">
        <f t="shared" si="15"/>
        <v>11</v>
      </c>
      <c r="C200">
        <f t="shared" si="16"/>
        <v>11</v>
      </c>
    </row>
    <row r="201" spans="1:3" x14ac:dyDescent="0.3">
      <c r="A201" s="105">
        <f t="shared" si="14"/>
        <v>14</v>
      </c>
      <c r="B201">
        <f t="shared" si="15"/>
        <v>11</v>
      </c>
      <c r="C201">
        <f t="shared" si="16"/>
        <v>11</v>
      </c>
    </row>
    <row r="202" spans="1:3" x14ac:dyDescent="0.3">
      <c r="A202" s="105">
        <f t="shared" si="14"/>
        <v>15</v>
      </c>
      <c r="B202">
        <f t="shared" si="15"/>
        <v>11</v>
      </c>
      <c r="C202">
        <f t="shared" si="16"/>
        <v>11</v>
      </c>
    </row>
    <row r="203" spans="1:3" x14ac:dyDescent="0.3">
      <c r="A203" s="105">
        <f t="shared" si="14"/>
        <v>16</v>
      </c>
      <c r="B203">
        <f t="shared" si="15"/>
        <v>11</v>
      </c>
      <c r="C203">
        <f t="shared" si="16"/>
        <v>11</v>
      </c>
    </row>
    <row r="204" spans="1:3" x14ac:dyDescent="0.3">
      <c r="A204" s="105">
        <f t="shared" si="14"/>
        <v>17</v>
      </c>
      <c r="B204">
        <f t="shared" si="15"/>
        <v>11</v>
      </c>
      <c r="C204">
        <f t="shared" si="16"/>
        <v>11</v>
      </c>
    </row>
    <row r="205" spans="1:3" x14ac:dyDescent="0.3">
      <c r="A205" s="105">
        <f t="shared" si="14"/>
        <v>18</v>
      </c>
      <c r="B205">
        <f t="shared" si="15"/>
        <v>11</v>
      </c>
      <c r="C205">
        <f t="shared" si="16"/>
        <v>11</v>
      </c>
    </row>
    <row r="206" spans="1:3" x14ac:dyDescent="0.3">
      <c r="A206" s="105">
        <f t="shared" si="14"/>
        <v>19</v>
      </c>
      <c r="B206">
        <f t="shared" si="15"/>
        <v>11</v>
      </c>
      <c r="C206">
        <f t="shared" si="16"/>
        <v>11</v>
      </c>
    </row>
    <row r="207" spans="1:3" x14ac:dyDescent="0.3">
      <c r="A207" s="105">
        <f t="shared" si="14"/>
        <v>20</v>
      </c>
      <c r="B207">
        <f t="shared" si="15"/>
        <v>11</v>
      </c>
      <c r="C207">
        <f t="shared" si="16"/>
        <v>11</v>
      </c>
    </row>
    <row r="208" spans="1:3" x14ac:dyDescent="0.3">
      <c r="A208" s="105"/>
    </row>
    <row r="209" spans="1:6" x14ac:dyDescent="0.3">
      <c r="B209" s="108"/>
    </row>
    <row r="210" spans="1:6" x14ac:dyDescent="0.3">
      <c r="A210" t="s">
        <v>594</v>
      </c>
      <c r="B210" s="131">
        <f>IRR(C187:C207)</f>
        <v>9.2540257515363322E-3</v>
      </c>
    </row>
    <row r="211" spans="1:6" x14ac:dyDescent="0.3">
      <c r="A211" t="s">
        <v>593</v>
      </c>
      <c r="B211" s="84">
        <f>POWER(1+B210,12)-1</f>
        <v>0.1168783821701227</v>
      </c>
    </row>
    <row r="213" spans="1:6" x14ac:dyDescent="0.3">
      <c r="A213" s="33" t="s">
        <v>511</v>
      </c>
    </row>
    <row r="214" spans="1:6" x14ac:dyDescent="0.3">
      <c r="A214" t="s">
        <v>595</v>
      </c>
      <c r="B214">
        <v>1000</v>
      </c>
    </row>
    <row r="215" spans="1:6" x14ac:dyDescent="0.3">
      <c r="A215" t="s">
        <v>1110</v>
      </c>
      <c r="B215">
        <v>1</v>
      </c>
      <c r="C215">
        <f>B215+1</f>
        <v>2</v>
      </c>
      <c r="D215">
        <f>C215+1</f>
        <v>3</v>
      </c>
      <c r="E215">
        <f>D215+1</f>
        <v>4</v>
      </c>
      <c r="F215">
        <f>E215+1</f>
        <v>5</v>
      </c>
    </row>
    <row r="216" spans="1:6" x14ac:dyDescent="0.3">
      <c r="A216" t="s">
        <v>518</v>
      </c>
      <c r="B216">
        <v>232</v>
      </c>
      <c r="C216">
        <v>2088</v>
      </c>
      <c r="D216">
        <v>232</v>
      </c>
      <c r="E216">
        <v>-232</v>
      </c>
      <c r="F216">
        <v>-927</v>
      </c>
    </row>
    <row r="219" spans="1:6" x14ac:dyDescent="0.3">
      <c r="A219" t="s">
        <v>562</v>
      </c>
      <c r="B219" s="84">
        <v>-0.15117585629634148</v>
      </c>
      <c r="C219" s="84">
        <v>0.48276342694261498</v>
      </c>
    </row>
    <row r="220" spans="1:6" x14ac:dyDescent="0.3">
      <c r="A220" t="s">
        <v>645</v>
      </c>
      <c r="B220" s="363">
        <f>NPV(B219,B216:F216)</f>
        <v>1000.0000891968286</v>
      </c>
      <c r="C220" s="363">
        <f>NPV(C219,B216:F216)</f>
        <v>999.9995007393544</v>
      </c>
    </row>
    <row r="223" spans="1:6" x14ac:dyDescent="0.3">
      <c r="A223" s="33" t="s">
        <v>513</v>
      </c>
    </row>
    <row r="224" spans="1:6" x14ac:dyDescent="0.3">
      <c r="A224" t="s">
        <v>595</v>
      </c>
      <c r="B224">
        <v>1000</v>
      </c>
    </row>
    <row r="225" spans="1:7" x14ac:dyDescent="0.3">
      <c r="A225" t="s">
        <v>1110</v>
      </c>
      <c r="C225">
        <v>1</v>
      </c>
      <c r="D225">
        <f>C225+1</f>
        <v>2</v>
      </c>
      <c r="E225">
        <f>D225+1</f>
        <v>3</v>
      </c>
      <c r="F225">
        <f>E225+1</f>
        <v>4</v>
      </c>
      <c r="G225">
        <f>F225+1</f>
        <v>5</v>
      </c>
    </row>
    <row r="226" spans="1:7" x14ac:dyDescent="0.3">
      <c r="A226" t="s">
        <v>518</v>
      </c>
      <c r="B226">
        <f>B228</f>
        <v>-1000</v>
      </c>
      <c r="C226">
        <v>300</v>
      </c>
      <c r="D226">
        <v>400</v>
      </c>
      <c r="E226">
        <v>100</v>
      </c>
      <c r="F226">
        <v>200</v>
      </c>
      <c r="G226">
        <v>500</v>
      </c>
    </row>
    <row r="227" spans="1:7" x14ac:dyDescent="0.3">
      <c r="A227" t="s">
        <v>1664</v>
      </c>
      <c r="C227" s="107">
        <f>C226*(1+$B$231)^($G$225-C225)</f>
        <v>439.23000000000013</v>
      </c>
      <c r="D227" s="107">
        <f>D226*(1+$B$231)^($G$225-D225)</f>
        <v>532.4000000000002</v>
      </c>
      <c r="E227" s="107">
        <f>E226*(1+$B$231)^($G$225-E225)</f>
        <v>121.00000000000001</v>
      </c>
      <c r="F227" s="107">
        <f>F226*(1+$B$231)^($G$225-F225)</f>
        <v>220.00000000000003</v>
      </c>
      <c r="G227" s="107">
        <f>G226*(1+$B$231)^($G$225-G225)</f>
        <v>500</v>
      </c>
    </row>
    <row r="228" spans="1:7" x14ac:dyDescent="0.3">
      <c r="A228" t="s">
        <v>1665</v>
      </c>
      <c r="B228">
        <f>-B224</f>
        <v>-1000</v>
      </c>
      <c r="C228">
        <v>0</v>
      </c>
      <c r="D228">
        <v>0</v>
      </c>
      <c r="E228">
        <v>0</v>
      </c>
      <c r="F228">
        <v>0</v>
      </c>
      <c r="G228" s="107">
        <f>SUM(C227:G227)</f>
        <v>1812.6300000000003</v>
      </c>
    </row>
    <row r="231" spans="1:7" x14ac:dyDescent="0.3">
      <c r="A231" t="s">
        <v>1662</v>
      </c>
      <c r="B231" s="37">
        <v>0.1</v>
      </c>
    </row>
    <row r="232" spans="1:7" x14ac:dyDescent="0.3">
      <c r="A232" t="s">
        <v>562</v>
      </c>
      <c r="B232" s="84">
        <f>IRR(B226:G226)</f>
        <v>0.1467002803866635</v>
      </c>
      <c r="C232" s="84"/>
    </row>
    <row r="233" spans="1:7" x14ac:dyDescent="0.3">
      <c r="A233" t="s">
        <v>1663</v>
      </c>
      <c r="B233" s="83">
        <f>IRR(B228:G228)</f>
        <v>0.126320095388472</v>
      </c>
      <c r="C233" s="363"/>
    </row>
  </sheetData>
  <mergeCells count="3">
    <mergeCell ref="B73:C73"/>
    <mergeCell ref="B74:C74"/>
    <mergeCell ref="B72:C72"/>
  </mergeCells>
  <phoneticPr fontId="4" type="noConversion"/>
  <pageMargins left="0.78740157480314965" right="0.78740157480314965" top="0.98425196850393704" bottom="0.98425196850393704" header="0.51181102362204722" footer="0.51181102362204722"/>
  <pageSetup paperSize="9" scale="70" fitToHeight="10"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O43"/>
  <sheetViews>
    <sheetView showGridLines="0" zoomScale="130" zoomScaleNormal="130" zoomScalePageLayoutView="130" workbookViewId="0">
      <selection activeCell="B1" sqref="B1"/>
    </sheetView>
  </sheetViews>
  <sheetFormatPr baseColWidth="10" defaultRowHeight="13.5" x14ac:dyDescent="0.3"/>
  <cols>
    <col min="1" max="1" width="24.84375" bestFit="1" customWidth="1"/>
    <col min="2" max="2" width="11.15234375" customWidth="1"/>
    <col min="3" max="5" width="7.3828125" customWidth="1"/>
    <col min="6" max="6" width="7.69140625" customWidth="1"/>
    <col min="7" max="12" width="7.3828125" customWidth="1"/>
    <col min="13" max="13" width="8.4609375" customWidth="1"/>
    <col min="14" max="14" width="7.61328125" customWidth="1"/>
  </cols>
  <sheetData>
    <row r="1" spans="1:15" x14ac:dyDescent="0.3">
      <c r="A1" s="33" t="s">
        <v>1746</v>
      </c>
    </row>
    <row r="2" spans="1:15" x14ac:dyDescent="0.3">
      <c r="A2" s="416"/>
      <c r="B2" s="539">
        <v>42095</v>
      </c>
      <c r="C2" s="539">
        <v>42125</v>
      </c>
      <c r="D2" s="539">
        <v>42156</v>
      </c>
      <c r="E2" s="539">
        <v>42186</v>
      </c>
      <c r="F2" s="539">
        <v>42217</v>
      </c>
      <c r="G2" s="539">
        <v>42248</v>
      </c>
      <c r="H2" s="539">
        <v>42278</v>
      </c>
      <c r="I2" s="539">
        <v>42309</v>
      </c>
      <c r="J2" s="539">
        <v>42339</v>
      </c>
      <c r="K2" s="539">
        <v>42370</v>
      </c>
      <c r="L2" s="539">
        <v>42401</v>
      </c>
      <c r="M2" s="539">
        <v>42430</v>
      </c>
      <c r="N2" s="539">
        <v>42461</v>
      </c>
      <c r="O2" s="416"/>
    </row>
    <row r="3" spans="1:15" x14ac:dyDescent="0.3">
      <c r="A3" s="416" t="s">
        <v>1743</v>
      </c>
      <c r="B3" s="543">
        <v>64.510000000000005</v>
      </c>
      <c r="C3" s="543">
        <v>62.53</v>
      </c>
      <c r="D3" s="543">
        <v>57.99</v>
      </c>
      <c r="E3" s="543">
        <v>61.69</v>
      </c>
      <c r="F3" s="543">
        <v>55.39</v>
      </c>
      <c r="G3" s="543">
        <v>56.42</v>
      </c>
      <c r="H3" s="543">
        <v>63.41</v>
      </c>
      <c r="I3" s="543">
        <v>66.33</v>
      </c>
      <c r="J3" s="543">
        <v>62.28</v>
      </c>
      <c r="K3" s="543">
        <v>63.45</v>
      </c>
      <c r="L3" s="543">
        <v>64.23</v>
      </c>
      <c r="M3" s="543">
        <v>62.51</v>
      </c>
      <c r="N3" s="543">
        <v>61.32</v>
      </c>
      <c r="O3" s="540"/>
    </row>
    <row r="4" spans="1:15" x14ac:dyDescent="0.3">
      <c r="A4" s="416" t="s">
        <v>1574</v>
      </c>
      <c r="B4" s="544">
        <v>5046.49</v>
      </c>
      <c r="C4" s="544">
        <v>5007.8900000000003</v>
      </c>
      <c r="D4" s="544">
        <v>4790.2</v>
      </c>
      <c r="E4" s="544">
        <v>5082.6099999999997</v>
      </c>
      <c r="F4" s="544">
        <v>4652.95</v>
      </c>
      <c r="G4" s="544">
        <v>4455.29</v>
      </c>
      <c r="H4" s="544">
        <v>4897.66</v>
      </c>
      <c r="I4" s="544">
        <v>4957.6000000000004</v>
      </c>
      <c r="J4" s="544">
        <v>4637.0600000000004</v>
      </c>
      <c r="K4" s="544">
        <v>4417.0200000000004</v>
      </c>
      <c r="L4" s="544">
        <v>4353.55</v>
      </c>
      <c r="M4" s="544">
        <v>4385.0600000000004</v>
      </c>
      <c r="N4" s="544">
        <v>4322.24</v>
      </c>
      <c r="O4" s="416"/>
    </row>
    <row r="5" spans="1:15" x14ac:dyDescent="0.3">
      <c r="A5" s="416" t="s">
        <v>857</v>
      </c>
      <c r="B5" s="416"/>
      <c r="C5" s="416"/>
      <c r="D5" s="416"/>
      <c r="E5" s="416"/>
      <c r="F5" s="416"/>
      <c r="G5" s="416"/>
      <c r="H5" s="416"/>
      <c r="I5" s="416"/>
      <c r="J5" s="416"/>
      <c r="K5" s="416"/>
      <c r="L5" s="416"/>
      <c r="M5" s="416"/>
      <c r="N5" s="416"/>
      <c r="O5" s="416"/>
    </row>
    <row r="6" spans="1:15" x14ac:dyDescent="0.3">
      <c r="A6" s="416" t="s">
        <v>1747</v>
      </c>
      <c r="B6" s="69">
        <f>N3/B3-1</f>
        <v>-4.9449697721283603E-2</v>
      </c>
      <c r="C6" s="416"/>
      <c r="D6" s="416"/>
      <c r="E6" s="416"/>
      <c r="F6" s="416"/>
      <c r="G6" s="416"/>
      <c r="H6" s="416"/>
      <c r="I6" s="416"/>
      <c r="J6" s="416"/>
      <c r="K6" s="416"/>
      <c r="L6" s="416"/>
      <c r="M6" s="416"/>
      <c r="N6" s="416"/>
      <c r="O6" s="416"/>
    </row>
    <row r="7" spans="1:15" x14ac:dyDescent="0.3">
      <c r="A7" s="416" t="s">
        <v>597</v>
      </c>
      <c r="B7" s="69">
        <f>N4/B4-1</f>
        <v>-0.14351559202534836</v>
      </c>
      <c r="C7" s="416"/>
      <c r="D7" s="416"/>
      <c r="E7" s="416"/>
      <c r="F7" s="416"/>
      <c r="G7" s="416"/>
      <c r="H7" s="416"/>
      <c r="I7" s="416"/>
      <c r="J7" s="416"/>
      <c r="K7" s="416"/>
      <c r="L7" s="416"/>
      <c r="M7" s="416"/>
      <c r="N7" s="416"/>
      <c r="O7" s="416"/>
    </row>
    <row r="8" spans="1:15" x14ac:dyDescent="0.3">
      <c r="A8" s="416"/>
      <c r="B8" s="416"/>
      <c r="C8" s="416"/>
      <c r="D8" s="416"/>
      <c r="E8" s="416"/>
      <c r="F8" s="416"/>
      <c r="G8" s="416"/>
      <c r="H8" s="416"/>
      <c r="I8" s="416"/>
      <c r="J8" s="416"/>
      <c r="K8" s="416"/>
      <c r="L8" s="416"/>
      <c r="M8" s="416"/>
      <c r="N8" s="416"/>
      <c r="O8" s="416"/>
    </row>
    <row r="9" spans="1:15" x14ac:dyDescent="0.3">
      <c r="A9" s="416" t="s">
        <v>598</v>
      </c>
      <c r="B9" s="416"/>
      <c r="C9" s="416"/>
      <c r="D9" s="416"/>
      <c r="E9" s="416"/>
      <c r="F9" s="416"/>
      <c r="G9" s="416"/>
      <c r="H9" s="416"/>
      <c r="I9" s="416"/>
      <c r="J9" s="416"/>
      <c r="K9" s="416"/>
      <c r="L9" s="416"/>
      <c r="M9" s="416"/>
      <c r="N9" s="416"/>
      <c r="O9" s="416"/>
    </row>
    <row r="10" spans="1:15" x14ac:dyDescent="0.3">
      <c r="A10" s="545" t="s">
        <v>1743</v>
      </c>
      <c r="B10" s="84"/>
      <c r="C10" s="84">
        <f>(C3-B3)/B3</f>
        <v>-3.0692915827003623E-2</v>
      </c>
      <c r="D10" s="84">
        <f t="shared" ref="D10:N11" si="0">(D3-C3)/C3</f>
        <v>-7.2605149528226443E-2</v>
      </c>
      <c r="E10" s="84">
        <f t="shared" si="0"/>
        <v>6.3804104155888872E-2</v>
      </c>
      <c r="F10" s="84">
        <f t="shared" si="0"/>
        <v>-0.1021235208299562</v>
      </c>
      <c r="G10" s="84">
        <f t="shared" si="0"/>
        <v>1.8595414334717477E-2</v>
      </c>
      <c r="H10" s="84">
        <f t="shared" si="0"/>
        <v>0.1238922367954625</v>
      </c>
      <c r="I10" s="84">
        <f t="shared" si="0"/>
        <v>4.6049519003311813E-2</v>
      </c>
      <c r="J10" s="84">
        <f t="shared" si="0"/>
        <v>-6.1058344640434151E-2</v>
      </c>
      <c r="K10" s="84">
        <f t="shared" si="0"/>
        <v>1.8786127167630083E-2</v>
      </c>
      <c r="L10" s="84">
        <f t="shared" si="0"/>
        <v>1.2293144208037843E-2</v>
      </c>
      <c r="M10" s="84">
        <f t="shared" si="0"/>
        <v>-2.6778763817530839E-2</v>
      </c>
      <c r="N10" s="84">
        <f t="shared" si="0"/>
        <v>-1.903695408734599E-2</v>
      </c>
      <c r="O10" s="416"/>
    </row>
    <row r="11" spans="1:15" x14ac:dyDescent="0.3">
      <c r="A11" s="545" t="s">
        <v>1574</v>
      </c>
      <c r="B11" s="84"/>
      <c r="C11" s="84">
        <f>(C4-B4)/B4</f>
        <v>-7.64888070718449E-3</v>
      </c>
      <c r="D11" s="84">
        <f t="shared" si="0"/>
        <v>-4.3469405278470673E-2</v>
      </c>
      <c r="E11" s="84">
        <f t="shared" si="0"/>
        <v>6.1043380234645707E-2</v>
      </c>
      <c r="F11" s="84">
        <f t="shared" si="0"/>
        <v>-8.453530764705533E-2</v>
      </c>
      <c r="G11" s="84">
        <f t="shared" si="0"/>
        <v>-4.2480576838349833E-2</v>
      </c>
      <c r="H11" s="84">
        <f t="shared" si="0"/>
        <v>9.9290955246459797E-2</v>
      </c>
      <c r="I11" s="84">
        <f t="shared" si="0"/>
        <v>1.2238497568226564E-2</v>
      </c>
      <c r="J11" s="84">
        <f t="shared" si="0"/>
        <v>-6.4656285299338381E-2</v>
      </c>
      <c r="K11" s="84">
        <f t="shared" si="0"/>
        <v>-4.7452480666629278E-2</v>
      </c>
      <c r="L11" s="84">
        <f t="shared" si="0"/>
        <v>-1.4369416484417152E-2</v>
      </c>
      <c r="M11" s="84">
        <f t="shared" si="0"/>
        <v>7.2377714738547198E-3</v>
      </c>
      <c r="N11" s="84">
        <f t="shared" si="0"/>
        <v>-1.4325915722932094E-2</v>
      </c>
      <c r="O11" s="416"/>
    </row>
    <row r="12" spans="1:15" x14ac:dyDescent="0.3">
      <c r="A12" s="416"/>
      <c r="B12" s="416"/>
      <c r="C12" s="416"/>
      <c r="D12" s="416"/>
      <c r="E12" s="416"/>
      <c r="F12" s="416"/>
      <c r="G12" s="416"/>
      <c r="H12" s="416"/>
      <c r="I12" s="416"/>
      <c r="J12" s="416"/>
      <c r="K12" s="416"/>
      <c r="L12" s="416"/>
      <c r="M12" s="416"/>
      <c r="N12" s="416"/>
      <c r="O12" s="416"/>
    </row>
    <row r="13" spans="1:15" x14ac:dyDescent="0.3">
      <c r="A13" s="416" t="s">
        <v>1748</v>
      </c>
      <c r="B13" s="218">
        <f>STDEV(C10:N10)</f>
        <v>6.3081161482068118E-2</v>
      </c>
      <c r="C13" s="416"/>
      <c r="D13" s="416"/>
      <c r="E13" s="416"/>
      <c r="F13" s="416"/>
      <c r="G13" s="416"/>
      <c r="H13" s="416"/>
      <c r="I13" s="416"/>
      <c r="J13" s="416"/>
      <c r="K13" s="416"/>
      <c r="L13" s="416"/>
      <c r="M13" s="416"/>
      <c r="N13" s="416"/>
      <c r="O13" s="416"/>
    </row>
    <row r="14" spans="1:15" x14ac:dyDescent="0.3">
      <c r="A14" s="416" t="s">
        <v>607</v>
      </c>
      <c r="B14" s="500">
        <f>LINEST(C10:N10,C11:N11,TRUE,FALSE)</f>
        <v>1.023420566279664</v>
      </c>
      <c r="C14" s="416"/>
      <c r="D14" s="416"/>
      <c r="E14" s="416"/>
      <c r="F14" s="416"/>
      <c r="G14" s="416"/>
      <c r="H14" s="416"/>
      <c r="I14" s="416"/>
      <c r="J14" s="416"/>
      <c r="K14" s="416"/>
      <c r="L14" s="416"/>
      <c r="M14" s="416"/>
      <c r="N14" s="416"/>
      <c r="O14" s="416"/>
    </row>
    <row r="15" spans="1:15" x14ac:dyDescent="0.3">
      <c r="A15" s="546" t="s">
        <v>599</v>
      </c>
      <c r="B15" s="416"/>
      <c r="C15" s="416"/>
      <c r="D15" s="416"/>
      <c r="E15" s="416"/>
      <c r="F15" s="416"/>
      <c r="G15" s="416"/>
      <c r="H15" s="416"/>
      <c r="I15" s="416"/>
      <c r="J15" s="416"/>
      <c r="K15" s="416"/>
      <c r="L15" s="416"/>
      <c r="M15" s="416"/>
      <c r="N15" s="416"/>
      <c r="O15" s="416"/>
    </row>
    <row r="16" spans="1:15" x14ac:dyDescent="0.3">
      <c r="A16" s="416"/>
      <c r="B16" s="416"/>
      <c r="C16" s="416">
        <f>(C10-AVERAGE($C10:$N10))*(C$11-AVERAGE($C$11:$N$11))</f>
        <v>-1.115934454590163E-4</v>
      </c>
      <c r="D16" s="416">
        <f t="shared" ref="D16:N17" si="1">(D10-AVERAGE($C10:$N10))*(D$11-AVERAGE($C$11:$N$11))</f>
        <v>2.2376200636537763E-3</v>
      </c>
      <c r="E16" s="416">
        <f t="shared" si="1"/>
        <v>4.8093454409373843E-3</v>
      </c>
      <c r="F16" s="416">
        <f t="shared" si="1"/>
        <v>7.2735102939314655E-3</v>
      </c>
      <c r="G16" s="416">
        <f t="shared" si="1"/>
        <v>-6.4867037232046597E-4</v>
      </c>
      <c r="H16" s="416">
        <f t="shared" si="1"/>
        <v>1.4004599473295401E-2</v>
      </c>
      <c r="I16" s="416">
        <f t="shared" si="1"/>
        <v>1.1548208453578234E-3</v>
      </c>
      <c r="J16" s="416">
        <f t="shared" si="1"/>
        <v>3.112215365139896E-3</v>
      </c>
      <c r="K16" s="416">
        <f t="shared" si="1"/>
        <v>-7.5992734809902061E-4</v>
      </c>
      <c r="L16" s="416">
        <f t="shared" si="1"/>
        <v>-4.0797376268222427E-5</v>
      </c>
      <c r="M16" s="416">
        <f t="shared" si="1"/>
        <v>-4.5897676652902232E-4</v>
      </c>
      <c r="N16" s="416">
        <f t="shared" si="1"/>
        <v>4.5434124007325485E-5</v>
      </c>
      <c r="O16" s="416"/>
    </row>
    <row r="17" spans="1:15" x14ac:dyDescent="0.3">
      <c r="A17" s="416"/>
      <c r="B17" s="416"/>
      <c r="C17" s="416">
        <f>(C11-AVERAGE($C11:$N11))*(C$11-AVERAGE($C$11:$N$11))</f>
        <v>1.5563745388333284E-5</v>
      </c>
      <c r="D17" s="416">
        <f t="shared" si="1"/>
        <v>1.0160432460464028E-3</v>
      </c>
      <c r="E17" s="416">
        <f t="shared" si="1"/>
        <v>5.2761849411271482E-3</v>
      </c>
      <c r="F17" s="416">
        <f t="shared" si="1"/>
        <v>5.3204384445030856E-3</v>
      </c>
      <c r="G17" s="416">
        <f t="shared" si="1"/>
        <v>9.5398235781651527E-4</v>
      </c>
      <c r="H17" s="416">
        <f t="shared" si="1"/>
        <v>1.2295467092692379E-2</v>
      </c>
      <c r="I17" s="416">
        <f t="shared" si="1"/>
        <v>5.6798660620182304E-4</v>
      </c>
      <c r="J17" s="416">
        <f t="shared" si="1"/>
        <v>2.8156090916053689E-3</v>
      </c>
      <c r="K17" s="416">
        <f t="shared" si="1"/>
        <v>1.2858326430704426E-3</v>
      </c>
      <c r="L17" s="416">
        <f t="shared" si="1"/>
        <v>7.7030920300220501E-6</v>
      </c>
      <c r="M17" s="416">
        <f t="shared" si="1"/>
        <v>3.5463456264544092E-4</v>
      </c>
      <c r="N17" s="416">
        <f t="shared" si="1"/>
        <v>7.4635164500871774E-6</v>
      </c>
      <c r="O17" s="416"/>
    </row>
    <row r="18" spans="1:15" x14ac:dyDescent="0.3">
      <c r="A18" s="416" t="s">
        <v>607</v>
      </c>
      <c r="B18" s="500">
        <f>SUM(C16:N16)/SUM(C17:N17)</f>
        <v>1.0234205662796643</v>
      </c>
      <c r="C18" s="416"/>
      <c r="D18" s="416"/>
      <c r="E18" s="416"/>
      <c r="F18" s="416"/>
      <c r="G18" s="416"/>
      <c r="H18" s="416"/>
      <c r="I18" s="416"/>
      <c r="J18" s="416"/>
      <c r="K18" s="416"/>
      <c r="L18" s="416"/>
      <c r="M18" s="416"/>
      <c r="N18" s="416"/>
      <c r="O18" s="416"/>
    </row>
    <row r="19" spans="1:15" x14ac:dyDescent="0.3">
      <c r="A19" s="416"/>
      <c r="B19" s="416"/>
      <c r="C19" s="416"/>
      <c r="D19" s="416"/>
      <c r="E19" s="416"/>
      <c r="F19" s="416"/>
      <c r="G19" s="416"/>
      <c r="H19" s="416"/>
      <c r="I19" s="416"/>
      <c r="J19" s="416"/>
      <c r="K19" s="416"/>
      <c r="L19" s="416"/>
      <c r="M19" s="416"/>
      <c r="N19" s="416"/>
      <c r="O19" s="416"/>
    </row>
    <row r="20" spans="1:15" x14ac:dyDescent="0.3">
      <c r="A20" s="416" t="s">
        <v>1575</v>
      </c>
      <c r="B20" s="218">
        <f>STDEV(B11:N11)</f>
        <v>5.2150925503490743E-2</v>
      </c>
      <c r="C20" s="416"/>
      <c r="D20" s="416"/>
      <c r="E20" s="416"/>
      <c r="F20" s="416"/>
      <c r="G20" s="416"/>
      <c r="H20" s="416"/>
      <c r="I20" s="416"/>
      <c r="J20" s="416"/>
      <c r="K20" s="416"/>
      <c r="L20" s="416"/>
      <c r="M20" s="416"/>
      <c r="N20" s="416"/>
      <c r="O20" s="416"/>
    </row>
    <row r="21" spans="1:15" x14ac:dyDescent="0.3">
      <c r="A21" s="416"/>
      <c r="B21" s="84"/>
      <c r="C21" s="416"/>
      <c r="D21" s="416"/>
      <c r="E21" s="416"/>
      <c r="F21" s="416"/>
      <c r="G21" s="416"/>
      <c r="H21" s="416"/>
      <c r="I21" s="416"/>
      <c r="J21" s="416"/>
      <c r="K21" s="416"/>
      <c r="L21" s="416"/>
      <c r="M21" s="416"/>
      <c r="N21" s="416"/>
      <c r="O21" s="416"/>
    </row>
    <row r="22" spans="1:15" x14ac:dyDescent="0.3">
      <c r="A22" s="416" t="s">
        <v>1749</v>
      </c>
      <c r="B22" s="84">
        <f>B18*B20</f>
        <v>5.3372329710791082E-2</v>
      </c>
      <c r="C22" s="416"/>
      <c r="D22" s="416"/>
      <c r="E22" s="541" t="s">
        <v>458</v>
      </c>
      <c r="F22" s="416"/>
      <c r="G22" s="416"/>
      <c r="H22" s="416"/>
      <c r="I22" s="416"/>
      <c r="J22" s="416"/>
      <c r="K22" s="416"/>
      <c r="L22" s="416"/>
      <c r="M22" s="416"/>
      <c r="N22" s="416"/>
      <c r="O22" s="416"/>
    </row>
    <row r="23" spans="1:15" x14ac:dyDescent="0.3">
      <c r="A23" s="416" t="s">
        <v>1750</v>
      </c>
      <c r="B23" s="84">
        <f>SQRT(B13*B13-B22*B22)</f>
        <v>3.3624802678519354E-2</v>
      </c>
      <c r="C23" s="416"/>
      <c r="D23" s="416"/>
      <c r="E23" s="541" t="s">
        <v>458</v>
      </c>
      <c r="F23" s="416"/>
      <c r="G23" s="416"/>
      <c r="H23" s="416"/>
      <c r="I23" s="416"/>
      <c r="J23" s="416"/>
      <c r="K23" s="416"/>
      <c r="L23" s="416"/>
      <c r="M23" s="416"/>
      <c r="N23" s="416"/>
      <c r="O23" s="416"/>
    </row>
    <row r="24" spans="1:15" x14ac:dyDescent="0.3">
      <c r="A24" s="416"/>
      <c r="B24" s="416"/>
      <c r="C24" s="416"/>
      <c r="D24" s="416"/>
      <c r="E24" s="416"/>
      <c r="F24" s="416"/>
      <c r="G24" s="416"/>
      <c r="H24" s="416"/>
      <c r="I24" s="416"/>
      <c r="J24" s="416"/>
      <c r="K24" s="416"/>
      <c r="L24" s="416"/>
      <c r="M24" s="416"/>
      <c r="N24" s="416"/>
      <c r="O24" s="416"/>
    </row>
    <row r="25" spans="1:15" ht="27" x14ac:dyDescent="0.3">
      <c r="A25" s="542" t="s">
        <v>709</v>
      </c>
      <c r="B25" s="508">
        <f>B22/B13</f>
        <v>0.84608983818351324</v>
      </c>
      <c r="C25" s="416"/>
      <c r="D25" s="416"/>
      <c r="E25" s="416"/>
      <c r="F25" s="416"/>
      <c r="G25" s="416"/>
      <c r="H25" s="416"/>
      <c r="I25" s="416"/>
      <c r="J25" s="416"/>
      <c r="K25" s="416"/>
      <c r="L25" s="416"/>
      <c r="M25" s="416"/>
      <c r="N25" s="416"/>
      <c r="O25" s="416"/>
    </row>
    <row r="27" spans="1:15" x14ac:dyDescent="0.3">
      <c r="A27" s="33" t="s">
        <v>43</v>
      </c>
    </row>
    <row r="29" spans="1:15" s="1" customFormat="1" x14ac:dyDescent="0.3">
      <c r="A29" s="89" t="s">
        <v>44</v>
      </c>
      <c r="B29" s="89">
        <v>2006</v>
      </c>
      <c r="C29" s="89">
        <f t="shared" ref="C29:H29" si="2">B29+1</f>
        <v>2007</v>
      </c>
      <c r="D29" s="89">
        <f t="shared" si="2"/>
        <v>2008</v>
      </c>
      <c r="E29" s="89">
        <f t="shared" si="2"/>
        <v>2009</v>
      </c>
      <c r="F29" s="89">
        <f t="shared" si="2"/>
        <v>2010</v>
      </c>
      <c r="G29" s="89">
        <f t="shared" si="2"/>
        <v>2011</v>
      </c>
      <c r="H29" s="89">
        <f t="shared" si="2"/>
        <v>2012</v>
      </c>
      <c r="I29" s="89">
        <f>H29+1</f>
        <v>2013</v>
      </c>
      <c r="J29" s="89">
        <f>I29+1</f>
        <v>2014</v>
      </c>
      <c r="K29" s="89">
        <f>J29+1</f>
        <v>2015</v>
      </c>
      <c r="L29" s="89">
        <f>K29+1</f>
        <v>2016</v>
      </c>
    </row>
    <row r="30" spans="1:15" x14ac:dyDescent="0.3">
      <c r="A30" t="s">
        <v>1152</v>
      </c>
      <c r="B30">
        <v>155</v>
      </c>
      <c r="C30">
        <v>255</v>
      </c>
      <c r="D30">
        <v>211</v>
      </c>
      <c r="E30">
        <v>139</v>
      </c>
      <c r="F30">
        <v>94</v>
      </c>
      <c r="G30">
        <v>117</v>
      </c>
      <c r="H30">
        <v>139</v>
      </c>
      <c r="I30">
        <v>145</v>
      </c>
      <c r="J30">
        <v>179</v>
      </c>
      <c r="K30">
        <v>181</v>
      </c>
      <c r="L30">
        <v>109</v>
      </c>
    </row>
    <row r="31" spans="1:15" x14ac:dyDescent="0.3">
      <c r="A31" t="s">
        <v>1153</v>
      </c>
      <c r="B31">
        <v>61</v>
      </c>
      <c r="C31">
        <v>81</v>
      </c>
      <c r="D31">
        <v>79</v>
      </c>
      <c r="E31">
        <v>75</v>
      </c>
      <c r="F31">
        <v>71</v>
      </c>
      <c r="G31">
        <v>73</v>
      </c>
      <c r="H31">
        <v>77</v>
      </c>
      <c r="I31">
        <v>84</v>
      </c>
      <c r="J31">
        <v>95</v>
      </c>
      <c r="K31">
        <v>103</v>
      </c>
      <c r="L31">
        <v>82</v>
      </c>
    </row>
    <row r="32" spans="1:15" x14ac:dyDescent="0.3">
      <c r="A32" s="25" t="s">
        <v>1154</v>
      </c>
      <c r="B32" s="25">
        <v>299</v>
      </c>
      <c r="C32" s="25">
        <v>412</v>
      </c>
      <c r="D32" s="25">
        <v>392</v>
      </c>
      <c r="E32" s="25">
        <v>315</v>
      </c>
      <c r="F32" s="25">
        <v>206</v>
      </c>
      <c r="G32" s="25">
        <v>243</v>
      </c>
      <c r="H32" s="25">
        <v>269</v>
      </c>
      <c r="I32" s="25">
        <v>329</v>
      </c>
      <c r="J32" s="25">
        <v>396</v>
      </c>
      <c r="K32" s="25">
        <v>415</v>
      </c>
      <c r="L32" s="25">
        <v>223</v>
      </c>
    </row>
    <row r="34" spans="1:12" x14ac:dyDescent="0.3">
      <c r="A34" s="1" t="s">
        <v>46</v>
      </c>
      <c r="B34" s="1" t="s">
        <v>1751</v>
      </c>
      <c r="D34" t="s">
        <v>598</v>
      </c>
    </row>
    <row r="35" spans="1:12" x14ac:dyDescent="0.3">
      <c r="A35" t="s">
        <v>1152</v>
      </c>
      <c r="B35" s="93">
        <f>POWER(L30/B30,1/($L$29-$B$29))-1</f>
        <v>-3.4595141818162922E-2</v>
      </c>
      <c r="C35">
        <f t="shared" ref="C35:L35" si="3">(C30-B30)/B30</f>
        <v>0.64516129032258063</v>
      </c>
      <c r="D35">
        <f t="shared" si="3"/>
        <v>-0.17254901960784313</v>
      </c>
      <c r="E35">
        <f t="shared" si="3"/>
        <v>-0.34123222748815168</v>
      </c>
      <c r="F35">
        <f t="shared" si="3"/>
        <v>-0.32374100719424459</v>
      </c>
      <c r="G35">
        <f t="shared" si="3"/>
        <v>0.24468085106382978</v>
      </c>
      <c r="H35">
        <f t="shared" si="3"/>
        <v>0.18803418803418803</v>
      </c>
      <c r="I35">
        <f t="shared" si="3"/>
        <v>4.3165467625899283E-2</v>
      </c>
      <c r="J35">
        <f t="shared" si="3"/>
        <v>0.23448275862068965</v>
      </c>
      <c r="K35">
        <f t="shared" si="3"/>
        <v>1.11731843575419E-2</v>
      </c>
      <c r="L35">
        <f t="shared" si="3"/>
        <v>-0.39779005524861877</v>
      </c>
    </row>
    <row r="36" spans="1:12" x14ac:dyDescent="0.3">
      <c r="A36" t="s">
        <v>1153</v>
      </c>
      <c r="B36" s="93">
        <f>POWER(L31/B31,1/($L$29-$B$29))-1</f>
        <v>3.0026508490686998E-2</v>
      </c>
      <c r="C36">
        <f t="shared" ref="C36:L36" si="4">C31/B31-1</f>
        <v>0.32786885245901631</v>
      </c>
      <c r="D36">
        <f t="shared" si="4"/>
        <v>-2.4691358024691357E-2</v>
      </c>
      <c r="E36">
        <f t="shared" si="4"/>
        <v>-5.0632911392405111E-2</v>
      </c>
      <c r="F36">
        <f t="shared" si="4"/>
        <v>-5.3333333333333344E-2</v>
      </c>
      <c r="G36">
        <f t="shared" si="4"/>
        <v>2.8169014084507005E-2</v>
      </c>
      <c r="H36">
        <f t="shared" si="4"/>
        <v>5.4794520547945202E-2</v>
      </c>
      <c r="I36">
        <f t="shared" si="4"/>
        <v>9.0909090909090828E-2</v>
      </c>
      <c r="J36">
        <f t="shared" si="4"/>
        <v>0.13095238095238093</v>
      </c>
      <c r="K36">
        <f t="shared" si="4"/>
        <v>8.4210526315789513E-2</v>
      </c>
      <c r="L36">
        <f t="shared" si="4"/>
        <v>-0.20388349514563109</v>
      </c>
    </row>
    <row r="37" spans="1:12" x14ac:dyDescent="0.3">
      <c r="A37" s="45" t="s">
        <v>1154</v>
      </c>
      <c r="B37" s="93">
        <f>POWER(L32/B32,1/($L$29-$B$29))-1</f>
        <v>-2.8901311771897586E-2</v>
      </c>
      <c r="C37">
        <f t="shared" ref="C37:L37" si="5">C32/B32-1</f>
        <v>0.37792642140468224</v>
      </c>
      <c r="D37">
        <f t="shared" si="5"/>
        <v>-4.8543689320388328E-2</v>
      </c>
      <c r="E37">
        <f t="shared" si="5"/>
        <v>-0.1964285714285714</v>
      </c>
      <c r="F37">
        <f t="shared" si="5"/>
        <v>-0.34603174603174602</v>
      </c>
      <c r="G37">
        <f t="shared" si="5"/>
        <v>0.17961165048543681</v>
      </c>
      <c r="H37">
        <f t="shared" si="5"/>
        <v>0.10699588477366251</v>
      </c>
      <c r="I37">
        <f t="shared" si="5"/>
        <v>0.22304832713754652</v>
      </c>
      <c r="J37">
        <f t="shared" si="5"/>
        <v>0.20364741641337392</v>
      </c>
      <c r="K37">
        <f t="shared" si="5"/>
        <v>4.7979797979798011E-2</v>
      </c>
      <c r="L37">
        <f t="shared" si="5"/>
        <v>-0.46265060240963851</v>
      </c>
    </row>
    <row r="38" spans="1:12" x14ac:dyDescent="0.3">
      <c r="B38" s="68"/>
    </row>
    <row r="39" spans="1:12" x14ac:dyDescent="0.3">
      <c r="A39" s="1" t="s">
        <v>45</v>
      </c>
      <c r="B39" s="68"/>
    </row>
    <row r="40" spans="1:12" x14ac:dyDescent="0.3">
      <c r="A40" t="s">
        <v>1152</v>
      </c>
      <c r="B40" s="151">
        <f>STDEV(C35:L35)</f>
        <v>0.32930237353055475</v>
      </c>
    </row>
    <row r="41" spans="1:12" x14ac:dyDescent="0.3">
      <c r="A41" t="s">
        <v>1153</v>
      </c>
      <c r="B41" s="151">
        <f>STDEV(C36:L36)</f>
        <v>0.14008373849839756</v>
      </c>
    </row>
    <row r="42" spans="1:12" x14ac:dyDescent="0.3">
      <c r="A42" s="45" t="s">
        <v>1154</v>
      </c>
      <c r="B42" s="151">
        <f>STDEV(C37:L37)</f>
        <v>0.26957868167528587</v>
      </c>
    </row>
    <row r="43" spans="1:12" x14ac:dyDescent="0.3">
      <c r="B43" s="331"/>
    </row>
  </sheetData>
  <phoneticPr fontId="4" type="noConversion"/>
  <pageMargins left="0.78740157480314965" right="0.78740157480314965" top="0.98425196850393704" bottom="0.98425196850393704" header="0.51181102362204722" footer="0.51181102362204722"/>
  <pageSetup paperSize="9" scale="84" fitToHeight="4" orientation="landscape"/>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L74"/>
  <sheetViews>
    <sheetView showGridLines="0" workbookViewId="0"/>
  </sheetViews>
  <sheetFormatPr baseColWidth="10" defaultRowHeight="13.5" x14ac:dyDescent="0.3"/>
  <cols>
    <col min="1" max="1" width="26.3828125" customWidth="1"/>
  </cols>
  <sheetData>
    <row r="1" spans="1:2" x14ac:dyDescent="0.3">
      <c r="A1" s="12" t="s">
        <v>1418</v>
      </c>
    </row>
    <row r="2" spans="1:2" x14ac:dyDescent="0.3">
      <c r="A2" t="s">
        <v>600</v>
      </c>
      <c r="B2" s="86">
        <v>0.1</v>
      </c>
    </row>
    <row r="3" spans="1:2" x14ac:dyDescent="0.3">
      <c r="A3" t="s">
        <v>601</v>
      </c>
      <c r="B3" s="86">
        <v>0.18</v>
      </c>
    </row>
    <row r="6" spans="1:2" x14ac:dyDescent="0.3">
      <c r="A6" s="1" t="s">
        <v>1612</v>
      </c>
    </row>
    <row r="7" spans="1:2" x14ac:dyDescent="0.3">
      <c r="A7" s="3" t="s">
        <v>608</v>
      </c>
      <c r="B7" s="86">
        <f>4/18</f>
        <v>0.22222222222222221</v>
      </c>
    </row>
    <row r="9" spans="1:2" x14ac:dyDescent="0.3">
      <c r="A9" t="s">
        <v>601</v>
      </c>
      <c r="B9" s="86">
        <f>(1-B7)*B3</f>
        <v>0.13999999999999999</v>
      </c>
    </row>
    <row r="10" spans="1:2" x14ac:dyDescent="0.3">
      <c r="B10" s="86"/>
    </row>
    <row r="12" spans="1:2" x14ac:dyDescent="0.3">
      <c r="A12" s="1" t="s">
        <v>1613</v>
      </c>
    </row>
    <row r="13" spans="1:2" x14ac:dyDescent="0.3">
      <c r="A13" s="3" t="s">
        <v>609</v>
      </c>
      <c r="B13" s="86">
        <f>5/18</f>
        <v>0.27777777777777779</v>
      </c>
    </row>
    <row r="15" spans="1:2" x14ac:dyDescent="0.3">
      <c r="A15" t="s">
        <v>601</v>
      </c>
      <c r="B15" s="37">
        <f>B3*(1+B13)</f>
        <v>0.22999999999999998</v>
      </c>
    </row>
    <row r="17" spans="1:12" x14ac:dyDescent="0.3">
      <c r="A17" s="33" t="s">
        <v>1420</v>
      </c>
    </row>
    <row r="18" spans="1:12" x14ac:dyDescent="0.3">
      <c r="A18" t="s">
        <v>1752</v>
      </c>
      <c r="B18" s="69">
        <v>0.13</v>
      </c>
    </row>
    <row r="19" spans="1:12" x14ac:dyDescent="0.3">
      <c r="A19" t="s">
        <v>47</v>
      </c>
      <c r="B19" s="69">
        <v>0.17</v>
      </c>
    </row>
    <row r="20" spans="1:12" x14ac:dyDescent="0.3">
      <c r="A20" t="s">
        <v>48</v>
      </c>
      <c r="B20" s="69">
        <v>0.06</v>
      </c>
    </row>
    <row r="21" spans="1:12" x14ac:dyDescent="0.3">
      <c r="A21" t="s">
        <v>49</v>
      </c>
      <c r="B21" s="69">
        <v>0.1</v>
      </c>
    </row>
    <row r="22" spans="1:12" x14ac:dyDescent="0.3">
      <c r="A22" t="s">
        <v>1753</v>
      </c>
      <c r="B22" s="108">
        <v>0.3</v>
      </c>
    </row>
    <row r="24" spans="1:12" x14ac:dyDescent="0.3">
      <c r="A24" t="s">
        <v>1754</v>
      </c>
      <c r="B24" s="69">
        <v>0</v>
      </c>
      <c r="C24" s="69">
        <v>0.1</v>
      </c>
      <c r="D24" s="332">
        <f>B30</f>
        <v>0.1707317073170731</v>
      </c>
      <c r="E24" s="69">
        <v>0.3</v>
      </c>
      <c r="F24" s="69">
        <v>0.4</v>
      </c>
      <c r="G24" s="69">
        <v>0.5</v>
      </c>
      <c r="H24" s="69">
        <v>0.6</v>
      </c>
      <c r="I24" s="69">
        <v>0.7</v>
      </c>
      <c r="J24" s="69">
        <v>0.8</v>
      </c>
      <c r="K24" s="69">
        <v>0.9</v>
      </c>
      <c r="L24" s="69">
        <v>1</v>
      </c>
    </row>
    <row r="25" spans="1:12" x14ac:dyDescent="0.3">
      <c r="A25" t="s">
        <v>50</v>
      </c>
      <c r="B25" s="69">
        <f>1-B24</f>
        <v>1</v>
      </c>
      <c r="C25" s="69">
        <f t="shared" ref="C25:L25" si="0">1-C24</f>
        <v>0.9</v>
      </c>
      <c r="D25" s="332">
        <f t="shared" si="0"/>
        <v>0.8292682926829269</v>
      </c>
      <c r="E25" s="69">
        <f t="shared" si="0"/>
        <v>0.7</v>
      </c>
      <c r="F25" s="69">
        <f t="shared" si="0"/>
        <v>0.6</v>
      </c>
      <c r="G25" s="69">
        <f t="shared" si="0"/>
        <v>0.5</v>
      </c>
      <c r="H25" s="69">
        <f t="shared" si="0"/>
        <v>0.4</v>
      </c>
      <c r="I25" s="69">
        <f t="shared" si="0"/>
        <v>0.30000000000000004</v>
      </c>
      <c r="J25" s="69">
        <f t="shared" si="0"/>
        <v>0.19999999999999996</v>
      </c>
      <c r="K25" s="69">
        <f t="shared" si="0"/>
        <v>9.9999999999999978E-2</v>
      </c>
      <c r="L25" s="69">
        <f t="shared" si="0"/>
        <v>0</v>
      </c>
    </row>
    <row r="26" spans="1:12" x14ac:dyDescent="0.3">
      <c r="A26" t="s">
        <v>1755</v>
      </c>
      <c r="B26" s="84">
        <f>SQRT(B25*B25*$B21*$B21+B24*B24*$B19*$B19+2*B24*B25*$B22*$B21*$B19)</f>
        <v>0.1</v>
      </c>
      <c r="C26" s="84">
        <f t="shared" ref="C26:L26" si="1">SQRT(C25*C25*$B21*$B21+C24*C24*$B19*$B19+2*C24*C25*$B22*$B21*$B19)</f>
        <v>9.6472794092427955E-2</v>
      </c>
      <c r="D26" s="299">
        <f t="shared" si="1"/>
        <v>9.57257260831504E-2</v>
      </c>
      <c r="E26" s="84">
        <f t="shared" si="1"/>
        <v>9.8198777996470005E-2</v>
      </c>
      <c r="F26" s="84">
        <f t="shared" si="1"/>
        <v>0.10330537256115968</v>
      </c>
      <c r="G26" s="84">
        <f t="shared" si="1"/>
        <v>0.1107925990308017</v>
      </c>
      <c r="H26" s="84">
        <f t="shared" si="1"/>
        <v>0.12021647141718976</v>
      </c>
      <c r="I26" s="84">
        <f t="shared" si="1"/>
        <v>0.13116020738013492</v>
      </c>
      <c r="J26" s="84">
        <f t="shared" si="1"/>
        <v>0.14327595750857858</v>
      </c>
      <c r="K26" s="84">
        <f t="shared" si="1"/>
        <v>0.15629139451678076</v>
      </c>
      <c r="L26" s="84">
        <f t="shared" si="1"/>
        <v>0.17</v>
      </c>
    </row>
    <row r="27" spans="1:12" x14ac:dyDescent="0.3">
      <c r="A27" t="s">
        <v>1756</v>
      </c>
      <c r="B27" s="84">
        <f>B25*$B20+B24*$B18</f>
        <v>0.06</v>
      </c>
      <c r="C27" s="84">
        <f t="shared" ref="C27:L27" si="2">C25*$B20+C24*$B18</f>
        <v>6.7000000000000004E-2</v>
      </c>
      <c r="D27" s="299">
        <f t="shared" si="2"/>
        <v>7.1951219512195116E-2</v>
      </c>
      <c r="E27" s="84">
        <f t="shared" si="2"/>
        <v>8.0999999999999989E-2</v>
      </c>
      <c r="F27" s="84">
        <f t="shared" si="2"/>
        <v>8.7999999999999995E-2</v>
      </c>
      <c r="G27" s="84">
        <f t="shared" si="2"/>
        <v>9.5000000000000001E-2</v>
      </c>
      <c r="H27" s="84">
        <f t="shared" si="2"/>
        <v>0.10200000000000001</v>
      </c>
      <c r="I27" s="84">
        <f t="shared" si="2"/>
        <v>0.109</v>
      </c>
      <c r="J27" s="84">
        <f t="shared" si="2"/>
        <v>0.11600000000000001</v>
      </c>
      <c r="K27" s="84">
        <f t="shared" si="2"/>
        <v>0.123</v>
      </c>
      <c r="L27" s="84">
        <f t="shared" si="2"/>
        <v>0.13</v>
      </c>
    </row>
    <row r="29" spans="1:12" x14ac:dyDescent="0.3">
      <c r="A29" t="s">
        <v>51</v>
      </c>
      <c r="B29" s="69">
        <f>(B19*B19-B22*B21*B19)/(B21*B21+B19*B19-2*B22*B21*B19)</f>
        <v>0.8292682926829269</v>
      </c>
    </row>
    <row r="30" spans="1:12" x14ac:dyDescent="0.3">
      <c r="A30" t="s">
        <v>1757</v>
      </c>
      <c r="B30" s="86">
        <f>1-B29</f>
        <v>0.1707317073170731</v>
      </c>
    </row>
    <row r="45" spans="1:3" x14ac:dyDescent="0.3">
      <c r="A45" s="33" t="s">
        <v>244</v>
      </c>
    </row>
    <row r="46" spans="1:3" x14ac:dyDescent="0.3">
      <c r="A46" t="s">
        <v>602</v>
      </c>
      <c r="B46" s="4" t="s">
        <v>110</v>
      </c>
      <c r="C46" s="4" t="s">
        <v>111</v>
      </c>
    </row>
    <row r="47" spans="1:3" x14ac:dyDescent="0.3">
      <c r="A47" t="s">
        <v>603</v>
      </c>
      <c r="B47" s="37">
        <v>0.1</v>
      </c>
      <c r="C47" s="37">
        <v>0.2</v>
      </c>
    </row>
    <row r="48" spans="1:3" x14ac:dyDescent="0.3">
      <c r="A48" t="s">
        <v>604</v>
      </c>
      <c r="B48" s="37">
        <v>0.15</v>
      </c>
      <c r="C48" s="37">
        <v>0.3</v>
      </c>
    </row>
    <row r="49" spans="1:8" x14ac:dyDescent="0.3">
      <c r="B49" s="37"/>
      <c r="C49" s="37"/>
    </row>
    <row r="50" spans="1:8" x14ac:dyDescent="0.3">
      <c r="A50" t="s">
        <v>605</v>
      </c>
      <c r="B50" s="37">
        <v>0.25</v>
      </c>
    </row>
    <row r="52" spans="1:8" x14ac:dyDescent="0.3">
      <c r="A52" t="s">
        <v>606</v>
      </c>
      <c r="C52" s="4" t="s">
        <v>1671</v>
      </c>
      <c r="D52" s="4" t="s">
        <v>138</v>
      </c>
      <c r="E52" s="4" t="s">
        <v>1672</v>
      </c>
      <c r="F52" s="4" t="s">
        <v>1673</v>
      </c>
      <c r="G52" s="4" t="s">
        <v>1674</v>
      </c>
      <c r="H52" s="4" t="s">
        <v>1675</v>
      </c>
    </row>
    <row r="53" spans="1:8" x14ac:dyDescent="0.3">
      <c r="A53" t="s">
        <v>110</v>
      </c>
      <c r="B53" s="86">
        <v>2</v>
      </c>
      <c r="C53" s="86">
        <v>1</v>
      </c>
      <c r="D53" s="86">
        <f>(C48*C48-B50*B48*C48)/(B48*B48+C48*C48-2*B50*B48*C48)</f>
        <v>0.875</v>
      </c>
      <c r="E53" s="86">
        <v>0.75</v>
      </c>
      <c r="F53" s="86">
        <v>0.5</v>
      </c>
      <c r="G53" s="86">
        <v>0.25</v>
      </c>
      <c r="H53" s="86">
        <v>0</v>
      </c>
    </row>
    <row r="54" spans="1:8" x14ac:dyDescent="0.3">
      <c r="A54" t="s">
        <v>111</v>
      </c>
      <c r="B54" s="86">
        <f t="shared" ref="B54:H54" si="3">1-B53</f>
        <v>-1</v>
      </c>
      <c r="C54" s="86">
        <f t="shared" si="3"/>
        <v>0</v>
      </c>
      <c r="D54" s="86">
        <f t="shared" si="3"/>
        <v>0.125</v>
      </c>
      <c r="E54" s="86">
        <f t="shared" si="3"/>
        <v>0.25</v>
      </c>
      <c r="F54" s="86">
        <f t="shared" si="3"/>
        <v>0.5</v>
      </c>
      <c r="G54" s="86">
        <f t="shared" si="3"/>
        <v>0.75</v>
      </c>
      <c r="H54" s="86">
        <f t="shared" si="3"/>
        <v>1</v>
      </c>
    </row>
    <row r="55" spans="1:8" x14ac:dyDescent="0.3">
      <c r="A55" t="s">
        <v>604</v>
      </c>
      <c r="B55" s="84">
        <f t="shared" ref="B55:H55" si="4">SQRT(B53*B53*$B$48*$B$48+B54*B54*$C$48*$C$48+2*B53*B54*$B$50*$B$48*$C$48)</f>
        <v>0.36742346141747673</v>
      </c>
      <c r="C55" s="84">
        <f t="shared" si="4"/>
        <v>0.15</v>
      </c>
      <c r="D55" s="84">
        <f t="shared" si="4"/>
        <v>0.14523687548277814</v>
      </c>
      <c r="E55" s="84">
        <f t="shared" si="4"/>
        <v>0.15</v>
      </c>
      <c r="F55" s="84">
        <f t="shared" si="4"/>
        <v>0.18371173070873834</v>
      </c>
      <c r="G55" s="84">
        <f t="shared" si="4"/>
        <v>0.23717082451262844</v>
      </c>
      <c r="H55" s="84">
        <f t="shared" si="4"/>
        <v>0.3</v>
      </c>
    </row>
    <row r="56" spans="1:8" x14ac:dyDescent="0.3">
      <c r="A56" t="s">
        <v>603</v>
      </c>
      <c r="B56" s="83">
        <f>$B$47*B53+$C$47*B54</f>
        <v>0</v>
      </c>
      <c r="C56" s="83">
        <f t="shared" ref="C56:H56" si="5">$B$47*C53+$C$47*C54</f>
        <v>0.1</v>
      </c>
      <c r="D56" s="83">
        <f t="shared" si="5"/>
        <v>0.11250000000000002</v>
      </c>
      <c r="E56" s="83">
        <f t="shared" si="5"/>
        <v>0.125</v>
      </c>
      <c r="F56" s="83">
        <f t="shared" si="5"/>
        <v>0.15000000000000002</v>
      </c>
      <c r="G56" s="83">
        <f t="shared" si="5"/>
        <v>0.17500000000000002</v>
      </c>
      <c r="H56" s="83">
        <f t="shared" si="5"/>
        <v>0.2</v>
      </c>
    </row>
    <row r="74" spans="1:1" x14ac:dyDescent="0.3">
      <c r="A74" s="116"/>
    </row>
  </sheetData>
  <phoneticPr fontId="4" type="noConversion"/>
  <pageMargins left="0.78740157480314965" right="0.78740157480314965" top="0.98425196850393704" bottom="0.98425196850393704" header="0.51181102362204722" footer="0.51181102362204722"/>
  <pageSetup paperSize="9" scale="82" fitToHeight="5"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F55"/>
  <sheetViews>
    <sheetView showGridLines="0" workbookViewId="0">
      <selection activeCell="E1" sqref="E1"/>
    </sheetView>
  </sheetViews>
  <sheetFormatPr baseColWidth="10" defaultRowHeight="13.5" x14ac:dyDescent="0.3"/>
  <cols>
    <col min="1" max="1" width="19.3828125" bestFit="1" customWidth="1"/>
  </cols>
  <sheetData>
    <row r="1" spans="1:6" x14ac:dyDescent="0.3">
      <c r="A1" s="12" t="s">
        <v>1418</v>
      </c>
    </row>
    <row r="2" spans="1:6" x14ac:dyDescent="0.3">
      <c r="A2" t="s">
        <v>52</v>
      </c>
      <c r="B2">
        <v>0.7</v>
      </c>
    </row>
    <row r="3" spans="1:6" x14ac:dyDescent="0.3">
      <c r="A3" t="s">
        <v>53</v>
      </c>
      <c r="B3">
        <v>1.1000000000000001</v>
      </c>
    </row>
    <row r="4" spans="1:6" x14ac:dyDescent="0.3">
      <c r="A4" t="s">
        <v>54</v>
      </c>
      <c r="B4" s="86">
        <v>0.1</v>
      </c>
    </row>
    <row r="5" spans="1:6" x14ac:dyDescent="0.3">
      <c r="A5" t="s">
        <v>610</v>
      </c>
      <c r="B5" s="86">
        <v>0.05</v>
      </c>
    </row>
    <row r="7" spans="1:6" x14ac:dyDescent="0.3">
      <c r="A7" t="s">
        <v>55</v>
      </c>
      <c r="B7" s="69">
        <f>B5+B2*(B4-B5)/B3</f>
        <v>8.1818181818181818E-2</v>
      </c>
    </row>
    <row r="9" spans="1:6" x14ac:dyDescent="0.3">
      <c r="A9" s="33" t="s">
        <v>1420</v>
      </c>
    </row>
    <row r="10" spans="1:6" x14ac:dyDescent="0.3">
      <c r="A10" t="s">
        <v>610</v>
      </c>
      <c r="B10" s="83">
        <v>5.5E-2</v>
      </c>
    </row>
    <row r="11" spans="1:6" x14ac:dyDescent="0.3">
      <c r="A11" t="s">
        <v>613</v>
      </c>
      <c r="B11" s="37">
        <v>0.04</v>
      </c>
    </row>
    <row r="13" spans="1:6" x14ac:dyDescent="0.3">
      <c r="A13" s="25" t="s">
        <v>611</v>
      </c>
      <c r="B13" s="63" t="s">
        <v>139</v>
      </c>
      <c r="C13" s="25" t="s">
        <v>140</v>
      </c>
      <c r="D13" s="25" t="s">
        <v>141</v>
      </c>
      <c r="E13" s="25" t="s">
        <v>142</v>
      </c>
      <c r="F13" s="25" t="s">
        <v>1228</v>
      </c>
    </row>
    <row r="14" spans="1:6" x14ac:dyDescent="0.3">
      <c r="A14" t="s">
        <v>607</v>
      </c>
      <c r="B14" s="117">
        <v>0.34</v>
      </c>
      <c r="C14" s="108">
        <v>0.77</v>
      </c>
      <c r="D14" s="108">
        <v>0.93</v>
      </c>
      <c r="E14" s="108">
        <v>1.47</v>
      </c>
      <c r="F14" s="108">
        <v>2.1</v>
      </c>
    </row>
    <row r="15" spans="1:6" x14ac:dyDescent="0.3">
      <c r="A15" t="s">
        <v>612</v>
      </c>
      <c r="B15" s="118">
        <v>0.09</v>
      </c>
      <c r="C15" s="86">
        <v>8.2000000000000003E-2</v>
      </c>
      <c r="D15" s="86">
        <v>0.08</v>
      </c>
      <c r="E15" s="86">
        <v>0.1</v>
      </c>
      <c r="F15" s="86">
        <v>0.18</v>
      </c>
    </row>
    <row r="16" spans="1:6" x14ac:dyDescent="0.3">
      <c r="A16" t="s">
        <v>614</v>
      </c>
      <c r="B16" s="119" t="str">
        <f>IF($B10+B14*$B11&gt;B15,"sur-éval",IF($B10+B14*$B11=B15,"Ok !!","sous-éval"))</f>
        <v>sous-éval</v>
      </c>
      <c r="C16" s="105" t="str">
        <f>IF($B10+C14*$B11&gt;C15,"sur-éval",IF($B10+C14*$B11=C15,"Ok !!","sous-éval"))</f>
        <v>sur-éval</v>
      </c>
      <c r="D16" s="105" t="str">
        <f>IF($B10+D14*$B11&gt;D15,"sur-éval",IF($B10+D14*$B11=D15,"Ok !!","sous-éval"))</f>
        <v>sur-éval</v>
      </c>
      <c r="E16" s="105" t="str">
        <f>IF($B10+E14*$B11&gt;E15,"sur-éval",IF($B10+E14*$B11=E15,"Ok !!","sous-éval"))</f>
        <v>sur-éval</v>
      </c>
      <c r="F16" s="105" t="str">
        <f>IF($B10+F14*$B11&gt;F15,"sur-éval",IF($B10+F14*$B11=F15,"Ok !!","sous-éval"))</f>
        <v>sous-éval</v>
      </c>
    </row>
    <row r="18" spans="1:3" x14ac:dyDescent="0.3">
      <c r="A18" s="33" t="s">
        <v>244</v>
      </c>
    </row>
    <row r="19" spans="1:3" x14ac:dyDescent="0.3">
      <c r="A19" t="s">
        <v>56</v>
      </c>
      <c r="B19" s="77">
        <v>40</v>
      </c>
      <c r="C19" t="s">
        <v>615</v>
      </c>
    </row>
    <row r="20" spans="1:3" x14ac:dyDescent="0.3">
      <c r="A20" t="s">
        <v>616</v>
      </c>
      <c r="B20">
        <v>2.7</v>
      </c>
    </row>
    <row r="21" spans="1:3" x14ac:dyDescent="0.3">
      <c r="A21" t="s">
        <v>624</v>
      </c>
      <c r="B21" s="37">
        <v>0.09</v>
      </c>
    </row>
    <row r="22" spans="1:3" x14ac:dyDescent="0.3">
      <c r="A22" t="s">
        <v>610</v>
      </c>
      <c r="B22" s="37">
        <v>0.05</v>
      </c>
    </row>
    <row r="24" spans="1:3" x14ac:dyDescent="0.3">
      <c r="A24" t="s">
        <v>618</v>
      </c>
      <c r="B24" s="37">
        <f>B22+(B21-B22)*B20</f>
        <v>0.15799999999999997</v>
      </c>
    </row>
    <row r="25" spans="1:3" x14ac:dyDescent="0.3">
      <c r="A25" s="1" t="s">
        <v>617</v>
      </c>
      <c r="B25" s="141">
        <f>B19/(1+B24)</f>
        <v>34.542314335060453</v>
      </c>
      <c r="C25" s="1" t="s">
        <v>615</v>
      </c>
    </row>
    <row r="27" spans="1:3" x14ac:dyDescent="0.3">
      <c r="A27" s="33" t="s">
        <v>208</v>
      </c>
    </row>
    <row r="28" spans="1:3" x14ac:dyDescent="0.3">
      <c r="A28" t="s">
        <v>607</v>
      </c>
      <c r="B28">
        <v>1.2</v>
      </c>
    </row>
    <row r="29" spans="1:3" x14ac:dyDescent="0.3">
      <c r="A29" t="s">
        <v>610</v>
      </c>
      <c r="B29" s="83">
        <v>5.6000000000000001E-2</v>
      </c>
    </row>
    <row r="30" spans="1:3" x14ac:dyDescent="0.3">
      <c r="A30" t="s">
        <v>613</v>
      </c>
      <c r="B30" s="37">
        <v>0.03</v>
      </c>
    </row>
    <row r="32" spans="1:3" x14ac:dyDescent="0.3">
      <c r="A32" t="s">
        <v>619</v>
      </c>
      <c r="B32">
        <v>-0.4</v>
      </c>
      <c r="C32">
        <v>0</v>
      </c>
    </row>
    <row r="33" spans="1:6" x14ac:dyDescent="0.3">
      <c r="A33" t="s">
        <v>620</v>
      </c>
      <c r="B33" s="83">
        <f>$B29+B32*2%+B38*5%</f>
        <v>9.1999999999999998E-2</v>
      </c>
      <c r="C33" s="83">
        <f>$B29+C32*2%+C38*5%</f>
        <v>9.1999999999999998E-2</v>
      </c>
    </row>
    <row r="35" spans="1:6" x14ac:dyDescent="0.3">
      <c r="A35" t="s">
        <v>623</v>
      </c>
      <c r="B35" s="83">
        <f>$B29+$B30*$B28</f>
        <v>9.1999999999999998E-2</v>
      </c>
      <c r="C35" s="83">
        <f>$B29+$B30*$B28</f>
        <v>9.1999999999999998E-2</v>
      </c>
    </row>
    <row r="36" spans="1:6" x14ac:dyDescent="0.3">
      <c r="A36" t="s">
        <v>622</v>
      </c>
      <c r="B36" s="83">
        <f>B33-B35</f>
        <v>0</v>
      </c>
      <c r="C36" s="83">
        <f>C33-C35</f>
        <v>0</v>
      </c>
    </row>
    <row r="38" spans="1:6" x14ac:dyDescent="0.3">
      <c r="A38" s="1" t="s">
        <v>621</v>
      </c>
      <c r="B38" s="1">
        <v>0.88</v>
      </c>
      <c r="C38" s="1">
        <v>0.72</v>
      </c>
    </row>
    <row r="42" spans="1:6" x14ac:dyDescent="0.3">
      <c r="A42" s="33" t="s">
        <v>222</v>
      </c>
    </row>
    <row r="44" spans="1:6" x14ac:dyDescent="0.3">
      <c r="A44" s="127" t="s">
        <v>143</v>
      </c>
      <c r="B44" s="127" t="s">
        <v>144</v>
      </c>
      <c r="C44" s="127" t="s">
        <v>145</v>
      </c>
      <c r="D44" s="127" t="s">
        <v>166</v>
      </c>
      <c r="E44" s="127" t="s">
        <v>1060</v>
      </c>
      <c r="F44" s="127" t="s">
        <v>167</v>
      </c>
    </row>
    <row r="45" spans="1:6" x14ac:dyDescent="0.3">
      <c r="A45" s="105">
        <v>1</v>
      </c>
      <c r="B45" s="105">
        <v>1</v>
      </c>
      <c r="C45" s="250">
        <v>7.0000000000000007E-2</v>
      </c>
      <c r="D45" s="251">
        <v>8.0813384828465978E-2</v>
      </c>
      <c r="E45" s="252">
        <f>100*C45*((1-1/POWER((1+D45),B45))/D45)+100/POWER((1+D45),B45)</f>
        <v>98.999514164030998</v>
      </c>
      <c r="F45" s="251">
        <f>D45</f>
        <v>8.0813384828465978E-2</v>
      </c>
    </row>
    <row r="46" spans="1:6" x14ac:dyDescent="0.3">
      <c r="A46" s="105">
        <v>2</v>
      </c>
      <c r="B46" s="105">
        <v>2</v>
      </c>
      <c r="C46" s="250">
        <v>0.09</v>
      </c>
      <c r="D46" s="251">
        <v>9.5728902878471578E-2</v>
      </c>
      <c r="E46" s="252">
        <f>100*C46*((1-1/POWER((1+D46),B46))/D46)+100/POWER((1+D46),B46)</f>
        <v>98.999999245543947</v>
      </c>
      <c r="F46" s="307">
        <f>(SQRT((100+C46*100)/(E46-(100*C46/(1+F45))))-1)</f>
        <v>9.6413581536787474E-2</v>
      </c>
    </row>
    <row r="47" spans="1:6" x14ac:dyDescent="0.3">
      <c r="A47" s="105">
        <v>3</v>
      </c>
      <c r="B47" s="105">
        <v>3</v>
      </c>
      <c r="C47" s="250">
        <v>0.08</v>
      </c>
      <c r="D47" s="251">
        <v>0.10011081197224735</v>
      </c>
      <c r="E47" s="252">
        <f>100*C47*((1-1/POWER((1+D47),B47))/D47)+100/POWER((1+D47),B47)</f>
        <v>94.999714230930252</v>
      </c>
      <c r="F47" s="251">
        <f>POWER((100*C47+100)/(E47-(100*C47/(1+F45))-(100*C47/(1+F46)/(1+F46))),1/3)-1</f>
        <v>0.10090077218810833</v>
      </c>
    </row>
    <row r="48" spans="1:6" x14ac:dyDescent="0.3">
      <c r="A48" s="105">
        <v>4</v>
      </c>
      <c r="B48" s="105">
        <v>4</v>
      </c>
      <c r="C48" s="250">
        <v>7.0000000000000007E-2</v>
      </c>
      <c r="D48" s="251">
        <v>0.10508453890480668</v>
      </c>
      <c r="E48" s="252">
        <f>100*C48*((1-1/POWER((1+D48),B48))/D48)+100/POWER((1+D48),B48)</f>
        <v>88.999984858012269</v>
      </c>
      <c r="F48" s="251">
        <f>POWER((100*C48+100)/(E48-(100*C48/(1+F45))-(100*C48/(1+F46)/(1+F46))-100*C48/(1+F47)/(1+F47)/(1+F47)),1/4)-1</f>
        <v>0.1062142318701591</v>
      </c>
    </row>
    <row r="49" spans="1:6" x14ac:dyDescent="0.3">
      <c r="A49" s="105">
        <v>5</v>
      </c>
      <c r="B49" s="105">
        <v>5</v>
      </c>
      <c r="C49" s="250">
        <v>0.1</v>
      </c>
      <c r="D49" s="251">
        <v>0.10807789243563648</v>
      </c>
      <c r="E49" s="252">
        <f>100*C49*((1-1/POWER((1+D49),B49))/D49)+100/POWER((1+D49),B49)</f>
        <v>97.000002346964536</v>
      </c>
      <c r="F49" s="251">
        <f>POWER((100*C49+100)/(E49-(100*C49/(1+F45))-(100*C49/(1+F46)/(1+F46))-100*C49/(1+F47)/(1+F47)/(1+F47)-100*C49/(1+F48)/(1+F48)/(1+F48)/(1+F48)),1/5)-1</f>
        <v>0.11007898885350897</v>
      </c>
    </row>
    <row r="51" spans="1:6" x14ac:dyDescent="0.3">
      <c r="A51" t="s">
        <v>282</v>
      </c>
    </row>
    <row r="53" spans="1:6" x14ac:dyDescent="0.3">
      <c r="A53" t="s">
        <v>281</v>
      </c>
    </row>
    <row r="55" spans="1:6" x14ac:dyDescent="0.3">
      <c r="A55" t="s">
        <v>283</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showGridLines="0" workbookViewId="0"/>
  </sheetViews>
  <sheetFormatPr baseColWidth="10" defaultRowHeight="13.5" x14ac:dyDescent="0.3"/>
  <cols>
    <col min="1" max="1" width="25" customWidth="1"/>
    <col min="2" max="2" width="11.765625" bestFit="1" customWidth="1"/>
  </cols>
  <sheetData>
    <row r="1" spans="1:9" x14ac:dyDescent="0.3">
      <c r="A1" s="33" t="s">
        <v>673</v>
      </c>
    </row>
    <row r="2" spans="1:9" x14ac:dyDescent="0.3">
      <c r="A2" s="33"/>
    </row>
    <row r="3" spans="1:9" x14ac:dyDescent="0.3">
      <c r="A3" t="s">
        <v>633</v>
      </c>
      <c r="B3">
        <v>125</v>
      </c>
      <c r="C3" t="s">
        <v>634</v>
      </c>
    </row>
    <row r="4" spans="1:9" x14ac:dyDescent="0.3">
      <c r="A4" t="s">
        <v>635</v>
      </c>
      <c r="B4" s="131">
        <v>0.99731000000000003</v>
      </c>
    </row>
    <row r="5" spans="1:9" x14ac:dyDescent="0.3">
      <c r="A5" t="s">
        <v>636</v>
      </c>
      <c r="B5" s="132">
        <v>42420</v>
      </c>
    </row>
    <row r="6" spans="1:9" x14ac:dyDescent="0.3">
      <c r="A6" t="s">
        <v>637</v>
      </c>
      <c r="B6" s="132">
        <v>42420</v>
      </c>
    </row>
    <row r="7" spans="1:9" x14ac:dyDescent="0.3">
      <c r="A7" t="s">
        <v>482</v>
      </c>
      <c r="B7">
        <v>7</v>
      </c>
      <c r="C7" t="s">
        <v>638</v>
      </c>
    </row>
    <row r="8" spans="1:9" x14ac:dyDescent="0.3">
      <c r="A8" t="s">
        <v>639</v>
      </c>
      <c r="B8" s="86">
        <v>5.5E-2</v>
      </c>
    </row>
    <row r="10" spans="1:9" x14ac:dyDescent="0.3">
      <c r="A10" t="s">
        <v>640</v>
      </c>
    </row>
    <row r="11" spans="1:9" x14ac:dyDescent="0.3">
      <c r="A11" t="s">
        <v>524</v>
      </c>
      <c r="B11">
        <v>0</v>
      </c>
      <c r="C11">
        <v>1</v>
      </c>
      <c r="D11">
        <v>2</v>
      </c>
      <c r="E11">
        <v>3</v>
      </c>
      <c r="F11">
        <v>4</v>
      </c>
      <c r="G11">
        <v>5</v>
      </c>
      <c r="H11">
        <v>6</v>
      </c>
      <c r="I11">
        <v>7</v>
      </c>
    </row>
    <row r="12" spans="1:9" x14ac:dyDescent="0.3">
      <c r="A12" t="s">
        <v>518</v>
      </c>
      <c r="B12" s="131">
        <f>-B4</f>
        <v>-0.99731000000000003</v>
      </c>
      <c r="C12" s="131">
        <f t="shared" ref="C12:H12" si="0">$B8</f>
        <v>5.5E-2</v>
      </c>
      <c r="D12" s="131">
        <f t="shared" si="0"/>
        <v>5.5E-2</v>
      </c>
      <c r="E12" s="131">
        <f t="shared" si="0"/>
        <v>5.5E-2</v>
      </c>
      <c r="F12" s="131">
        <f t="shared" si="0"/>
        <v>5.5E-2</v>
      </c>
      <c r="G12" s="131">
        <f t="shared" si="0"/>
        <v>5.5E-2</v>
      </c>
      <c r="H12" s="131">
        <f t="shared" si="0"/>
        <v>5.5E-2</v>
      </c>
      <c r="I12" s="131">
        <f>1+H12</f>
        <v>1.0549999999999999</v>
      </c>
    </row>
    <row r="13" spans="1:9" x14ac:dyDescent="0.3">
      <c r="A13" t="s">
        <v>641</v>
      </c>
      <c r="B13" s="134">
        <f t="shared" ref="B13:I13" si="1">B12/POWER(1+$B14,B11)</f>
        <v>-0.99731000000000003</v>
      </c>
      <c r="C13" s="134">
        <f t="shared" si="1"/>
        <v>5.2109486768927592E-2</v>
      </c>
      <c r="D13" s="134">
        <f t="shared" si="1"/>
        <v>4.9370883842200723E-2</v>
      </c>
      <c r="E13" s="134">
        <f t="shared" si="1"/>
        <v>4.6776207606280353E-2</v>
      </c>
      <c r="F13" s="134">
        <f t="shared" si="1"/>
        <v>4.4317894024728667E-2</v>
      </c>
      <c r="G13" s="134">
        <f t="shared" si="1"/>
        <v>4.1988776587424254E-2</v>
      </c>
      <c r="H13" s="134">
        <f t="shared" si="1"/>
        <v>3.9782065418651653E-2</v>
      </c>
      <c r="I13" s="134">
        <f t="shared" si="1"/>
        <v>0.72298819081335564</v>
      </c>
    </row>
    <row r="14" spans="1:9" x14ac:dyDescent="0.3">
      <c r="A14" s="2" t="s">
        <v>642</v>
      </c>
      <c r="B14" s="133">
        <v>5.5469999999999998E-2</v>
      </c>
    </row>
    <row r="15" spans="1:9" x14ac:dyDescent="0.3">
      <c r="A15" s="10" t="s">
        <v>645</v>
      </c>
      <c r="B15" s="134">
        <f>SUM(C13:I13)</f>
        <v>0.99733350506156881</v>
      </c>
    </row>
    <row r="16" spans="1:9" x14ac:dyDescent="0.3">
      <c r="A16" t="s">
        <v>519</v>
      </c>
      <c r="B16" s="37">
        <f>SUM(B13:I13)</f>
        <v>2.3505061568784846E-5</v>
      </c>
    </row>
    <row r="18" spans="1:9" x14ac:dyDescent="0.3">
      <c r="B18" s="5">
        <f t="shared" ref="B18:I18" si="2">B11*B12/POWER(1+$B14,B11+1)</f>
        <v>0</v>
      </c>
      <c r="C18" s="5">
        <f t="shared" si="2"/>
        <v>4.9370883842200723E-2</v>
      </c>
      <c r="D18" s="5">
        <f t="shared" si="2"/>
        <v>9.3552415212560705E-2</v>
      </c>
      <c r="E18" s="5">
        <f t="shared" si="2"/>
        <v>0.13295368207418601</v>
      </c>
      <c r="F18" s="5">
        <f t="shared" si="2"/>
        <v>0.16795510634969701</v>
      </c>
      <c r="G18" s="5">
        <f t="shared" si="2"/>
        <v>0.19891032709325829</v>
      </c>
      <c r="H18" s="5">
        <f t="shared" si="2"/>
        <v>0.22614796489896435</v>
      </c>
      <c r="I18" s="5">
        <f t="shared" si="2"/>
        <v>4.7949419080537501</v>
      </c>
    </row>
    <row r="19" spans="1:9" x14ac:dyDescent="0.3">
      <c r="A19" s="1" t="s">
        <v>643</v>
      </c>
      <c r="B19" s="141">
        <f>SUM(B18:I18)/B15</f>
        <v>5.6789752462742831</v>
      </c>
    </row>
    <row r="20" spans="1:9" x14ac:dyDescent="0.3">
      <c r="A20" s="1"/>
      <c r="B20" s="1"/>
    </row>
    <row r="21" spans="1:9" x14ac:dyDescent="0.3">
      <c r="A21" s="1"/>
      <c r="B21" s="179">
        <f t="shared" ref="B21:I21" si="3">B11*B12/POWER(1+$B14,B11)</f>
        <v>0</v>
      </c>
      <c r="C21" s="179">
        <f t="shared" si="3"/>
        <v>5.2109486768927592E-2</v>
      </c>
      <c r="D21" s="179">
        <f t="shared" si="3"/>
        <v>9.8741767684401446E-2</v>
      </c>
      <c r="E21" s="179">
        <f t="shared" si="3"/>
        <v>0.14032862281884106</v>
      </c>
      <c r="F21" s="179">
        <f t="shared" si="3"/>
        <v>0.17727157609891467</v>
      </c>
      <c r="G21" s="179">
        <f t="shared" si="3"/>
        <v>0.2099438829371213</v>
      </c>
      <c r="H21" s="179">
        <f t="shared" si="3"/>
        <v>0.23869239251190993</v>
      </c>
      <c r="I21" s="179">
        <f t="shared" si="3"/>
        <v>5.0609173356934898</v>
      </c>
    </row>
    <row r="22" spans="1:9" x14ac:dyDescent="0.3">
      <c r="A22" s="1" t="s">
        <v>644</v>
      </c>
      <c r="B22" s="125">
        <f>SUM(B21:I21)/B15</f>
        <v>5.993988003185116</v>
      </c>
    </row>
    <row r="23" spans="1:9" x14ac:dyDescent="0.3">
      <c r="B23" s="125">
        <f>B19*(1+B14)</f>
        <v>5.9939880031851169</v>
      </c>
    </row>
    <row r="25" spans="1:9" x14ac:dyDescent="0.3">
      <c r="A25" s="116" t="s">
        <v>1758</v>
      </c>
    </row>
    <row r="26" spans="1:9" x14ac:dyDescent="0.3">
      <c r="A26" t="s">
        <v>641</v>
      </c>
      <c r="B26" s="134"/>
      <c r="C26" s="134"/>
      <c r="D26" s="134">
        <f t="shared" ref="D26:I26" si="4">D12/POWER(1+$B27,D11-1)</f>
        <v>5.2380952380952382E-2</v>
      </c>
      <c r="E26" s="134">
        <f t="shared" si="4"/>
        <v>4.9886621315192739E-2</v>
      </c>
      <c r="F26" s="134">
        <f t="shared" si="4"/>
        <v>4.7511067919231181E-2</v>
      </c>
      <c r="G26" s="134">
        <f t="shared" si="4"/>
        <v>4.5248636113553509E-2</v>
      </c>
      <c r="H26" s="134">
        <f t="shared" si="4"/>
        <v>4.3093939155765246E-2</v>
      </c>
      <c r="I26" s="134">
        <f t="shared" si="4"/>
        <v>0.78725724345164216</v>
      </c>
    </row>
    <row r="27" spans="1:9" x14ac:dyDescent="0.3">
      <c r="A27" s="10" t="s">
        <v>646</v>
      </c>
      <c r="B27" s="198">
        <v>0.05</v>
      </c>
    </row>
    <row r="28" spans="1:9" x14ac:dyDescent="0.3">
      <c r="A28" s="2" t="s">
        <v>645</v>
      </c>
      <c r="B28" s="115">
        <f>SUM(C26:I26)</f>
        <v>1.0253784603363372</v>
      </c>
    </row>
    <row r="30" spans="1:9" x14ac:dyDescent="0.3">
      <c r="C30">
        <f t="shared" ref="C30:I30" si="5">(C11-1)*C12/POWER(1+$B27,C11)</f>
        <v>0</v>
      </c>
      <c r="D30">
        <f t="shared" si="5"/>
        <v>4.9886621315192739E-2</v>
      </c>
      <c r="E30">
        <f t="shared" si="5"/>
        <v>9.5022135838462363E-2</v>
      </c>
      <c r="F30">
        <f t="shared" si="5"/>
        <v>0.13574590834066053</v>
      </c>
      <c r="G30">
        <f t="shared" si="5"/>
        <v>0.17237575662306098</v>
      </c>
      <c r="H30">
        <f t="shared" si="5"/>
        <v>0.20520923407507263</v>
      </c>
      <c r="I30">
        <f t="shared" si="5"/>
        <v>4.498612819723669</v>
      </c>
    </row>
    <row r="31" spans="1:9" x14ac:dyDescent="0.3">
      <c r="A31" s="1" t="s">
        <v>643</v>
      </c>
      <c r="B31" s="141">
        <f>SUM(B30:I30)/B28</f>
        <v>5.0292186498871887</v>
      </c>
    </row>
    <row r="33" spans="1:10" x14ac:dyDescent="0.3">
      <c r="A33" s="1"/>
      <c r="B33" s="68"/>
      <c r="C33" s="68">
        <f t="shared" ref="C33:I33" si="6">(C11-1)*C12/POWER(1+$B27,C11-1)</f>
        <v>0</v>
      </c>
      <c r="D33" s="68">
        <f t="shared" si="6"/>
        <v>5.2380952380952382E-2</v>
      </c>
      <c r="E33" s="68">
        <f t="shared" si="6"/>
        <v>9.9773242630385478E-2</v>
      </c>
      <c r="F33" s="68">
        <f t="shared" si="6"/>
        <v>0.14253320375769354</v>
      </c>
      <c r="G33" s="68">
        <f t="shared" si="6"/>
        <v>0.18099454445421403</v>
      </c>
      <c r="H33" s="68">
        <f t="shared" si="6"/>
        <v>0.21546969577882624</v>
      </c>
      <c r="I33" s="68">
        <f t="shared" si="6"/>
        <v>4.7235434607098528</v>
      </c>
    </row>
    <row r="34" spans="1:10" x14ac:dyDescent="0.3">
      <c r="A34" s="1" t="s">
        <v>644</v>
      </c>
      <c r="B34" s="141">
        <f>SUM(B33:I33)/B28</f>
        <v>5.2806795823815484</v>
      </c>
    </row>
    <row r="35" spans="1:10" x14ac:dyDescent="0.3">
      <c r="B35" s="141">
        <f>B31*(1+B27)</f>
        <v>5.2806795823815484</v>
      </c>
    </row>
    <row r="37" spans="1:10" x14ac:dyDescent="0.3">
      <c r="A37" s="33" t="s">
        <v>356</v>
      </c>
    </row>
    <row r="38" spans="1:10" x14ac:dyDescent="0.3">
      <c r="A38" t="s">
        <v>648</v>
      </c>
      <c r="B38">
        <v>10</v>
      </c>
      <c r="C38" t="s">
        <v>638</v>
      </c>
    </row>
    <row r="39" spans="1:10" x14ac:dyDescent="0.3">
      <c r="A39" t="s">
        <v>479</v>
      </c>
      <c r="B39" s="37">
        <v>0.08</v>
      </c>
    </row>
    <row r="40" spans="1:10" x14ac:dyDescent="0.3">
      <c r="B40" s="37"/>
    </row>
    <row r="41" spans="1:10" x14ac:dyDescent="0.3">
      <c r="A41" t="s">
        <v>101</v>
      </c>
      <c r="F41" s="264"/>
    </row>
    <row r="42" spans="1:10" x14ac:dyDescent="0.3">
      <c r="A42" t="s">
        <v>649</v>
      </c>
      <c r="B42" s="83">
        <v>7.9000000000000001E-2</v>
      </c>
      <c r="C42" s="83">
        <v>0.08</v>
      </c>
      <c r="D42" s="83">
        <v>8.1000000000000003E-2</v>
      </c>
      <c r="E42" s="83">
        <v>8.2000000000000003E-2</v>
      </c>
      <c r="F42" s="265">
        <v>8.3000000000000004E-2</v>
      </c>
      <c r="G42" s="83">
        <v>8.4000000000000005E-2</v>
      </c>
      <c r="H42" s="83">
        <v>8.5000000000000006E-2</v>
      </c>
      <c r="I42" s="83">
        <v>8.5999999999999993E-2</v>
      </c>
      <c r="J42" s="83">
        <v>8.6999999999999994E-2</v>
      </c>
    </row>
    <row r="43" spans="1:10" x14ac:dyDescent="0.3">
      <c r="B43" s="83"/>
      <c r="C43" s="83"/>
      <c r="D43" s="83"/>
      <c r="E43" s="83"/>
      <c r="F43" s="265"/>
      <c r="G43" s="83"/>
      <c r="H43" s="83"/>
      <c r="I43" s="83"/>
      <c r="J43" s="83"/>
    </row>
    <row r="44" spans="1:10" x14ac:dyDescent="0.3">
      <c r="A44" t="s">
        <v>650</v>
      </c>
      <c r="B44" s="83">
        <f t="shared" ref="B44:J44" si="7">$B39+1.5*(B42-8.3%)</f>
        <v>7.3999999999999996E-2</v>
      </c>
      <c r="C44" s="83">
        <f t="shared" si="7"/>
        <v>7.5499999999999998E-2</v>
      </c>
      <c r="D44" s="83">
        <f t="shared" si="7"/>
        <v>7.6999999999999999E-2</v>
      </c>
      <c r="E44" s="83">
        <f t="shared" si="7"/>
        <v>7.85E-2</v>
      </c>
      <c r="F44" s="265">
        <f t="shared" si="7"/>
        <v>0.08</v>
      </c>
      <c r="G44" s="83">
        <f t="shared" si="7"/>
        <v>8.1500000000000003E-2</v>
      </c>
      <c r="H44" s="83">
        <f t="shared" si="7"/>
        <v>8.3000000000000004E-2</v>
      </c>
      <c r="I44" s="83">
        <f t="shared" si="7"/>
        <v>8.4499999999999992E-2</v>
      </c>
      <c r="J44" s="83">
        <f t="shared" si="7"/>
        <v>8.5999999999999993E-2</v>
      </c>
    </row>
    <row r="45" spans="1:10" x14ac:dyDescent="0.3">
      <c r="A45" t="s">
        <v>288</v>
      </c>
      <c r="B45" s="267" t="s">
        <v>296</v>
      </c>
      <c r="C45" s="267" t="s">
        <v>295</v>
      </c>
      <c r="D45" s="267" t="s">
        <v>294</v>
      </c>
      <c r="E45" s="267" t="s">
        <v>290</v>
      </c>
      <c r="F45" s="264"/>
      <c r="G45" s="267" t="s">
        <v>289</v>
      </c>
      <c r="H45" s="267" t="s">
        <v>291</v>
      </c>
      <c r="I45" s="267" t="s">
        <v>292</v>
      </c>
      <c r="J45" s="267" t="s">
        <v>293</v>
      </c>
    </row>
    <row r="46" spans="1:10" x14ac:dyDescent="0.3">
      <c r="F46" s="264"/>
    </row>
    <row r="47" spans="1:10" x14ac:dyDescent="0.3">
      <c r="A47" t="s">
        <v>651</v>
      </c>
      <c r="B47" s="151">
        <f t="shared" ref="B47:J47" si="8">$B39-1.5*(B42-8.3%)</f>
        <v>8.6000000000000007E-2</v>
      </c>
      <c r="C47" s="151">
        <f t="shared" si="8"/>
        <v>8.4500000000000006E-2</v>
      </c>
      <c r="D47" s="151">
        <f t="shared" si="8"/>
        <v>8.3000000000000004E-2</v>
      </c>
      <c r="E47" s="151">
        <f t="shared" si="8"/>
        <v>8.1500000000000003E-2</v>
      </c>
      <c r="F47" s="266">
        <f t="shared" si="8"/>
        <v>0.08</v>
      </c>
      <c r="G47" s="151">
        <f t="shared" si="8"/>
        <v>7.85E-2</v>
      </c>
      <c r="H47" s="151">
        <f t="shared" si="8"/>
        <v>7.6999999999999999E-2</v>
      </c>
      <c r="I47" s="151">
        <f t="shared" si="8"/>
        <v>7.5500000000000012E-2</v>
      </c>
      <c r="J47" s="151">
        <f t="shared" si="8"/>
        <v>7.400000000000001E-2</v>
      </c>
    </row>
    <row r="48" spans="1:10" x14ac:dyDescent="0.3">
      <c r="A48" t="s">
        <v>288</v>
      </c>
      <c r="B48" s="267" t="s">
        <v>293</v>
      </c>
      <c r="C48" s="267" t="s">
        <v>292</v>
      </c>
      <c r="D48" s="267" t="s">
        <v>291</v>
      </c>
      <c r="E48" s="267" t="s">
        <v>289</v>
      </c>
      <c r="F48" s="264"/>
      <c r="G48" s="267" t="s">
        <v>290</v>
      </c>
      <c r="H48" s="267" t="s">
        <v>294</v>
      </c>
      <c r="I48" s="267" t="s">
        <v>295</v>
      </c>
      <c r="J48" s="267" t="s">
        <v>296</v>
      </c>
    </row>
    <row r="50" spans="1:6" x14ac:dyDescent="0.3">
      <c r="A50" t="s">
        <v>102</v>
      </c>
    </row>
    <row r="51" spans="1:6" x14ac:dyDescent="0.3">
      <c r="A51" t="s">
        <v>297</v>
      </c>
    </row>
    <row r="53" spans="1:6" x14ac:dyDescent="0.3">
      <c r="A53" t="s">
        <v>298</v>
      </c>
    </row>
    <row r="54" spans="1:6" x14ac:dyDescent="0.3">
      <c r="A54" t="s">
        <v>357</v>
      </c>
    </row>
    <row r="56" spans="1:6" x14ac:dyDescent="0.3">
      <c r="A56" t="s">
        <v>299</v>
      </c>
    </row>
    <row r="57" spans="1:6" x14ac:dyDescent="0.3">
      <c r="A57" t="s">
        <v>300</v>
      </c>
    </row>
    <row r="59" spans="1:6" x14ac:dyDescent="0.3">
      <c r="A59" s="33" t="s">
        <v>1234</v>
      </c>
    </row>
    <row r="60" spans="1:6" x14ac:dyDescent="0.3">
      <c r="A60" s="33"/>
    </row>
    <row r="61" spans="1:6" ht="40.5" x14ac:dyDescent="0.3">
      <c r="A61" s="137" t="s">
        <v>652</v>
      </c>
      <c r="B61" s="137" t="s">
        <v>1110</v>
      </c>
      <c r="C61" s="137" t="s">
        <v>653</v>
      </c>
      <c r="D61" s="137"/>
      <c r="E61" s="138" t="s">
        <v>654</v>
      </c>
      <c r="F61" s="138" t="s">
        <v>1230</v>
      </c>
    </row>
    <row r="62" spans="1:6" x14ac:dyDescent="0.3">
      <c r="A62" s="136">
        <v>42786</v>
      </c>
      <c r="B62" s="262">
        <v>1</v>
      </c>
      <c r="C62" s="5">
        <v>96.25</v>
      </c>
      <c r="D62" s="105" t="s">
        <v>655</v>
      </c>
      <c r="E62" s="263">
        <f t="shared" ref="E62:E68" si="9">POWER(100/C62,1/B62)-1</f>
        <v>3.8961038961038863E-2</v>
      </c>
      <c r="F62" s="139">
        <f t="shared" ref="F62:F68" si="10">E62+B$71</f>
        <v>4.4761038961038863E-2</v>
      </c>
    </row>
    <row r="63" spans="1:6" x14ac:dyDescent="0.3">
      <c r="A63" s="136">
        <f>A62+365</f>
        <v>43151</v>
      </c>
      <c r="B63" s="262">
        <f t="shared" ref="B63:B68" si="11">B62+1</f>
        <v>2</v>
      </c>
      <c r="C63" s="5">
        <v>91.92</v>
      </c>
      <c r="D63" s="105" t="s">
        <v>656</v>
      </c>
      <c r="E63" s="263">
        <f t="shared" si="9"/>
        <v>4.302565832958094E-2</v>
      </c>
      <c r="F63" s="139">
        <f t="shared" si="10"/>
        <v>4.882565832958094E-2</v>
      </c>
    </row>
    <row r="64" spans="1:6" x14ac:dyDescent="0.3">
      <c r="A64" s="136">
        <f>A63+366</f>
        <v>43517</v>
      </c>
      <c r="B64" s="262">
        <f t="shared" si="11"/>
        <v>3</v>
      </c>
      <c r="C64" s="5">
        <v>87.38</v>
      </c>
      <c r="D64" s="105" t="s">
        <v>657</v>
      </c>
      <c r="E64" s="263">
        <f t="shared" si="9"/>
        <v>4.5994304732602354E-2</v>
      </c>
      <c r="F64" s="139">
        <f t="shared" si="10"/>
        <v>5.1794304732602353E-2</v>
      </c>
    </row>
    <row r="65" spans="1:9" x14ac:dyDescent="0.3">
      <c r="A65" s="136">
        <f>A64+365</f>
        <v>43882</v>
      </c>
      <c r="B65" s="262">
        <f t="shared" si="11"/>
        <v>4</v>
      </c>
      <c r="C65" s="5">
        <v>82.9</v>
      </c>
      <c r="D65" s="105" t="s">
        <v>658</v>
      </c>
      <c r="E65" s="263">
        <f t="shared" si="9"/>
        <v>4.8000204425897364E-2</v>
      </c>
      <c r="F65" s="139">
        <f t="shared" si="10"/>
        <v>5.3800204425897363E-2</v>
      </c>
    </row>
    <row r="66" spans="1:9" x14ac:dyDescent="0.3">
      <c r="A66" s="136">
        <f>A65+365</f>
        <v>44247</v>
      </c>
      <c r="B66" s="262">
        <f t="shared" si="11"/>
        <v>5</v>
      </c>
      <c r="C66" s="5">
        <v>78.349999999999994</v>
      </c>
      <c r="D66" s="105" t="s">
        <v>659</v>
      </c>
      <c r="E66" s="263">
        <f t="shared" si="9"/>
        <v>5.0007013254590893E-2</v>
      </c>
      <c r="F66" s="139">
        <f t="shared" si="10"/>
        <v>5.5807013254590893E-2</v>
      </c>
    </row>
    <row r="67" spans="1:9" x14ac:dyDescent="0.3">
      <c r="A67" s="136">
        <f>A66+365</f>
        <v>44612</v>
      </c>
      <c r="B67" s="262">
        <f t="shared" si="11"/>
        <v>6</v>
      </c>
      <c r="C67" s="5">
        <v>74.2</v>
      </c>
      <c r="D67" s="105" t="s">
        <v>660</v>
      </c>
      <c r="E67" s="263">
        <f t="shared" si="9"/>
        <v>5.0991852057019171E-2</v>
      </c>
      <c r="F67" s="139">
        <f t="shared" si="10"/>
        <v>5.6791852057019171E-2</v>
      </c>
    </row>
    <row r="68" spans="1:9" x14ac:dyDescent="0.3">
      <c r="A68" s="136">
        <f>A67+366</f>
        <v>44978</v>
      </c>
      <c r="B68" s="262">
        <f t="shared" si="11"/>
        <v>7</v>
      </c>
      <c r="C68">
        <v>70.13</v>
      </c>
      <c r="D68" s="105" t="s">
        <v>538</v>
      </c>
      <c r="E68" s="263">
        <f t="shared" si="9"/>
        <v>5.1995149273845964E-2</v>
      </c>
      <c r="F68" s="139">
        <f t="shared" si="10"/>
        <v>5.7795149273845964E-2</v>
      </c>
    </row>
    <row r="69" spans="1:9" x14ac:dyDescent="0.3">
      <c r="A69" s="355" t="s">
        <v>1233</v>
      </c>
      <c r="B69" s="262"/>
      <c r="D69" s="105"/>
      <c r="E69" s="354"/>
      <c r="F69" s="157"/>
    </row>
    <row r="71" spans="1:9" x14ac:dyDescent="0.3">
      <c r="A71" s="353" t="s">
        <v>1229</v>
      </c>
      <c r="B71" s="83">
        <v>5.7999999999999996E-3</v>
      </c>
    </row>
    <row r="72" spans="1:9" x14ac:dyDescent="0.3">
      <c r="B72" s="83"/>
    </row>
    <row r="73" spans="1:9" x14ac:dyDescent="0.3">
      <c r="A73" t="s">
        <v>524</v>
      </c>
      <c r="B73">
        <f t="shared" ref="B73:I73" si="12">B11</f>
        <v>0</v>
      </c>
      <c r="C73">
        <f t="shared" si="12"/>
        <v>1</v>
      </c>
      <c r="D73">
        <f t="shared" si="12"/>
        <v>2</v>
      </c>
      <c r="E73">
        <f t="shared" si="12"/>
        <v>3</v>
      </c>
      <c r="F73">
        <f t="shared" si="12"/>
        <v>4</v>
      </c>
      <c r="G73">
        <f t="shared" si="12"/>
        <v>5</v>
      </c>
      <c r="H73">
        <f t="shared" si="12"/>
        <v>6</v>
      </c>
      <c r="I73">
        <f t="shared" si="12"/>
        <v>7</v>
      </c>
    </row>
    <row r="74" spans="1:9" x14ac:dyDescent="0.3">
      <c r="A74" t="s">
        <v>1231</v>
      </c>
      <c r="B74" s="131"/>
      <c r="C74" s="131">
        <f t="shared" ref="C74:I74" si="13">C12</f>
        <v>5.5E-2</v>
      </c>
      <c r="D74" s="131">
        <f t="shared" si="13"/>
        <v>5.5E-2</v>
      </c>
      <c r="E74" s="131">
        <f t="shared" si="13"/>
        <v>5.5E-2</v>
      </c>
      <c r="F74" s="131">
        <f t="shared" si="13"/>
        <v>5.5E-2</v>
      </c>
      <c r="G74" s="131">
        <f t="shared" si="13"/>
        <v>5.5E-2</v>
      </c>
      <c r="H74" s="131">
        <f t="shared" si="13"/>
        <v>5.5E-2</v>
      </c>
      <c r="I74" s="131">
        <f t="shared" si="13"/>
        <v>1.0549999999999999</v>
      </c>
    </row>
    <row r="75" spans="1:9" x14ac:dyDescent="0.3">
      <c r="A75" t="s">
        <v>641</v>
      </c>
      <c r="B75" s="131"/>
      <c r="C75" s="131">
        <f t="shared" ref="C75:I75" si="14">C74/POWER(1+VLOOKUP(C73,$B62:$E68,4,FALSE)+$B$71,C73)</f>
        <v>5.2643617008052548E-2</v>
      </c>
      <c r="D75" s="131">
        <f t="shared" si="14"/>
        <v>4.9998397252719491E-2</v>
      </c>
      <c r="E75" s="131">
        <f t="shared" si="14"/>
        <v>4.7268328481858024E-2</v>
      </c>
      <c r="F75" s="131">
        <f t="shared" si="14"/>
        <v>4.4599457447744822E-2</v>
      </c>
      <c r="G75" s="131">
        <f t="shared" si="14"/>
        <v>4.1921805336454294E-2</v>
      </c>
      <c r="H75" s="131">
        <f t="shared" si="14"/>
        <v>3.948443723182516E-2</v>
      </c>
      <c r="I75" s="131">
        <f t="shared" si="14"/>
        <v>0.71193683184322532</v>
      </c>
    </row>
    <row r="76" spans="1:9" x14ac:dyDescent="0.3">
      <c r="A76" s="1" t="s">
        <v>1232</v>
      </c>
      <c r="B76" s="87">
        <f>SUM(B75:I75)</f>
        <v>0.98785287460187965</v>
      </c>
    </row>
  </sheetData>
  <phoneticPr fontId="4" type="noConversion"/>
  <pageMargins left="0.78740157480314965" right="0.78740157480314965" top="0.98425196850393704" bottom="0.98425196850393704" header="0.51181102362204722" footer="0.51181102362204722"/>
  <pageSetup paperSize="9" scale="98"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BZ114"/>
  <sheetViews>
    <sheetView showGridLines="0" workbookViewId="0">
      <selection activeCell="B1" sqref="B1"/>
    </sheetView>
  </sheetViews>
  <sheetFormatPr baseColWidth="10" defaultRowHeight="13.5" x14ac:dyDescent="0.3"/>
  <cols>
    <col min="1" max="1" width="39" bestFit="1" customWidth="1"/>
    <col min="2" max="2" width="12.765625" style="15" bestFit="1" customWidth="1"/>
    <col min="3" max="3" width="11.765625" bestFit="1" customWidth="1"/>
    <col min="7" max="7" width="13.3828125" bestFit="1" customWidth="1"/>
    <col min="10" max="10" width="11.765625" bestFit="1" customWidth="1"/>
  </cols>
  <sheetData>
    <row r="1" spans="1:9" x14ac:dyDescent="0.3">
      <c r="A1" s="33" t="s">
        <v>1500</v>
      </c>
      <c r="B1" s="31" t="s">
        <v>458</v>
      </c>
      <c r="C1" s="3" t="s">
        <v>458</v>
      </c>
    </row>
    <row r="2" spans="1:9" x14ac:dyDescent="0.3">
      <c r="A2" s="13" t="s">
        <v>1111</v>
      </c>
      <c r="E2" s="13" t="s">
        <v>939</v>
      </c>
    </row>
    <row r="3" spans="1:9" x14ac:dyDescent="0.3">
      <c r="A3" t="s">
        <v>1114</v>
      </c>
      <c r="B3" s="65">
        <f>J30</f>
        <v>340500</v>
      </c>
      <c r="C3" s="15"/>
      <c r="E3" s="1" t="s">
        <v>1360</v>
      </c>
      <c r="F3" s="1"/>
      <c r="G3" s="445">
        <f>I30*B43</f>
        <v>340500</v>
      </c>
    </row>
    <row r="4" spans="1:9" x14ac:dyDescent="0.3">
      <c r="A4" t="s">
        <v>1115</v>
      </c>
      <c r="B4" s="65">
        <f>B5+B6</f>
        <v>19175</v>
      </c>
      <c r="C4" s="15"/>
      <c r="G4" s="171"/>
    </row>
    <row r="5" spans="1:9" s="20" customFormat="1" x14ac:dyDescent="0.3">
      <c r="A5" s="18" t="s">
        <v>1323</v>
      </c>
      <c r="B5" s="442">
        <f>G30*B30</f>
        <v>14300</v>
      </c>
      <c r="C5" s="19"/>
      <c r="G5" s="443"/>
      <c r="I5"/>
    </row>
    <row r="6" spans="1:9" s="20" customFormat="1" ht="10" x14ac:dyDescent="0.3">
      <c r="A6" s="18" t="s">
        <v>1321</v>
      </c>
      <c r="B6" s="442">
        <f>G30/B42*B44</f>
        <v>4875</v>
      </c>
      <c r="C6" s="42"/>
      <c r="G6" s="443"/>
    </row>
    <row r="7" spans="1:9" x14ac:dyDescent="0.3">
      <c r="A7" s="1" t="s">
        <v>1116</v>
      </c>
      <c r="B7" s="67">
        <f>B3+B4</f>
        <v>359675</v>
      </c>
      <c r="C7" s="15"/>
      <c r="G7" s="171"/>
      <c r="H7" t="s">
        <v>458</v>
      </c>
      <c r="I7" t="s">
        <v>458</v>
      </c>
    </row>
    <row r="8" spans="1:9" x14ac:dyDescent="0.3">
      <c r="A8" t="s">
        <v>1117</v>
      </c>
      <c r="B8" s="65">
        <f>B9+B10+B11</f>
        <v>354000</v>
      </c>
      <c r="C8" s="15"/>
      <c r="E8" t="s">
        <v>940</v>
      </c>
      <c r="G8" s="122">
        <f>G9+G10+G11</f>
        <v>339825</v>
      </c>
    </row>
    <row r="9" spans="1:9" s="20" customFormat="1" ht="10" x14ac:dyDescent="0.3">
      <c r="A9" s="18" t="s">
        <v>1105</v>
      </c>
      <c r="B9" s="442">
        <f>B44</f>
        <v>90000</v>
      </c>
      <c r="C9" s="19"/>
      <c r="E9" s="18" t="s">
        <v>1325</v>
      </c>
      <c r="G9" s="444">
        <f>B9*I30/(I30+G30)</f>
        <v>85125</v>
      </c>
    </row>
    <row r="10" spans="1:9" s="20" customFormat="1" ht="10" x14ac:dyDescent="0.3">
      <c r="A10" s="18" t="s">
        <v>1201</v>
      </c>
      <c r="B10" s="442">
        <f>J31</f>
        <v>267050</v>
      </c>
      <c r="C10" s="19"/>
      <c r="E10" s="18" t="s">
        <v>1604</v>
      </c>
      <c r="G10" s="444">
        <f>I30*SUM(B32:B39)</f>
        <v>249700</v>
      </c>
    </row>
    <row r="11" spans="1:9" s="20" customFormat="1" ht="10" x14ac:dyDescent="0.3">
      <c r="A11" s="18" t="s">
        <v>1202</v>
      </c>
      <c r="B11" s="442">
        <f>-H31</f>
        <v>-3050</v>
      </c>
      <c r="C11" s="19"/>
      <c r="E11" s="18" t="s">
        <v>1210</v>
      </c>
      <c r="G11" s="444">
        <f>B15</f>
        <v>5000</v>
      </c>
    </row>
    <row r="12" spans="1:9" s="20" customFormat="1" ht="10" x14ac:dyDescent="0.3">
      <c r="A12" s="18" t="s">
        <v>458</v>
      </c>
      <c r="B12" s="442" t="s">
        <v>458</v>
      </c>
      <c r="C12" s="19"/>
      <c r="G12" s="443"/>
    </row>
    <row r="13" spans="1:9" x14ac:dyDescent="0.3">
      <c r="A13" s="1" t="s">
        <v>1155</v>
      </c>
      <c r="B13" s="67">
        <f>B7-B8</f>
        <v>5675</v>
      </c>
      <c r="C13" s="15"/>
      <c r="G13" s="171"/>
    </row>
    <row r="14" spans="1:9" x14ac:dyDescent="0.3">
      <c r="A14" t="s">
        <v>1156</v>
      </c>
      <c r="B14" s="65">
        <f>B15</f>
        <v>5000</v>
      </c>
      <c r="C14" s="15"/>
      <c r="G14" s="171"/>
    </row>
    <row r="15" spans="1:9" s="20" customFormat="1" ht="10" x14ac:dyDescent="0.3">
      <c r="A15" s="18" t="s">
        <v>1210</v>
      </c>
      <c r="B15" s="442">
        <f>B48/B51*(12-B55)/12</f>
        <v>5000</v>
      </c>
      <c r="C15" s="19"/>
      <c r="G15" s="443"/>
    </row>
    <row r="16" spans="1:9" x14ac:dyDescent="0.3">
      <c r="A16" t="s">
        <v>1183</v>
      </c>
      <c r="B16" s="65">
        <v>0</v>
      </c>
      <c r="C16" s="15"/>
      <c r="G16" s="171"/>
    </row>
    <row r="17" spans="1:10" x14ac:dyDescent="0.3">
      <c r="A17" s="1" t="s">
        <v>1184</v>
      </c>
      <c r="B17" s="67"/>
      <c r="C17" s="15"/>
      <c r="D17" s="446">
        <f>G3-G8</f>
        <v>675</v>
      </c>
      <c r="E17" s="1"/>
    </row>
    <row r="18" spans="1:10" x14ac:dyDescent="0.3">
      <c r="A18" t="s">
        <v>1185</v>
      </c>
      <c r="C18" s="15"/>
      <c r="D18" s="65">
        <f>D19</f>
        <v>600</v>
      </c>
    </row>
    <row r="19" spans="1:10" s="20" customFormat="1" ht="10" x14ac:dyDescent="0.3">
      <c r="A19" s="18" t="s">
        <v>1212</v>
      </c>
      <c r="C19" s="19"/>
      <c r="D19" s="442">
        <f>$B57*$B58*B59/12</f>
        <v>600</v>
      </c>
    </row>
    <row r="20" spans="1:10" x14ac:dyDescent="0.3">
      <c r="A20" s="1" t="s">
        <v>1186</v>
      </c>
      <c r="C20" s="15"/>
      <c r="D20" s="65">
        <f>D17-D18</f>
        <v>75</v>
      </c>
    </row>
    <row r="21" spans="1:10" x14ac:dyDescent="0.3">
      <c r="A21" t="s">
        <v>1187</v>
      </c>
      <c r="C21" s="15"/>
      <c r="D21" s="67">
        <v>45000</v>
      </c>
    </row>
    <row r="22" spans="1:10" s="20" customFormat="1" ht="10" x14ac:dyDescent="0.3">
      <c r="A22" s="18" t="s">
        <v>1205</v>
      </c>
      <c r="D22" s="442">
        <f>B53</f>
        <v>45000</v>
      </c>
    </row>
    <row r="23" spans="1:10" x14ac:dyDescent="0.3">
      <c r="A23" t="s">
        <v>1188</v>
      </c>
      <c r="C23" s="15"/>
      <c r="D23" s="65">
        <f>(D20+D21)*$B61</f>
        <v>15776.249999999998</v>
      </c>
    </row>
    <row r="24" spans="1:10" x14ac:dyDescent="0.3">
      <c r="A24" s="1" t="s">
        <v>1189</v>
      </c>
      <c r="C24" s="15"/>
      <c r="D24" s="67">
        <f>D20+D21-D23</f>
        <v>29298.75</v>
      </c>
    </row>
    <row r="25" spans="1:10" x14ac:dyDescent="0.3">
      <c r="A25" t="s">
        <v>1190</v>
      </c>
      <c r="D25" s="65">
        <v>0</v>
      </c>
    </row>
    <row r="26" spans="1:10" x14ac:dyDescent="0.3">
      <c r="A26" s="1" t="s">
        <v>1191</v>
      </c>
      <c r="C26" s="15"/>
      <c r="D26" s="67">
        <f>D24-D25</f>
        <v>29298.75</v>
      </c>
    </row>
    <row r="29" spans="1:10" x14ac:dyDescent="0.3">
      <c r="A29" t="s">
        <v>1104</v>
      </c>
      <c r="B29" t="s">
        <v>1193</v>
      </c>
      <c r="C29" s="15" t="s">
        <v>1315</v>
      </c>
      <c r="D29" t="s">
        <v>1317</v>
      </c>
      <c r="E29" t="s">
        <v>1316</v>
      </c>
      <c r="F29" t="s">
        <v>1318</v>
      </c>
      <c r="G29" t="s">
        <v>1319</v>
      </c>
      <c r="I29" t="s">
        <v>1324</v>
      </c>
    </row>
    <row r="30" spans="1:10" s="8" customFormat="1" ht="10" x14ac:dyDescent="0.3">
      <c r="A30" s="14" t="s">
        <v>1192</v>
      </c>
      <c r="B30" s="152">
        <f>SUM(B32:B39)</f>
        <v>1100</v>
      </c>
      <c r="C30" s="8">
        <v>14</v>
      </c>
      <c r="D30" s="152">
        <f>B30*C30</f>
        <v>15400</v>
      </c>
      <c r="E30" s="8">
        <v>27</v>
      </c>
      <c r="F30" s="152">
        <f>B30*E30</f>
        <v>29700</v>
      </c>
      <c r="G30" s="8">
        <f>E30-C30</f>
        <v>13</v>
      </c>
      <c r="H30" s="152">
        <f t="shared" ref="H30:H39" si="0">F30-D30</f>
        <v>14300</v>
      </c>
      <c r="I30" s="8">
        <f>B42+C30-E30</f>
        <v>227</v>
      </c>
      <c r="J30" s="152">
        <f>I30*B43</f>
        <v>340500</v>
      </c>
    </row>
    <row r="31" spans="1:10" x14ac:dyDescent="0.3">
      <c r="A31" t="s">
        <v>1203</v>
      </c>
      <c r="B31" s="65"/>
      <c r="C31" s="15"/>
      <c r="D31" s="65">
        <f>SUM(D32:D39)</f>
        <v>5400</v>
      </c>
      <c r="F31" s="65">
        <f>SUM(F32:F39)</f>
        <v>8450</v>
      </c>
      <c r="G31" s="16"/>
      <c r="H31" s="65">
        <f t="shared" si="0"/>
        <v>3050</v>
      </c>
      <c r="I31" t="s">
        <v>1320</v>
      </c>
      <c r="J31" s="65">
        <f>SUM(J32:J39)</f>
        <v>267050</v>
      </c>
    </row>
    <row r="32" spans="1:10" s="8" customFormat="1" ht="10" x14ac:dyDescent="0.3">
      <c r="A32" s="14" t="s">
        <v>1194</v>
      </c>
      <c r="B32" s="152">
        <v>50</v>
      </c>
      <c r="C32" s="8">
        <v>5</v>
      </c>
      <c r="D32" s="152">
        <f>B32*C32</f>
        <v>250</v>
      </c>
      <c r="E32" s="8">
        <v>13</v>
      </c>
      <c r="F32" s="152">
        <f>B32*E32</f>
        <v>650</v>
      </c>
      <c r="G32" s="8">
        <f t="shared" ref="G32:G39" si="1">E32-C32</f>
        <v>8</v>
      </c>
      <c r="H32" s="152">
        <f t="shared" si="0"/>
        <v>400</v>
      </c>
      <c r="I32" s="8">
        <f>B$42+G32</f>
        <v>248</v>
      </c>
      <c r="J32" s="152">
        <f>I32*B32</f>
        <v>12400</v>
      </c>
    </row>
    <row r="33" spans="1:10" s="8" customFormat="1" ht="10" x14ac:dyDescent="0.3">
      <c r="A33" s="14" t="s">
        <v>1195</v>
      </c>
      <c r="B33" s="152">
        <v>200</v>
      </c>
      <c r="C33" s="8">
        <v>8</v>
      </c>
      <c r="D33" s="152">
        <f t="shared" ref="D33:D39" si="2">B33*C33</f>
        <v>1600</v>
      </c>
      <c r="E33" s="8">
        <v>2</v>
      </c>
      <c r="F33" s="152">
        <f t="shared" ref="F33:F39" si="3">B33*E33</f>
        <v>400</v>
      </c>
      <c r="G33" s="8">
        <f t="shared" si="1"/>
        <v>-6</v>
      </c>
      <c r="H33" s="152">
        <f t="shared" si="0"/>
        <v>-1200</v>
      </c>
      <c r="I33" s="8">
        <f t="shared" ref="I33:I39" si="4">B$42+G33</f>
        <v>234</v>
      </c>
      <c r="J33" s="152">
        <f t="shared" ref="J33:J39" si="5">I33*B33</f>
        <v>46800</v>
      </c>
    </row>
    <row r="34" spans="1:10" s="8" customFormat="1" ht="10" x14ac:dyDescent="0.3">
      <c r="A34" s="14" t="s">
        <v>1196</v>
      </c>
      <c r="B34" s="152">
        <v>300</v>
      </c>
      <c r="C34" s="8">
        <v>4</v>
      </c>
      <c r="D34" s="152">
        <f t="shared" si="2"/>
        <v>1200</v>
      </c>
      <c r="E34" s="8">
        <v>11</v>
      </c>
      <c r="F34" s="152">
        <f t="shared" si="3"/>
        <v>3300</v>
      </c>
      <c r="G34" s="8">
        <f t="shared" si="1"/>
        <v>7</v>
      </c>
      <c r="H34" s="152">
        <f t="shared" si="0"/>
        <v>2100</v>
      </c>
      <c r="I34" s="8">
        <f t="shared" si="4"/>
        <v>247</v>
      </c>
      <c r="J34" s="152">
        <f t="shared" si="5"/>
        <v>74100</v>
      </c>
    </row>
    <row r="35" spans="1:10" s="8" customFormat="1" ht="10" x14ac:dyDescent="0.3">
      <c r="A35" s="14" t="s">
        <v>1197</v>
      </c>
      <c r="B35" s="152">
        <v>100</v>
      </c>
      <c r="C35" s="8">
        <v>6</v>
      </c>
      <c r="D35" s="152">
        <f t="shared" si="2"/>
        <v>600</v>
      </c>
      <c r="E35" s="8">
        <v>4</v>
      </c>
      <c r="F35" s="152">
        <f t="shared" si="3"/>
        <v>400</v>
      </c>
      <c r="G35" s="8">
        <f t="shared" si="1"/>
        <v>-2</v>
      </c>
      <c r="H35" s="152">
        <f t="shared" si="0"/>
        <v>-200</v>
      </c>
      <c r="I35" s="8">
        <f t="shared" si="4"/>
        <v>238</v>
      </c>
      <c r="J35" s="152">
        <f t="shared" si="5"/>
        <v>23800</v>
      </c>
    </row>
    <row r="36" spans="1:10" s="8" customFormat="1" ht="10" x14ac:dyDescent="0.3">
      <c r="A36" s="14" t="s">
        <v>1198</v>
      </c>
      <c r="B36" s="152">
        <v>50</v>
      </c>
      <c r="C36" s="8">
        <v>1</v>
      </c>
      <c r="D36" s="152">
        <f t="shared" si="2"/>
        <v>50</v>
      </c>
      <c r="E36" s="8">
        <v>13</v>
      </c>
      <c r="F36" s="152">
        <f t="shared" si="3"/>
        <v>650</v>
      </c>
      <c r="G36" s="8">
        <f t="shared" si="1"/>
        <v>12</v>
      </c>
      <c r="H36" s="152">
        <f t="shared" si="0"/>
        <v>600</v>
      </c>
      <c r="I36" s="8">
        <f t="shared" si="4"/>
        <v>252</v>
      </c>
      <c r="J36" s="152">
        <f t="shared" si="5"/>
        <v>12600</v>
      </c>
    </row>
    <row r="37" spans="1:10" s="8" customFormat="1" ht="10" x14ac:dyDescent="0.3">
      <c r="A37" s="14" t="s">
        <v>1199</v>
      </c>
      <c r="B37" s="152">
        <v>150</v>
      </c>
      <c r="C37" s="8">
        <v>5</v>
      </c>
      <c r="D37" s="152">
        <f t="shared" si="2"/>
        <v>750</v>
      </c>
      <c r="E37" s="8">
        <v>10</v>
      </c>
      <c r="F37" s="152">
        <f t="shared" si="3"/>
        <v>1500</v>
      </c>
      <c r="G37" s="8">
        <f t="shared" si="1"/>
        <v>5</v>
      </c>
      <c r="H37" s="152">
        <f t="shared" si="0"/>
        <v>750</v>
      </c>
      <c r="I37" s="8">
        <f t="shared" si="4"/>
        <v>245</v>
      </c>
      <c r="J37" s="152">
        <f t="shared" si="5"/>
        <v>36750</v>
      </c>
    </row>
    <row r="38" spans="1:10" s="8" customFormat="1" ht="10" x14ac:dyDescent="0.3">
      <c r="A38" s="14" t="s">
        <v>1200</v>
      </c>
      <c r="B38" s="152">
        <v>200</v>
      </c>
      <c r="C38" s="8">
        <v>3</v>
      </c>
      <c r="D38" s="152">
        <f t="shared" si="2"/>
        <v>600</v>
      </c>
      <c r="E38" s="8">
        <v>3</v>
      </c>
      <c r="F38" s="152">
        <f t="shared" si="3"/>
        <v>600</v>
      </c>
      <c r="G38" s="8">
        <f t="shared" si="1"/>
        <v>0</v>
      </c>
      <c r="H38" s="152">
        <f t="shared" si="0"/>
        <v>0</v>
      </c>
      <c r="I38" s="8">
        <f t="shared" si="4"/>
        <v>240</v>
      </c>
      <c r="J38" s="152">
        <f t="shared" si="5"/>
        <v>48000</v>
      </c>
    </row>
    <row r="39" spans="1:10" s="8" customFormat="1" ht="10" x14ac:dyDescent="0.3">
      <c r="A39" s="14" t="s">
        <v>1501</v>
      </c>
      <c r="B39" s="152">
        <v>50</v>
      </c>
      <c r="C39" s="8">
        <v>7</v>
      </c>
      <c r="D39" s="152">
        <f t="shared" si="2"/>
        <v>350</v>
      </c>
      <c r="E39" s="8">
        <v>19</v>
      </c>
      <c r="F39" s="152">
        <f t="shared" si="3"/>
        <v>950</v>
      </c>
      <c r="G39" s="8">
        <f t="shared" si="1"/>
        <v>12</v>
      </c>
      <c r="H39" s="152">
        <f t="shared" si="0"/>
        <v>600</v>
      </c>
      <c r="I39" s="8">
        <f t="shared" si="4"/>
        <v>252</v>
      </c>
      <c r="J39" s="152">
        <f t="shared" si="5"/>
        <v>12600</v>
      </c>
    </row>
    <row r="42" spans="1:10" x14ac:dyDescent="0.3">
      <c r="A42" t="s">
        <v>42</v>
      </c>
      <c r="B42">
        <v>240</v>
      </c>
    </row>
    <row r="43" spans="1:10" x14ac:dyDescent="0.3">
      <c r="A43" t="s">
        <v>1204</v>
      </c>
      <c r="B43" s="65">
        <v>1500</v>
      </c>
    </row>
    <row r="44" spans="1:10" x14ac:dyDescent="0.3">
      <c r="A44" t="s">
        <v>1322</v>
      </c>
      <c r="B44" s="65">
        <f>B45+B46</f>
        <v>90000</v>
      </c>
    </row>
    <row r="45" spans="1:10" s="20" customFormat="1" ht="10" x14ac:dyDescent="0.3">
      <c r="A45" s="18" t="s">
        <v>1325</v>
      </c>
      <c r="B45" s="442">
        <v>60000</v>
      </c>
    </row>
    <row r="46" spans="1:10" s="20" customFormat="1" ht="10" x14ac:dyDescent="0.3">
      <c r="A46" s="18" t="s">
        <v>1326</v>
      </c>
      <c r="B46" s="442">
        <f>B45*0.5</f>
        <v>30000</v>
      </c>
    </row>
    <row r="47" spans="1:10" x14ac:dyDescent="0.3">
      <c r="B47" s="65"/>
    </row>
    <row r="48" spans="1:10" x14ac:dyDescent="0.3">
      <c r="A48" t="s">
        <v>1206</v>
      </c>
      <c r="B48" s="65">
        <v>200000</v>
      </c>
    </row>
    <row r="49" spans="1:3" x14ac:dyDescent="0.3">
      <c r="A49" t="s">
        <v>1327</v>
      </c>
      <c r="B49" s="65">
        <f>B48*(1-B52/B51)</f>
        <v>185000</v>
      </c>
    </row>
    <row r="50" spans="1:3" x14ac:dyDescent="0.3">
      <c r="A50" t="s">
        <v>1207</v>
      </c>
      <c r="B50" s="65">
        <v>230000</v>
      </c>
    </row>
    <row r="51" spans="1:3" x14ac:dyDescent="0.3">
      <c r="A51" t="s">
        <v>1208</v>
      </c>
      <c r="B51">
        <v>40</v>
      </c>
    </row>
    <row r="52" spans="1:3" x14ac:dyDescent="0.3">
      <c r="A52" t="s">
        <v>1209</v>
      </c>
      <c r="B52">
        <v>3</v>
      </c>
    </row>
    <row r="53" spans="1:3" x14ac:dyDescent="0.3">
      <c r="A53" t="s">
        <v>1328</v>
      </c>
      <c r="B53" s="65">
        <f>B50-B49</f>
        <v>45000</v>
      </c>
    </row>
    <row r="55" spans="1:3" x14ac:dyDescent="0.3">
      <c r="A55" t="s">
        <v>1211</v>
      </c>
      <c r="B55" s="65">
        <v>0</v>
      </c>
      <c r="C55" s="65">
        <v>12</v>
      </c>
    </row>
    <row r="57" spans="1:3" x14ac:dyDescent="0.3">
      <c r="A57" t="s">
        <v>1213</v>
      </c>
      <c r="B57" s="65">
        <v>12000</v>
      </c>
    </row>
    <row r="58" spans="1:3" x14ac:dyDescent="0.3">
      <c r="A58" t="s">
        <v>1214</v>
      </c>
      <c r="B58" s="17">
        <v>0.05</v>
      </c>
    </row>
    <row r="59" spans="1:3" x14ac:dyDescent="0.3">
      <c r="A59" t="s">
        <v>1215</v>
      </c>
      <c r="B59" s="65">
        <v>12</v>
      </c>
      <c r="C59" s="65">
        <v>0</v>
      </c>
    </row>
    <row r="61" spans="1:3" x14ac:dyDescent="0.3">
      <c r="A61" t="s">
        <v>1216</v>
      </c>
      <c r="B61" s="17">
        <v>0.35</v>
      </c>
    </row>
    <row r="64" spans="1:3" x14ac:dyDescent="0.3">
      <c r="A64" s="33" t="s">
        <v>1068</v>
      </c>
    </row>
    <row r="65" spans="1:78" x14ac:dyDescent="0.3">
      <c r="A65" s="2" t="s">
        <v>1110</v>
      </c>
      <c r="B65" s="34">
        <v>1</v>
      </c>
      <c r="C65" s="34">
        <v>2</v>
      </c>
      <c r="D65" s="34">
        <v>3</v>
      </c>
    </row>
    <row r="66" spans="1:78" x14ac:dyDescent="0.3">
      <c r="A66" s="3" t="s">
        <v>1116</v>
      </c>
      <c r="B66" s="65">
        <f>B67+B68</f>
        <v>142</v>
      </c>
      <c r="C66" s="65">
        <f>C67+C68</f>
        <v>144</v>
      </c>
      <c r="D66" s="65">
        <f>D67+D68</f>
        <v>144</v>
      </c>
    </row>
    <row r="67" spans="1:78" s="16" customFormat="1" ht="10" x14ac:dyDescent="0.3">
      <c r="A67" s="35" t="s">
        <v>1114</v>
      </c>
      <c r="B67" s="447">
        <v>132</v>
      </c>
      <c r="C67" s="447">
        <f>'Chapitre 2'!D28</f>
        <v>144</v>
      </c>
      <c r="D67" s="447">
        <f>'Chapitre 2'!E28</f>
        <v>144</v>
      </c>
    </row>
    <row r="68" spans="1:78" s="16" customFormat="1" ht="10" x14ac:dyDescent="0.3">
      <c r="A68" s="35" t="s">
        <v>1115</v>
      </c>
      <c r="B68" s="447">
        <f>4+4+2</f>
        <v>10</v>
      </c>
      <c r="C68" s="152"/>
      <c r="D68" s="152"/>
    </row>
    <row r="69" spans="1:78" x14ac:dyDescent="0.3">
      <c r="A69" s="3" t="s">
        <v>1117</v>
      </c>
      <c r="B69" s="65">
        <f>SUM(B70:B72)</f>
        <v>120</v>
      </c>
      <c r="C69" s="65">
        <f>SUM(C70:C72)</f>
        <v>120</v>
      </c>
      <c r="D69" s="65">
        <f>SUM(D70:D72)</f>
        <v>120</v>
      </c>
    </row>
    <row r="70" spans="1:78" s="8" customFormat="1" ht="10" x14ac:dyDescent="0.3">
      <c r="A70" s="6" t="s">
        <v>1337</v>
      </c>
      <c r="B70" s="447">
        <f>52-4</f>
        <v>48</v>
      </c>
      <c r="C70" s="447">
        <v>48</v>
      </c>
      <c r="D70" s="447">
        <v>48</v>
      </c>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row>
    <row r="71" spans="1:78" s="8" customFormat="1" ht="10" x14ac:dyDescent="0.3">
      <c r="A71" s="6" t="s">
        <v>1106</v>
      </c>
      <c r="B71" s="447">
        <v>24</v>
      </c>
      <c r="C71" s="447">
        <v>24</v>
      </c>
      <c r="D71" s="447">
        <v>24</v>
      </c>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row>
    <row r="72" spans="1:78" s="8" customFormat="1" ht="10" x14ac:dyDescent="0.3">
      <c r="A72" s="6" t="s">
        <v>1105</v>
      </c>
      <c r="B72" s="447">
        <v>48</v>
      </c>
      <c r="C72" s="447">
        <v>48</v>
      </c>
      <c r="D72" s="447">
        <v>48</v>
      </c>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row>
    <row r="73" spans="1:78" x14ac:dyDescent="0.3">
      <c r="A73" s="2" t="s">
        <v>1217</v>
      </c>
      <c r="B73" s="65">
        <f>B66-B69</f>
        <v>22</v>
      </c>
      <c r="C73" s="65">
        <f>C66-C69</f>
        <v>24</v>
      </c>
      <c r="D73" s="65">
        <f>D66-D69</f>
        <v>24</v>
      </c>
    </row>
    <row r="74" spans="1:78" x14ac:dyDescent="0.3">
      <c r="A74" s="3" t="s">
        <v>1218</v>
      </c>
      <c r="B74" s="65">
        <v>6</v>
      </c>
      <c r="C74" s="65">
        <f>B74</f>
        <v>6</v>
      </c>
      <c r="D74" s="65">
        <f>B74</f>
        <v>6</v>
      </c>
    </row>
    <row r="75" spans="1:78" x14ac:dyDescent="0.3">
      <c r="A75" s="2" t="s">
        <v>1184</v>
      </c>
      <c r="B75" s="65">
        <f>B73-B74</f>
        <v>16</v>
      </c>
      <c r="C75" s="65">
        <f>C73-C74</f>
        <v>18</v>
      </c>
      <c r="D75" s="65">
        <f>D73-D74</f>
        <v>18</v>
      </c>
    </row>
    <row r="76" spans="1:78" x14ac:dyDescent="0.3">
      <c r="A76" s="3" t="s">
        <v>1219</v>
      </c>
      <c r="B76" s="70">
        <f>SUMIF('Chapitre 2'!$F$12:$CB$12,B65,'Chapitre 2'!$F$24:$CB$24)</f>
        <v>1.9</v>
      </c>
      <c r="C76" s="70">
        <f>SUMIF('Chapitre 2'!$F$12:$CB$12,C65,'Chapitre 2'!$F$24:$CB$24)</f>
        <v>1.5</v>
      </c>
      <c r="D76" s="70">
        <f>SUMIF('Chapitre 2'!$F$12:$CB$12,D65,'Chapitre 2'!$F$24:$CB$24)</f>
        <v>1.1000000000000001</v>
      </c>
    </row>
    <row r="77" spans="1:78" x14ac:dyDescent="0.3">
      <c r="A77" s="2" t="s">
        <v>1220</v>
      </c>
      <c r="B77" s="70">
        <f>B75-B76</f>
        <v>14.1</v>
      </c>
      <c r="C77" s="70">
        <f>C75-C76</f>
        <v>16.5</v>
      </c>
      <c r="D77" s="70">
        <f>D75-D76</f>
        <v>16.899999999999999</v>
      </c>
    </row>
    <row r="78" spans="1:78" x14ac:dyDescent="0.3">
      <c r="A78" s="3" t="s">
        <v>1188</v>
      </c>
      <c r="B78" s="70">
        <v>0</v>
      </c>
      <c r="C78" s="70">
        <v>0</v>
      </c>
      <c r="D78" s="70">
        <v>0</v>
      </c>
    </row>
    <row r="79" spans="1:78" x14ac:dyDescent="0.3">
      <c r="A79" s="2" t="s">
        <v>1221</v>
      </c>
      <c r="B79" s="70">
        <f>B77-B78</f>
        <v>14.1</v>
      </c>
      <c r="C79" s="70">
        <f>C77-C78</f>
        <v>16.5</v>
      </c>
      <c r="D79" s="70">
        <f>D77-D78</f>
        <v>16.899999999999999</v>
      </c>
    </row>
    <row r="80" spans="1:78" x14ac:dyDescent="0.3">
      <c r="A80" s="3" t="s">
        <v>1190</v>
      </c>
    </row>
    <row r="81" spans="1:4" x14ac:dyDescent="0.3">
      <c r="A81" s="3" t="s">
        <v>1191</v>
      </c>
    </row>
    <row r="83" spans="1:4" x14ac:dyDescent="0.3">
      <c r="A83" s="33" t="s">
        <v>1069</v>
      </c>
    </row>
    <row r="84" spans="1:4" x14ac:dyDescent="0.3">
      <c r="A84" s="2" t="s">
        <v>1110</v>
      </c>
    </row>
    <row r="85" spans="1:4" x14ac:dyDescent="0.3">
      <c r="A85" t="s">
        <v>1338</v>
      </c>
      <c r="B85" s="65">
        <f>B67</f>
        <v>132</v>
      </c>
      <c r="C85" s="65">
        <f>C67</f>
        <v>144</v>
      </c>
      <c r="D85" s="65">
        <f>D67</f>
        <v>144</v>
      </c>
    </row>
    <row r="86" spans="1:4" x14ac:dyDescent="0.3">
      <c r="A86" s="22" t="s">
        <v>1341</v>
      </c>
      <c r="B86" s="65">
        <f>B69+B74-B68</f>
        <v>116</v>
      </c>
      <c r="C86" s="65">
        <f>C69+C74-C68</f>
        <v>126</v>
      </c>
      <c r="D86" s="65">
        <f>D69+D74-D68</f>
        <v>126</v>
      </c>
    </row>
    <row r="87" spans="1:4" x14ac:dyDescent="0.3">
      <c r="A87" s="22" t="s">
        <v>1339</v>
      </c>
      <c r="B87" s="65">
        <v>0</v>
      </c>
      <c r="C87" s="65">
        <v>0</v>
      </c>
      <c r="D87" s="65">
        <v>0</v>
      </c>
    </row>
    <row r="88" spans="1:4" x14ac:dyDescent="0.3">
      <c r="A88" s="22" t="s">
        <v>1340</v>
      </c>
      <c r="B88" s="65">
        <v>0</v>
      </c>
      <c r="C88" s="65">
        <v>0</v>
      </c>
      <c r="D88" s="65">
        <v>0</v>
      </c>
    </row>
    <row r="89" spans="1:4" x14ac:dyDescent="0.3">
      <c r="A89" s="2" t="s">
        <v>1184</v>
      </c>
      <c r="B89" s="65">
        <f>B85-B86-B87-B88</f>
        <v>16</v>
      </c>
      <c r="C89" s="65">
        <f>C85-C86-C87-C88</f>
        <v>18</v>
      </c>
      <c r="D89" s="65">
        <f>D85-D86-D87-D88</f>
        <v>18</v>
      </c>
    </row>
    <row r="90" spans="1:4" x14ac:dyDescent="0.3">
      <c r="A90" s="3" t="s">
        <v>1219</v>
      </c>
      <c r="B90" s="70">
        <f>B76</f>
        <v>1.9</v>
      </c>
      <c r="C90" s="70">
        <f>C76</f>
        <v>1.5</v>
      </c>
      <c r="D90" s="70">
        <f>D76</f>
        <v>1.1000000000000001</v>
      </c>
    </row>
    <row r="91" spans="1:4" x14ac:dyDescent="0.3">
      <c r="A91" s="2" t="s">
        <v>1220</v>
      </c>
      <c r="B91" s="70">
        <f>B89-B90</f>
        <v>14.1</v>
      </c>
      <c r="C91" s="70">
        <f>C89-C90</f>
        <v>16.5</v>
      </c>
      <c r="D91" s="70">
        <f>D89-D90</f>
        <v>16.899999999999999</v>
      </c>
    </row>
    <row r="92" spans="1:4" x14ac:dyDescent="0.3">
      <c r="A92" s="3" t="s">
        <v>1188</v>
      </c>
      <c r="B92" s="70">
        <v>0</v>
      </c>
      <c r="C92" s="70">
        <v>0</v>
      </c>
      <c r="D92" s="70">
        <v>0</v>
      </c>
    </row>
    <row r="93" spans="1:4" x14ac:dyDescent="0.3">
      <c r="A93" s="2" t="s">
        <v>1221</v>
      </c>
      <c r="B93" s="70">
        <f>B91-B92</f>
        <v>14.1</v>
      </c>
      <c r="C93" s="70">
        <f>C91-C92</f>
        <v>16.5</v>
      </c>
      <c r="D93" s="70">
        <f>D91-D92</f>
        <v>16.899999999999999</v>
      </c>
    </row>
    <row r="94" spans="1:4" x14ac:dyDescent="0.3">
      <c r="A94" s="3"/>
    </row>
    <row r="95" spans="1:4" x14ac:dyDescent="0.3">
      <c r="A95" s="3"/>
    </row>
    <row r="96" spans="1:4" x14ac:dyDescent="0.3">
      <c r="A96" s="33" t="s">
        <v>1502</v>
      </c>
    </row>
    <row r="97" spans="1:3" x14ac:dyDescent="0.3">
      <c r="A97" s="2" t="s">
        <v>1503</v>
      </c>
    </row>
    <row r="98" spans="1:3" x14ac:dyDescent="0.3">
      <c r="A98" s="2" t="s">
        <v>1110</v>
      </c>
      <c r="B98" s="34">
        <v>1</v>
      </c>
      <c r="C98" s="34">
        <v>2</v>
      </c>
    </row>
    <row r="99" spans="1:3" x14ac:dyDescent="0.3">
      <c r="A99" t="s">
        <v>1360</v>
      </c>
      <c r="B99" s="65">
        <f>+$B$110*$B$111*B112/12</f>
        <v>25000</v>
      </c>
      <c r="C99" s="65">
        <f>+$B$110*$B$111*C112/12</f>
        <v>75000</v>
      </c>
    </row>
    <row r="100" spans="1:3" x14ac:dyDescent="0.3">
      <c r="A100" t="s">
        <v>1105</v>
      </c>
      <c r="B100" s="65">
        <f>-B112*$B$113</f>
        <v>-8000</v>
      </c>
      <c r="C100" s="65">
        <f>-C112*$B$113</f>
        <v>-24000</v>
      </c>
    </row>
    <row r="101" spans="1:3" x14ac:dyDescent="0.3">
      <c r="A101" t="s">
        <v>1504</v>
      </c>
      <c r="B101" s="65">
        <f>-B112*$B$111*$B$114</f>
        <v>-12000</v>
      </c>
      <c r="C101" s="65">
        <f>-C112*$B$111*$B$114</f>
        <v>-36000</v>
      </c>
    </row>
    <row r="102" spans="1:3" x14ac:dyDescent="0.3">
      <c r="A102" s="1" t="s">
        <v>1221</v>
      </c>
      <c r="B102" s="65">
        <f>+B99+B100+B101</f>
        <v>5000</v>
      </c>
      <c r="C102" s="65">
        <f>+C99+C100+C101</f>
        <v>15000</v>
      </c>
    </row>
    <row r="104" spans="1:3" x14ac:dyDescent="0.3">
      <c r="A104" s="340" t="s">
        <v>229</v>
      </c>
    </row>
    <row r="105" spans="1:3" x14ac:dyDescent="0.3">
      <c r="A105" s="2" t="s">
        <v>1110</v>
      </c>
      <c r="B105" s="34">
        <v>1</v>
      </c>
      <c r="C105" s="34">
        <v>2</v>
      </c>
    </row>
    <row r="106" spans="1:3" x14ac:dyDescent="0.3">
      <c r="A106" t="s">
        <v>1505</v>
      </c>
      <c r="B106" s="65">
        <f>+$B$110*$B$111</f>
        <v>75000</v>
      </c>
      <c r="C106" s="65">
        <f>+$B$110*$B$111</f>
        <v>75000</v>
      </c>
    </row>
    <row r="107" spans="1:3" x14ac:dyDescent="0.3">
      <c r="A107" t="s">
        <v>1506</v>
      </c>
      <c r="B107" s="65">
        <f>-B112*$B$113-$B$111*$B$114*B112</f>
        <v>-20000</v>
      </c>
      <c r="C107" s="65">
        <f>-C112*$B$113-$B$111*$B$114*C112</f>
        <v>-60000</v>
      </c>
    </row>
    <row r="108" spans="1:3" x14ac:dyDescent="0.3">
      <c r="A108" s="1" t="s">
        <v>1507</v>
      </c>
      <c r="B108" s="65">
        <f>+B107+B106</f>
        <v>55000</v>
      </c>
      <c r="C108" s="65">
        <f>+C107+C106</f>
        <v>15000</v>
      </c>
    </row>
    <row r="110" spans="1:3" x14ac:dyDescent="0.3">
      <c r="A110" t="s">
        <v>1508</v>
      </c>
      <c r="B110" s="65">
        <v>50</v>
      </c>
    </row>
    <row r="111" spans="1:3" x14ac:dyDescent="0.3">
      <c r="A111" t="s">
        <v>1509</v>
      </c>
      <c r="B111" s="65">
        <v>1500</v>
      </c>
    </row>
    <row r="112" spans="1:3" x14ac:dyDescent="0.3">
      <c r="A112" t="s">
        <v>1510</v>
      </c>
      <c r="B112" s="65">
        <v>4</v>
      </c>
      <c r="C112">
        <v>12</v>
      </c>
    </row>
    <row r="113" spans="1:2" x14ac:dyDescent="0.3">
      <c r="A113" t="s">
        <v>1512</v>
      </c>
      <c r="B113" s="65">
        <v>2000</v>
      </c>
    </row>
    <row r="114" spans="1:2" x14ac:dyDescent="0.3">
      <c r="A114" t="s">
        <v>1511</v>
      </c>
      <c r="B114" s="65">
        <v>2</v>
      </c>
    </row>
  </sheetData>
  <phoneticPr fontId="4" type="noConversion"/>
  <pageMargins left="0.78740157480314965" right="0.78740157480314965" top="0.98425196850393704" bottom="0.98425196850393704" header="0.51181102362204722" footer="0.51181102362204722"/>
  <pageSetup paperSize="9" scale="38" orientation="landscape" horizontalDpi="200" verticalDpi="200"/>
  <headerFooter alignWithMargins="0">
    <oddFooter>&amp;L&amp;"Verdana,Italique"&amp;9&amp;F - &amp;A&amp;C&amp;P / &amp;N&amp;R&amp;"Verdana,Italique"&amp;9&amp;D - &amp;T</oddFooter>
  </headerFooter>
  <ignoredErrors>
    <ignoredError sqref="F31 D31" formula="1"/>
  </ignoredError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K56"/>
  <sheetViews>
    <sheetView showGridLines="0" topLeftCell="A8" workbookViewId="0">
      <selection activeCell="G33" sqref="G33"/>
    </sheetView>
  </sheetViews>
  <sheetFormatPr baseColWidth="10" defaultRowHeight="13.5" x14ac:dyDescent="0.3"/>
  <cols>
    <col min="1" max="1" width="18.765625" bestFit="1" customWidth="1"/>
    <col min="2" max="2" width="16.765625" bestFit="1" customWidth="1"/>
    <col min="4" max="4" width="15" bestFit="1" customWidth="1"/>
    <col min="9" max="9" width="11.3828125" bestFit="1" customWidth="1"/>
  </cols>
  <sheetData>
    <row r="1" spans="1:6" x14ac:dyDescent="0.3">
      <c r="A1" s="33" t="s">
        <v>1418</v>
      </c>
    </row>
    <row r="2" spans="1:6" x14ac:dyDescent="0.3">
      <c r="A2" s="33"/>
    </row>
    <row r="3" spans="1:6" x14ac:dyDescent="0.3">
      <c r="A3" t="s">
        <v>663</v>
      </c>
      <c r="B3">
        <v>500</v>
      </c>
      <c r="C3" t="s">
        <v>615</v>
      </c>
    </row>
    <row r="4" spans="1:6" x14ac:dyDescent="0.3">
      <c r="A4" t="s">
        <v>664</v>
      </c>
      <c r="B4">
        <v>33.299999999999997</v>
      </c>
      <c r="C4" t="s">
        <v>615</v>
      </c>
    </row>
    <row r="5" spans="1:6" x14ac:dyDescent="0.3">
      <c r="A5" t="s">
        <v>665</v>
      </c>
      <c r="B5" s="37">
        <v>0.25</v>
      </c>
    </row>
    <row r="6" spans="1:6" x14ac:dyDescent="0.3">
      <c r="A6" t="s">
        <v>661</v>
      </c>
      <c r="B6" s="37">
        <v>0.15</v>
      </c>
    </row>
    <row r="8" spans="1:6" x14ac:dyDescent="0.3">
      <c r="A8" t="s">
        <v>524</v>
      </c>
      <c r="B8">
        <v>0</v>
      </c>
      <c r="C8">
        <v>1</v>
      </c>
      <c r="D8">
        <v>2</v>
      </c>
      <c r="E8">
        <v>3</v>
      </c>
      <c r="F8">
        <v>3</v>
      </c>
    </row>
    <row r="9" spans="1:6" x14ac:dyDescent="0.3">
      <c r="A9" t="s">
        <v>640</v>
      </c>
      <c r="B9" s="5">
        <f>-B3</f>
        <v>-500</v>
      </c>
      <c r="C9" s="5">
        <f>$B4*$B5*POWER(1+$B6,C8)</f>
        <v>9.5737499999999986</v>
      </c>
      <c r="D9" s="5">
        <f>$B4*$B5*POWER(1+$B6,D8)</f>
        <v>11.009812499999997</v>
      </c>
      <c r="E9" s="5">
        <f>$B4*$B5*POWER(1+$B6,E8)</f>
        <v>12.661284374999996</v>
      </c>
      <c r="F9" s="5">
        <f>B14</f>
        <v>665.46241362500018</v>
      </c>
    </row>
    <row r="10" spans="1:6" x14ac:dyDescent="0.3">
      <c r="A10" t="s">
        <v>487</v>
      </c>
      <c r="B10" s="37">
        <v>0.12</v>
      </c>
    </row>
    <row r="11" spans="1:6" x14ac:dyDescent="0.3">
      <c r="A11" t="s">
        <v>641</v>
      </c>
      <c r="B11" s="5">
        <f>B9/POWER(1+$B10,B8)</f>
        <v>-500</v>
      </c>
      <c r="C11" s="5">
        <f>C9/POWER(1+$B10,C8)</f>
        <v>8.5479910714285694</v>
      </c>
      <c r="D11" s="5">
        <f>D9/POWER(1+$B10,D8)</f>
        <v>8.7769551179846896</v>
      </c>
      <c r="E11" s="5">
        <f>E9/POWER(1+$B10,E8)</f>
        <v>9.0120521300735632</v>
      </c>
      <c r="F11" s="5">
        <f>F9/POWER(1+$B10,F8)</f>
        <v>473.66300168051316</v>
      </c>
    </row>
    <row r="12" spans="1:6" x14ac:dyDescent="0.3">
      <c r="A12" t="s">
        <v>519</v>
      </c>
      <c r="B12">
        <f>SUM(B11:F11)</f>
        <v>0</v>
      </c>
    </row>
    <row r="14" spans="1:6" ht="27" x14ac:dyDescent="0.3">
      <c r="A14" s="2" t="s">
        <v>669</v>
      </c>
      <c r="B14" s="141">
        <v>665.46241362500018</v>
      </c>
    </row>
    <row r="15" spans="1:6" ht="27" x14ac:dyDescent="0.3">
      <c r="A15" s="3" t="s">
        <v>668</v>
      </c>
      <c r="B15" s="5">
        <f>E9/B5</f>
        <v>50.645137499999983</v>
      </c>
    </row>
    <row r="16" spans="1:6" x14ac:dyDescent="0.3">
      <c r="A16" s="1" t="s">
        <v>667</v>
      </c>
      <c r="B16" s="141">
        <f>B14/B15</f>
        <v>13.139709880835063</v>
      </c>
    </row>
    <row r="18" spans="1:11" x14ac:dyDescent="0.3">
      <c r="A18" s="33" t="s">
        <v>1420</v>
      </c>
    </row>
    <row r="19" spans="1:11" ht="54" x14ac:dyDescent="0.3">
      <c r="A19" s="551" t="s">
        <v>731</v>
      </c>
      <c r="B19" s="552" t="s">
        <v>1614</v>
      </c>
      <c r="C19" s="553" t="s">
        <v>1688</v>
      </c>
      <c r="D19" s="553"/>
      <c r="E19" s="553"/>
      <c r="F19" s="552" t="s">
        <v>1760</v>
      </c>
      <c r="G19" s="552" t="s">
        <v>1689</v>
      </c>
      <c r="H19" s="552" t="s">
        <v>1690</v>
      </c>
      <c r="I19" s="552" t="s">
        <v>1268</v>
      </c>
      <c r="J19" s="552" t="s">
        <v>1691</v>
      </c>
      <c r="K19" s="552" t="s">
        <v>1269</v>
      </c>
    </row>
    <row r="20" spans="1:11" ht="14" thickBot="1" x14ac:dyDescent="0.35">
      <c r="A20" s="554"/>
      <c r="B20" s="555"/>
      <c r="C20" s="555">
        <v>2015</v>
      </c>
      <c r="D20" s="555">
        <v>2016</v>
      </c>
      <c r="E20" s="555">
        <v>2017</v>
      </c>
      <c r="F20" s="555"/>
      <c r="G20" s="555"/>
      <c r="H20" s="555"/>
      <c r="I20" s="555"/>
      <c r="J20" s="555"/>
      <c r="K20" s="555"/>
    </row>
    <row r="21" spans="1:11" x14ac:dyDescent="0.3">
      <c r="A21" s="556" t="s">
        <v>1759</v>
      </c>
      <c r="B21" s="557">
        <v>34</v>
      </c>
      <c r="C21" s="557">
        <v>-0.48</v>
      </c>
      <c r="D21" s="558">
        <v>1.5</v>
      </c>
      <c r="E21" s="558">
        <v>1.88</v>
      </c>
      <c r="F21" s="598">
        <v>0.79</v>
      </c>
      <c r="G21" s="547">
        <v>3.5000000000000003E-2</v>
      </c>
      <c r="H21" s="557" t="s">
        <v>1615</v>
      </c>
      <c r="I21" s="559">
        <v>20</v>
      </c>
      <c r="J21" s="560">
        <f>+B21/D21</f>
        <v>22.666666666666668</v>
      </c>
      <c r="K21" s="558">
        <v>1.68</v>
      </c>
    </row>
    <row r="22" spans="1:11" x14ac:dyDescent="0.3">
      <c r="A22" s="556" t="s">
        <v>1692</v>
      </c>
      <c r="B22" s="559">
        <v>23</v>
      </c>
      <c r="C22" s="557">
        <v>2.1800000000000002</v>
      </c>
      <c r="D22" s="557">
        <v>2.46</v>
      </c>
      <c r="E22" s="558">
        <v>2.5</v>
      </c>
      <c r="F22" s="548">
        <v>0.48</v>
      </c>
      <c r="G22" s="547">
        <v>5.0999999999999997E-2</v>
      </c>
      <c r="H22" s="548">
        <v>7.0000000000000007E-2</v>
      </c>
      <c r="I22" s="559">
        <v>23</v>
      </c>
      <c r="J22" s="560">
        <f>B22/D22</f>
        <v>9.3495934959349594</v>
      </c>
      <c r="K22" s="558">
        <v>1.4</v>
      </c>
    </row>
    <row r="23" spans="1:11" ht="14" thickBot="1" x14ac:dyDescent="0.35">
      <c r="A23" s="554" t="s">
        <v>1687</v>
      </c>
      <c r="B23" s="555">
        <v>115.6</v>
      </c>
      <c r="C23" s="554">
        <v>3.3</v>
      </c>
      <c r="D23" s="555">
        <v>4.0199999999999996</v>
      </c>
      <c r="E23" s="555">
        <v>4.46</v>
      </c>
      <c r="F23" s="549">
        <v>0.32</v>
      </c>
      <c r="G23" s="550">
        <v>1.0999999999999999E-2</v>
      </c>
      <c r="H23" s="549">
        <v>0.16</v>
      </c>
      <c r="I23" s="561">
        <v>26</v>
      </c>
      <c r="J23" s="562">
        <f>B23/D23</f>
        <v>28.75621890547264</v>
      </c>
      <c r="K23" s="554">
        <v>0.43</v>
      </c>
    </row>
    <row r="24" spans="1:11" x14ac:dyDescent="0.3">
      <c r="A24" s="556" t="s">
        <v>1693</v>
      </c>
      <c r="B24" s="556"/>
      <c r="C24" s="556"/>
      <c r="D24" s="556"/>
      <c r="E24" s="556"/>
      <c r="F24" s="556"/>
      <c r="G24" s="556"/>
      <c r="H24" s="556"/>
      <c r="I24" s="556"/>
      <c r="J24" s="556"/>
      <c r="K24" s="556"/>
    </row>
    <row r="25" spans="1:11" x14ac:dyDescent="0.3">
      <c r="B25" s="5"/>
    </row>
    <row r="26" spans="1:11" x14ac:dyDescent="0.3">
      <c r="A26" t="s">
        <v>301</v>
      </c>
      <c r="B26" s="86">
        <v>3.0000000000000001E-3</v>
      </c>
    </row>
    <row r="27" spans="1:11" x14ac:dyDescent="0.3">
      <c r="A27" t="s">
        <v>302</v>
      </c>
      <c r="B27" s="86">
        <v>7.0000000000000007E-2</v>
      </c>
    </row>
    <row r="28" spans="1:11" x14ac:dyDescent="0.3">
      <c r="B28" s="5"/>
    </row>
    <row r="29" spans="1:11" ht="15.5" x14ac:dyDescent="0.3">
      <c r="A29" s="44"/>
      <c r="B29" s="127" t="s">
        <v>309</v>
      </c>
      <c r="C29" s="127" t="s">
        <v>305</v>
      </c>
      <c r="D29" s="127" t="s">
        <v>718</v>
      </c>
      <c r="E29" s="127" t="s">
        <v>677</v>
      </c>
      <c r="F29" s="127" t="s">
        <v>720</v>
      </c>
      <c r="G29" s="127" t="s">
        <v>304</v>
      </c>
      <c r="H29" s="127" t="s">
        <v>303</v>
      </c>
    </row>
    <row r="30" spans="1:11" x14ac:dyDescent="0.3">
      <c r="A30" s="57" t="str">
        <f>A21</f>
        <v>Rio Tinto</v>
      </c>
      <c r="B30" s="105" t="s">
        <v>1577</v>
      </c>
      <c r="C30" s="105" t="s">
        <v>310</v>
      </c>
      <c r="D30" s="105" t="s">
        <v>306</v>
      </c>
      <c r="E30" s="252">
        <f>B21/I21</f>
        <v>1.7</v>
      </c>
      <c r="F30" s="267" t="s">
        <v>295</v>
      </c>
      <c r="G30" s="268">
        <f>$B$26+K21*$B$27</f>
        <v>0.12060000000000001</v>
      </c>
      <c r="H30" s="269">
        <f>D21/I21</f>
        <v>7.4999999999999997E-2</v>
      </c>
    </row>
    <row r="31" spans="1:11" x14ac:dyDescent="0.3">
      <c r="A31" s="57" t="str">
        <f>A22</f>
        <v>AXA</v>
      </c>
      <c r="B31" s="105" t="s">
        <v>1235</v>
      </c>
      <c r="C31" s="105" t="s">
        <v>1578</v>
      </c>
      <c r="D31" s="105" t="s">
        <v>1761</v>
      </c>
      <c r="E31" s="252">
        <f>B22/I22</f>
        <v>1</v>
      </c>
      <c r="F31" s="105" t="s">
        <v>322</v>
      </c>
      <c r="G31" s="268">
        <f>$B$26+K22*$B$27</f>
        <v>0.10100000000000001</v>
      </c>
      <c r="H31" s="269">
        <f>D22/I22</f>
        <v>0.10695652173913044</v>
      </c>
    </row>
    <row r="32" spans="1:11" x14ac:dyDescent="0.3">
      <c r="A32" s="57" t="str">
        <f>A23</f>
        <v>Essilor</v>
      </c>
      <c r="B32" s="105" t="s">
        <v>1694</v>
      </c>
      <c r="C32" s="105" t="s">
        <v>1235</v>
      </c>
      <c r="D32" s="105" t="s">
        <v>1235</v>
      </c>
      <c r="E32" s="252">
        <f>B23/I23</f>
        <v>4.4461538461538463</v>
      </c>
      <c r="F32" s="267" t="s">
        <v>292</v>
      </c>
      <c r="G32" s="268">
        <f>$B$26+K23*$B$27</f>
        <v>3.3100000000000004E-2</v>
      </c>
      <c r="H32" s="269">
        <f>D23/I23</f>
        <v>0.1546153846153846</v>
      </c>
    </row>
    <row r="34" spans="1:5" x14ac:dyDescent="0.3">
      <c r="A34" s="33" t="s">
        <v>244</v>
      </c>
    </row>
    <row r="35" spans="1:5" x14ac:dyDescent="0.3">
      <c r="A35" s="33"/>
    </row>
    <row r="36" spans="1:5" x14ac:dyDescent="0.3">
      <c r="A36" s="44" t="s">
        <v>611</v>
      </c>
      <c r="B36" s="127" t="s">
        <v>108</v>
      </c>
      <c r="C36" s="127" t="s">
        <v>109</v>
      </c>
      <c r="D36" s="127" t="s">
        <v>110</v>
      </c>
      <c r="E36" s="127" t="s">
        <v>111</v>
      </c>
    </row>
    <row r="37" spans="1:5" x14ac:dyDescent="0.3">
      <c r="A37" s="57" t="s">
        <v>666</v>
      </c>
      <c r="B37" s="105">
        <v>10</v>
      </c>
      <c r="C37" s="105">
        <v>25</v>
      </c>
      <c r="D37" s="105">
        <v>7</v>
      </c>
      <c r="E37" s="105">
        <v>50</v>
      </c>
    </row>
    <row r="38" spans="1:5" x14ac:dyDescent="0.3">
      <c r="A38" s="57" t="s">
        <v>665</v>
      </c>
      <c r="B38" s="250">
        <v>0.95</v>
      </c>
      <c r="C38" s="250">
        <v>0.2</v>
      </c>
      <c r="D38" s="250">
        <v>0.2</v>
      </c>
      <c r="E38" s="271" t="s">
        <v>311</v>
      </c>
    </row>
    <row r="39" spans="1:5" x14ac:dyDescent="0.3">
      <c r="A39" s="57" t="s">
        <v>661</v>
      </c>
      <c r="B39" s="271" t="s">
        <v>307</v>
      </c>
      <c r="C39" s="250">
        <v>0.3</v>
      </c>
      <c r="D39" s="250">
        <v>0.05</v>
      </c>
      <c r="E39" s="250">
        <v>0.3</v>
      </c>
    </row>
    <row r="40" spans="1:5" x14ac:dyDescent="0.3">
      <c r="A40" s="57" t="s">
        <v>670</v>
      </c>
      <c r="B40" s="272">
        <v>0.15</v>
      </c>
      <c r="C40" s="272">
        <v>0.2</v>
      </c>
      <c r="D40" s="272">
        <v>0.25</v>
      </c>
      <c r="E40" s="272">
        <v>8</v>
      </c>
    </row>
    <row r="41" spans="1:5" ht="15.5" x14ac:dyDescent="0.3">
      <c r="A41" s="270" t="s">
        <v>303</v>
      </c>
      <c r="B41" s="250">
        <v>0.1</v>
      </c>
      <c r="C41" s="250">
        <v>0.3</v>
      </c>
      <c r="D41" s="273">
        <f>D42/D37</f>
        <v>5.7142857142857148E-2</v>
      </c>
      <c r="E41" s="250">
        <v>0.9</v>
      </c>
    </row>
    <row r="42" spans="1:5" x14ac:dyDescent="0.3">
      <c r="A42" s="57" t="s">
        <v>677</v>
      </c>
      <c r="B42" s="105">
        <v>1</v>
      </c>
      <c r="C42" s="271">
        <f>C37*C41</f>
        <v>7.5</v>
      </c>
      <c r="D42" s="105">
        <v>0.4</v>
      </c>
      <c r="E42" s="105">
        <v>45</v>
      </c>
    </row>
    <row r="44" spans="1:5" x14ac:dyDescent="0.3">
      <c r="A44" t="s">
        <v>677</v>
      </c>
      <c r="B44">
        <f>B37*B41</f>
        <v>1</v>
      </c>
      <c r="C44">
        <f>C37*C41</f>
        <v>7.5</v>
      </c>
      <c r="D44">
        <f>D37*D41</f>
        <v>0.4</v>
      </c>
      <c r="E44">
        <f>E37*E41</f>
        <v>45</v>
      </c>
    </row>
    <row r="45" spans="1:5" x14ac:dyDescent="0.3">
      <c r="A45" t="s">
        <v>676</v>
      </c>
      <c r="B45" s="84">
        <f>B42/B37</f>
        <v>0.1</v>
      </c>
      <c r="C45" s="84">
        <f>C42/C37</f>
        <v>0.3</v>
      </c>
      <c r="D45" s="84">
        <f>D42/D37</f>
        <v>5.7142857142857148E-2</v>
      </c>
      <c r="E45" s="84">
        <f>E42/E37</f>
        <v>0.9</v>
      </c>
    </row>
    <row r="48" spans="1:5" x14ac:dyDescent="0.3">
      <c r="A48" s="33" t="s">
        <v>1239</v>
      </c>
    </row>
    <row r="49" spans="1:6" ht="30" x14ac:dyDescent="0.3">
      <c r="A49" s="25"/>
      <c r="B49" s="121" t="s">
        <v>625</v>
      </c>
      <c r="C49" s="120" t="s">
        <v>626</v>
      </c>
      <c r="D49" s="120" t="s">
        <v>627</v>
      </c>
      <c r="E49" s="123" t="s">
        <v>631</v>
      </c>
      <c r="F49" s="123" t="s">
        <v>628</v>
      </c>
    </row>
    <row r="50" spans="1:6" x14ac:dyDescent="0.3">
      <c r="A50" t="s">
        <v>1236</v>
      </c>
      <c r="B50" s="334">
        <v>2193</v>
      </c>
      <c r="C50" s="335">
        <v>1514</v>
      </c>
      <c r="D50" s="335">
        <v>253</v>
      </c>
      <c r="E50" s="77">
        <f>(B50+C50)/D50</f>
        <v>14.652173913043478</v>
      </c>
      <c r="F50" s="37">
        <v>0.03</v>
      </c>
    </row>
    <row r="51" spans="1:6" x14ac:dyDescent="0.3">
      <c r="A51" t="s">
        <v>1237</v>
      </c>
      <c r="B51" s="334">
        <v>1850</v>
      </c>
      <c r="C51" s="335">
        <v>-339</v>
      </c>
      <c r="D51" s="335">
        <v>100</v>
      </c>
      <c r="E51" s="77">
        <f>(B51+C51)/D51</f>
        <v>15.11</v>
      </c>
      <c r="F51" s="37">
        <v>0.09</v>
      </c>
    </row>
    <row r="52" spans="1:6" x14ac:dyDescent="0.3">
      <c r="A52" t="s">
        <v>1238</v>
      </c>
      <c r="B52" s="334">
        <v>4394</v>
      </c>
      <c r="C52" s="335">
        <v>2179</v>
      </c>
      <c r="D52" s="335">
        <v>388</v>
      </c>
      <c r="E52" s="77">
        <f>(B52+C52)/D52</f>
        <v>16.940721649484537</v>
      </c>
      <c r="F52" s="37">
        <v>0.15</v>
      </c>
    </row>
    <row r="54" spans="1:6" ht="30" x14ac:dyDescent="0.3">
      <c r="A54" s="25"/>
      <c r="B54" s="120" t="s">
        <v>629</v>
      </c>
      <c r="C54" s="120" t="s">
        <v>630</v>
      </c>
      <c r="D54" s="25"/>
      <c r="E54" s="120" t="s">
        <v>632</v>
      </c>
      <c r="F54" s="25"/>
    </row>
    <row r="55" spans="1:6" x14ac:dyDescent="0.3">
      <c r="A55" t="s">
        <v>1240</v>
      </c>
      <c r="B55" s="309">
        <f>MIN(E50:E52)*D55</f>
        <v>146.52173913043478</v>
      </c>
      <c r="C55" s="309">
        <f>MAX(E50:E52)*D55</f>
        <v>169.40721649484539</v>
      </c>
      <c r="D55" s="333">
        <v>10</v>
      </c>
      <c r="E55" s="125">
        <f>INDEX(LINEST(E50:E52,F50:F52),1)*F55+INDEX(LINEST(E50:E52,F50:F52),2)</f>
        <v>15.758344165546093</v>
      </c>
      <c r="F55" s="37">
        <v>0.1</v>
      </c>
    </row>
    <row r="56" spans="1:6" x14ac:dyDescent="0.3">
      <c r="B56" s="336"/>
      <c r="C56" s="308"/>
    </row>
  </sheetData>
  <phoneticPr fontId="4" type="noConversion"/>
  <pageMargins left="0.78740157480314965" right="0.78740157480314965" top="0.98425196850393704" bottom="0.98425196850393704" header="0.51181102362204722" footer="0.51181102362204722"/>
  <pageSetup paperSize="9" scale="88"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D53"/>
  <sheetViews>
    <sheetView showGridLines="0" workbookViewId="0"/>
  </sheetViews>
  <sheetFormatPr baseColWidth="10" defaultRowHeight="13.5" x14ac:dyDescent="0.3"/>
  <cols>
    <col min="1" max="1" width="19.765625" customWidth="1"/>
    <col min="3" max="3" width="11.3828125" customWidth="1"/>
  </cols>
  <sheetData>
    <row r="1" spans="1:4" x14ac:dyDescent="0.3">
      <c r="A1" s="33" t="s">
        <v>1418</v>
      </c>
    </row>
    <row r="9" spans="1:4" x14ac:dyDescent="0.3">
      <c r="A9" s="33" t="s">
        <v>1762</v>
      </c>
    </row>
    <row r="10" spans="1:4" x14ac:dyDescent="0.3">
      <c r="A10" s="12"/>
    </row>
    <row r="11" spans="1:4" x14ac:dyDescent="0.3">
      <c r="A11" t="s">
        <v>689</v>
      </c>
      <c r="B11" s="92" t="s">
        <v>705</v>
      </c>
      <c r="C11" s="92" t="s">
        <v>704</v>
      </c>
    </row>
    <row r="12" spans="1:4" x14ac:dyDescent="0.3">
      <c r="A12" t="s">
        <v>690</v>
      </c>
      <c r="B12">
        <v>4</v>
      </c>
      <c r="C12">
        <v>6</v>
      </c>
      <c r="D12" t="s">
        <v>182</v>
      </c>
    </row>
    <row r="13" spans="1:4" x14ac:dyDescent="0.3">
      <c r="A13" t="s">
        <v>698</v>
      </c>
      <c r="B13">
        <v>10</v>
      </c>
      <c r="C13">
        <v>9</v>
      </c>
      <c r="D13" t="s">
        <v>615</v>
      </c>
    </row>
    <row r="14" spans="1:4" x14ac:dyDescent="0.3">
      <c r="A14" t="s">
        <v>313</v>
      </c>
      <c r="B14">
        <f>C14</f>
        <v>9</v>
      </c>
      <c r="C14">
        <v>9</v>
      </c>
      <c r="D14" t="s">
        <v>615</v>
      </c>
    </row>
    <row r="15" spans="1:4" ht="15.5" x14ac:dyDescent="0.3">
      <c r="A15" t="s">
        <v>312</v>
      </c>
      <c r="B15" s="37">
        <v>0.01</v>
      </c>
      <c r="C15" s="37">
        <f>B15</f>
        <v>0.01</v>
      </c>
    </row>
    <row r="16" spans="1:4" x14ac:dyDescent="0.3">
      <c r="B16" s="37"/>
    </row>
    <row r="17" spans="1:4" x14ac:dyDescent="0.3">
      <c r="A17" s="116" t="s">
        <v>1241</v>
      </c>
      <c r="B17" s="37"/>
      <c r="C17" s="116"/>
    </row>
    <row r="18" spans="1:4" x14ac:dyDescent="0.3">
      <c r="A18" t="s">
        <v>694</v>
      </c>
      <c r="B18" s="5">
        <f>B12/12</f>
        <v>0.33333333333333331</v>
      </c>
      <c r="C18">
        <f>C12/12</f>
        <v>0.5</v>
      </c>
    </row>
    <row r="19" spans="1:4" x14ac:dyDescent="0.3">
      <c r="A19" t="s">
        <v>697</v>
      </c>
      <c r="B19" s="69">
        <f>LN(B14/B13)</f>
        <v>-0.10536051565782628</v>
      </c>
      <c r="C19" s="69">
        <f>LN(C14/C13)</f>
        <v>0</v>
      </c>
    </row>
    <row r="20" spans="1:4" ht="15.5" x14ac:dyDescent="0.3">
      <c r="A20" t="s">
        <v>314</v>
      </c>
      <c r="B20" s="86">
        <f>(B15+B29*B29/2)*B18</f>
        <v>1.8333333333333333E-2</v>
      </c>
      <c r="C20" s="86">
        <f>(C15+C29*C29/2)*C18</f>
        <v>2.75E-2</v>
      </c>
    </row>
    <row r="21" spans="1:4" x14ac:dyDescent="0.3">
      <c r="A21" t="s">
        <v>700</v>
      </c>
      <c r="B21" s="86">
        <f>B29*SQRT(B18)</f>
        <v>0.1732050807568877</v>
      </c>
      <c r="C21" s="86">
        <f>C29*SQRT(C18)</f>
        <v>0.21213203435596426</v>
      </c>
    </row>
    <row r="23" spans="1:4" x14ac:dyDescent="0.3">
      <c r="A23" t="s">
        <v>695</v>
      </c>
      <c r="B23" s="17">
        <f>(B19+B20)/B21</f>
        <v>-0.50245167141860647</v>
      </c>
      <c r="C23" s="17">
        <f>(C19+C20)/C21</f>
        <v>0.12963624321753373</v>
      </c>
    </row>
    <row r="24" spans="1:4" x14ac:dyDescent="0.3">
      <c r="A24" t="s">
        <v>696</v>
      </c>
      <c r="B24" s="37">
        <f>B23-B21</f>
        <v>-0.67565675217549415</v>
      </c>
      <c r="C24" s="37">
        <f>C23-C21</f>
        <v>-8.249579113843053E-2</v>
      </c>
    </row>
    <row r="25" spans="1:4" x14ac:dyDescent="0.3">
      <c r="A25" t="s">
        <v>692</v>
      </c>
      <c r="B25" s="5">
        <f>NORMDIST(B23,0,1,TRUE)</f>
        <v>0.3076749199137887</v>
      </c>
      <c r="C25" s="5">
        <f>NORMDIST(C23,0,1,TRUE)</f>
        <v>0.55157288637548119</v>
      </c>
    </row>
    <row r="26" spans="1:4" x14ac:dyDescent="0.3">
      <c r="A26" t="s">
        <v>691</v>
      </c>
      <c r="B26" s="5">
        <f>NORMDIST(B24,0,1,TRUE)</f>
        <v>0.24962930010862988</v>
      </c>
      <c r="C26" s="5">
        <f>NORMDIST(C24,0,1,TRUE)</f>
        <v>0.46712623255664132</v>
      </c>
    </row>
    <row r="27" spans="1:4" x14ac:dyDescent="0.3">
      <c r="A27" t="s">
        <v>701</v>
      </c>
      <c r="B27" s="5">
        <f>EXP(-B18*B15)</f>
        <v>0.99667221605452327</v>
      </c>
      <c r="C27" s="5">
        <f>EXP(-C18*C15)</f>
        <v>0.99501247919268232</v>
      </c>
    </row>
    <row r="28" spans="1:4" x14ac:dyDescent="0.3">
      <c r="A28" s="1" t="s">
        <v>703</v>
      </c>
      <c r="B28" s="488">
        <f>B25*B14-B26*B13*B27</f>
        <v>0.28108840191002038</v>
      </c>
      <c r="C28" s="406">
        <f>C25*C14-C26*C13*C27</f>
        <v>0.78098810061024082</v>
      </c>
      <c r="D28" s="405"/>
    </row>
    <row r="29" spans="1:4" x14ac:dyDescent="0.3">
      <c r="A29" s="1" t="s">
        <v>702</v>
      </c>
      <c r="B29" s="274">
        <v>0.3</v>
      </c>
      <c r="C29" s="147">
        <f>B29</f>
        <v>0.3</v>
      </c>
      <c r="D29" s="37"/>
    </row>
    <row r="31" spans="1:4" x14ac:dyDescent="0.3">
      <c r="A31" s="33" t="s">
        <v>1763</v>
      </c>
    </row>
    <row r="32" spans="1:4" x14ac:dyDescent="0.3">
      <c r="A32" s="33"/>
    </row>
    <row r="33" spans="1:4" ht="27" x14ac:dyDescent="0.3">
      <c r="A33" s="3" t="s">
        <v>706</v>
      </c>
      <c r="B33" s="66" t="s">
        <v>1616</v>
      </c>
      <c r="C33" s="66" t="s">
        <v>1617</v>
      </c>
    </row>
    <row r="34" spans="1:4" x14ac:dyDescent="0.3">
      <c r="A34" t="s">
        <v>690</v>
      </c>
      <c r="B34">
        <v>6</v>
      </c>
      <c r="C34">
        <v>6</v>
      </c>
      <c r="D34" t="s">
        <v>182</v>
      </c>
    </row>
    <row r="35" spans="1:4" x14ac:dyDescent="0.3">
      <c r="A35" t="s">
        <v>698</v>
      </c>
      <c r="B35">
        <v>6</v>
      </c>
      <c r="C35">
        <v>6</v>
      </c>
      <c r="D35" t="s">
        <v>615</v>
      </c>
    </row>
    <row r="36" spans="1:4" x14ac:dyDescent="0.3">
      <c r="A36" t="s">
        <v>693</v>
      </c>
      <c r="B36">
        <f>B14*1.5</f>
        <v>13.5</v>
      </c>
      <c r="C36">
        <f>C14*0.5</f>
        <v>4.5</v>
      </c>
      <c r="D36" t="s">
        <v>615</v>
      </c>
    </row>
    <row r="37" spans="1:4" ht="15.5" x14ac:dyDescent="0.3">
      <c r="A37" t="s">
        <v>312</v>
      </c>
      <c r="B37" s="37">
        <v>0.01</v>
      </c>
      <c r="C37" s="37">
        <v>0.01</v>
      </c>
    </row>
    <row r="38" spans="1:4" x14ac:dyDescent="0.3">
      <c r="B38" s="37"/>
    </row>
    <row r="39" spans="1:4" x14ac:dyDescent="0.3">
      <c r="A39" s="116" t="s">
        <v>315</v>
      </c>
      <c r="B39" s="37"/>
      <c r="C39" s="116"/>
    </row>
    <row r="40" spans="1:4" x14ac:dyDescent="0.3">
      <c r="A40" t="s">
        <v>694</v>
      </c>
      <c r="B40">
        <f>B34/12</f>
        <v>0.5</v>
      </c>
      <c r="C40">
        <f>C34/12</f>
        <v>0.5</v>
      </c>
    </row>
    <row r="41" spans="1:4" x14ac:dyDescent="0.3">
      <c r="A41" t="s">
        <v>697</v>
      </c>
      <c r="B41" s="69">
        <f>LN(B36/B35)</f>
        <v>0.81093021621632877</v>
      </c>
      <c r="C41" s="69">
        <f>LN(C36/C35)</f>
        <v>-0.2876820724517809</v>
      </c>
    </row>
    <row r="42" spans="1:4" x14ac:dyDescent="0.3">
      <c r="A42" t="s">
        <v>699</v>
      </c>
      <c r="B42" s="86">
        <f>(B37+B51*B51/2)*B40</f>
        <v>2.75E-2</v>
      </c>
      <c r="C42" s="86">
        <f>(C37+C51*C51/2)*C40</f>
        <v>2.75E-2</v>
      </c>
    </row>
    <row r="43" spans="1:4" x14ac:dyDescent="0.3">
      <c r="A43" t="s">
        <v>700</v>
      </c>
      <c r="B43" s="86">
        <f>B51*SQRT(B40)</f>
        <v>0.21213203435596426</v>
      </c>
      <c r="C43" s="86">
        <f>C51*SQRT(C40)</f>
        <v>0.21213203435596426</v>
      </c>
    </row>
    <row r="45" spans="1:4" x14ac:dyDescent="0.3">
      <c r="A45" t="s">
        <v>695</v>
      </c>
      <c r="B45" s="17">
        <f>(B41+B42)/B43</f>
        <v>3.9523979429217952</v>
      </c>
      <c r="C45" s="17">
        <f>(C41+C42)/C43</f>
        <v>-1.2265100518254926</v>
      </c>
    </row>
    <row r="46" spans="1:4" x14ac:dyDescent="0.3">
      <c r="A46" t="s">
        <v>696</v>
      </c>
      <c r="B46" s="37">
        <f>B45-B43</f>
        <v>3.740265908565831</v>
      </c>
      <c r="C46" s="37">
        <f>C45-C43</f>
        <v>-1.4386420861814568</v>
      </c>
    </row>
    <row r="47" spans="1:4" x14ac:dyDescent="0.3">
      <c r="A47" t="s">
        <v>692</v>
      </c>
      <c r="B47" s="5">
        <f>NORMDIST(B45,0,1,TRUE)</f>
        <v>0.99996131403439681</v>
      </c>
      <c r="C47" s="5">
        <f>NORMDIST(C45,0,1,TRUE)</f>
        <v>0.11000339750396831</v>
      </c>
    </row>
    <row r="48" spans="1:4" x14ac:dyDescent="0.3">
      <c r="A48" t="s">
        <v>691</v>
      </c>
      <c r="B48" s="5">
        <f>NORMDIST(B46,0,1,TRUE)</f>
        <v>0.99990808716017432</v>
      </c>
      <c r="C48" s="5">
        <f>NORMDIST(C46,0,1,TRUE)</f>
        <v>7.512597784565897E-2</v>
      </c>
    </row>
    <row r="49" spans="1:4" x14ac:dyDescent="0.3">
      <c r="A49" t="s">
        <v>701</v>
      </c>
      <c r="B49" s="5">
        <f>EXP(-B40*B37)</f>
        <v>0.99501247919268232</v>
      </c>
      <c r="C49" s="5">
        <f>EXP(-C40*C37)</f>
        <v>0.99501247919268232</v>
      </c>
    </row>
    <row r="50" spans="1:4" x14ac:dyDescent="0.3">
      <c r="A50" s="1" t="s">
        <v>703</v>
      </c>
      <c r="B50" s="275">
        <f>B47*B36-B48*B35*B49</f>
        <v>7.5299515908440107</v>
      </c>
      <c r="C50" s="275">
        <f>C47*C36-C48*C35*C49</f>
        <v>4.6507575959955416E-2</v>
      </c>
    </row>
    <row r="51" spans="1:4" x14ac:dyDescent="0.3">
      <c r="A51" s="68" t="s">
        <v>702</v>
      </c>
      <c r="B51" s="147">
        <f>B29</f>
        <v>0.3</v>
      </c>
      <c r="C51" s="147">
        <f>B51</f>
        <v>0.3</v>
      </c>
      <c r="D51" s="37"/>
    </row>
    <row r="53" spans="1:4" x14ac:dyDescent="0.3">
      <c r="A53" t="s">
        <v>1242</v>
      </c>
      <c r="B53" s="17">
        <f>+B50/$C$28-1</f>
        <v>8.6415701916076966</v>
      </c>
      <c r="C53" s="17">
        <f>+C50/$C$28-1</f>
        <v>-0.94045033986610582</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dimension ref="A1:D23"/>
  <sheetViews>
    <sheetView showGridLines="0" workbookViewId="0">
      <selection activeCell="C23" sqref="C23"/>
    </sheetView>
  </sheetViews>
  <sheetFormatPr baseColWidth="10" defaultRowHeight="13.5" x14ac:dyDescent="0.3"/>
  <cols>
    <col min="1" max="1" width="35.23046875" style="184" customWidth="1"/>
    <col min="2" max="2" width="20.15234375" style="205" customWidth="1"/>
    <col min="3" max="4" width="20.15234375" customWidth="1"/>
  </cols>
  <sheetData>
    <row r="1" spans="1:4" x14ac:dyDescent="0.3">
      <c r="A1" s="33" t="s">
        <v>1157</v>
      </c>
    </row>
    <row r="2" spans="1:4" s="207" customFormat="1" ht="23" x14ac:dyDescent="0.3">
      <c r="A2" s="489"/>
      <c r="B2" s="490" t="s">
        <v>1046</v>
      </c>
      <c r="C2" s="490" t="s">
        <v>1050</v>
      </c>
      <c r="D2" s="490" t="s">
        <v>1051</v>
      </c>
    </row>
    <row r="3" spans="1:4" x14ac:dyDescent="0.3">
      <c r="A3" s="185" t="s">
        <v>1378</v>
      </c>
      <c r="B3" s="205">
        <f>B4*B5</f>
        <v>4000000000</v>
      </c>
      <c r="C3" s="206">
        <f>B3</f>
        <v>4000000000</v>
      </c>
      <c r="D3" s="205">
        <f>C3</f>
        <v>4000000000</v>
      </c>
    </row>
    <row r="4" spans="1:4" x14ac:dyDescent="0.3">
      <c r="A4" s="204" t="s">
        <v>1040</v>
      </c>
      <c r="B4" s="206">
        <v>2000000</v>
      </c>
      <c r="C4" s="206">
        <f t="shared" ref="C4:D9" si="0">B4</f>
        <v>2000000</v>
      </c>
      <c r="D4" s="205">
        <f>C4</f>
        <v>2000000</v>
      </c>
    </row>
    <row r="5" spans="1:4" x14ac:dyDescent="0.3">
      <c r="A5" s="204" t="s">
        <v>1193</v>
      </c>
      <c r="B5" s="206">
        <v>2000</v>
      </c>
      <c r="C5" s="206">
        <f t="shared" si="0"/>
        <v>2000</v>
      </c>
      <c r="D5" s="205">
        <f t="shared" si="0"/>
        <v>2000</v>
      </c>
    </row>
    <row r="6" spans="1:4" x14ac:dyDescent="0.3">
      <c r="A6" s="185" t="s">
        <v>240</v>
      </c>
      <c r="B6" s="205">
        <f>B7*B8</f>
        <v>500000000</v>
      </c>
      <c r="C6" s="206">
        <f t="shared" si="0"/>
        <v>500000000</v>
      </c>
      <c r="D6" s="205">
        <f t="shared" si="0"/>
        <v>500000000</v>
      </c>
    </row>
    <row r="7" spans="1:4" x14ac:dyDescent="0.3">
      <c r="A7" s="204" t="s">
        <v>1041</v>
      </c>
      <c r="B7" s="206">
        <v>500000</v>
      </c>
      <c r="C7" s="206">
        <f t="shared" si="0"/>
        <v>500000</v>
      </c>
      <c r="D7" s="205">
        <f t="shared" si="0"/>
        <v>500000</v>
      </c>
    </row>
    <row r="8" spans="1:4" x14ac:dyDescent="0.3">
      <c r="A8" s="204" t="s">
        <v>1042</v>
      </c>
      <c r="B8" s="206">
        <v>1000</v>
      </c>
      <c r="C8" s="206">
        <f t="shared" si="0"/>
        <v>1000</v>
      </c>
      <c r="D8" s="205">
        <f t="shared" si="0"/>
        <v>1000</v>
      </c>
    </row>
    <row r="9" spans="1:4" x14ac:dyDescent="0.3">
      <c r="A9" s="204" t="s">
        <v>1047</v>
      </c>
      <c r="B9" s="69">
        <v>0.05</v>
      </c>
      <c r="C9" s="69">
        <f t="shared" si="0"/>
        <v>0.05</v>
      </c>
      <c r="D9" s="69">
        <f t="shared" si="0"/>
        <v>0.05</v>
      </c>
    </row>
    <row r="10" spans="1:4" x14ac:dyDescent="0.3">
      <c r="A10" s="204" t="s">
        <v>1048</v>
      </c>
      <c r="B10" s="69"/>
      <c r="C10" s="206">
        <v>2100</v>
      </c>
      <c r="D10" s="205">
        <f>C10</f>
        <v>2100</v>
      </c>
    </row>
    <row r="11" spans="1:4" x14ac:dyDescent="0.3">
      <c r="A11" s="204" t="s">
        <v>1049</v>
      </c>
      <c r="B11" s="69"/>
      <c r="C11" s="69">
        <v>0.08</v>
      </c>
      <c r="D11" s="69">
        <f>C11</f>
        <v>0.08</v>
      </c>
    </row>
    <row r="13" spans="1:4" x14ac:dyDescent="0.3">
      <c r="A13" s="185" t="s">
        <v>431</v>
      </c>
      <c r="B13" s="205">
        <v>300000000</v>
      </c>
      <c r="C13" s="205">
        <f>B13</f>
        <v>300000000</v>
      </c>
      <c r="D13" s="205">
        <f>C13</f>
        <v>300000000</v>
      </c>
    </row>
    <row r="14" spans="1:4" x14ac:dyDescent="0.3">
      <c r="A14" s="185" t="s">
        <v>1044</v>
      </c>
      <c r="B14" s="69">
        <v>0.36699999999999999</v>
      </c>
      <c r="C14" s="86">
        <f>B14</f>
        <v>0.36699999999999999</v>
      </c>
      <c r="D14" s="86">
        <f>C14</f>
        <v>0.36699999999999999</v>
      </c>
    </row>
    <row r="16" spans="1:4" x14ac:dyDescent="0.3">
      <c r="A16" s="186" t="s">
        <v>1045</v>
      </c>
      <c r="B16" s="208">
        <f>(B13+B9*B8*B7*(1-B14))/(B4+B7)</f>
        <v>126.33</v>
      </c>
      <c r="C16" s="225">
        <f>(C13+C10*C7*C11*(1-C14))/(C4+C7)</f>
        <v>141.2688</v>
      </c>
      <c r="D16" s="208">
        <f>(D13)/(D4+D7*(1-D10/D5))</f>
        <v>151.8987341772152</v>
      </c>
    </row>
    <row r="18" spans="1:4" x14ac:dyDescent="0.3">
      <c r="A18" s="209" t="s">
        <v>1053</v>
      </c>
    </row>
    <row r="19" spans="1:4" x14ac:dyDescent="0.3">
      <c r="A19" s="185" t="s">
        <v>1052</v>
      </c>
      <c r="C19" s="86">
        <v>0.08</v>
      </c>
      <c r="D19" s="86">
        <f>C19</f>
        <v>0.08</v>
      </c>
    </row>
    <row r="21" spans="1:4" x14ac:dyDescent="0.3">
      <c r="A21" s="185" t="s">
        <v>1054</v>
      </c>
      <c r="C21" s="205">
        <f>(C19-C9)*C8*C7*(1-C14)</f>
        <v>9495000</v>
      </c>
      <c r="D21" s="205">
        <f>(D19-D9)*D8*D7*(1-D14)</f>
        <v>9495000</v>
      </c>
    </row>
    <row r="22" spans="1:4" x14ac:dyDescent="0.3">
      <c r="A22" s="185" t="s">
        <v>1055</v>
      </c>
      <c r="C22" s="208">
        <f>C21/(C4+C7)</f>
        <v>3.798</v>
      </c>
      <c r="D22" s="208">
        <f>D21/(D4+D7*(1-D10/D5))</f>
        <v>4.8075949367088606</v>
      </c>
    </row>
    <row r="23" spans="1:4" x14ac:dyDescent="0.3">
      <c r="A23" s="186" t="s">
        <v>664</v>
      </c>
      <c r="C23" s="208">
        <f>C16+C22</f>
        <v>145.0668</v>
      </c>
      <c r="D23" s="208">
        <f>D16+D22</f>
        <v>156.70632911392406</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F47"/>
  <sheetViews>
    <sheetView showGridLines="0" workbookViewId="0"/>
  </sheetViews>
  <sheetFormatPr baseColWidth="10" defaultRowHeight="13.5" x14ac:dyDescent="0.3"/>
  <cols>
    <col min="1" max="1" width="30" customWidth="1"/>
    <col min="2" max="2" width="18" customWidth="1"/>
  </cols>
  <sheetData>
    <row r="1" spans="1:4" x14ac:dyDescent="0.3">
      <c r="A1" s="33" t="s">
        <v>1695</v>
      </c>
    </row>
    <row r="2" spans="1:4" x14ac:dyDescent="0.3">
      <c r="A2" s="33"/>
    </row>
    <row r="3" spans="1:4" x14ac:dyDescent="0.3">
      <c r="A3" t="s">
        <v>798</v>
      </c>
      <c r="B3" s="40"/>
    </row>
    <row r="4" spans="1:4" x14ac:dyDescent="0.3">
      <c r="A4" t="s">
        <v>317</v>
      </c>
      <c r="B4" s="224">
        <v>175000000</v>
      </c>
      <c r="C4" s="99"/>
    </row>
    <row r="5" spans="1:4" x14ac:dyDescent="0.3">
      <c r="A5" t="s">
        <v>318</v>
      </c>
      <c r="B5" s="40">
        <v>56</v>
      </c>
      <c r="C5" s="99"/>
    </row>
    <row r="6" spans="1:4" x14ac:dyDescent="0.3">
      <c r="A6" t="s">
        <v>316</v>
      </c>
      <c r="B6" s="224">
        <v>131250000</v>
      </c>
    </row>
    <row r="7" spans="1:4" x14ac:dyDescent="0.3">
      <c r="A7" t="s">
        <v>635</v>
      </c>
      <c r="B7" s="15">
        <v>38</v>
      </c>
    </row>
    <row r="8" spans="1:4" x14ac:dyDescent="0.3">
      <c r="B8" s="15"/>
    </row>
    <row r="9" spans="1:4" x14ac:dyDescent="0.3">
      <c r="A9" t="s">
        <v>101</v>
      </c>
      <c r="B9" s="15"/>
    </row>
    <row r="10" spans="1:4" x14ac:dyDescent="0.3">
      <c r="A10" t="s">
        <v>1009</v>
      </c>
      <c r="B10" s="15">
        <f>B4/B6</f>
        <v>1.3333333333333333</v>
      </c>
      <c r="C10" t="s">
        <v>1137</v>
      </c>
    </row>
    <row r="11" spans="1:4" x14ac:dyDescent="0.3">
      <c r="B11" s="15"/>
    </row>
    <row r="12" spans="1:4" x14ac:dyDescent="0.3">
      <c r="A12" s="357" t="s">
        <v>1139</v>
      </c>
      <c r="B12" s="358" t="str">
        <f>+"3 x "&amp;B5</f>
        <v>3 x 56</v>
      </c>
      <c r="C12" s="277" t="s">
        <v>1140</v>
      </c>
      <c r="D12">
        <f>3*56-3*B16</f>
        <v>144.85714285714286</v>
      </c>
    </row>
    <row r="13" spans="1:4" x14ac:dyDescent="0.3">
      <c r="A13" s="119" t="s">
        <v>322</v>
      </c>
      <c r="B13" s="603" t="s">
        <v>322</v>
      </c>
      <c r="C13" s="603"/>
      <c r="D13" s="39"/>
    </row>
    <row r="14" spans="1:4" x14ac:dyDescent="0.3">
      <c r="A14" s="128" t="s">
        <v>1138</v>
      </c>
      <c r="B14" s="359" t="str">
        <f>"3 x "&amp;B7</f>
        <v>3 x 38</v>
      </c>
      <c r="C14" s="278" t="s">
        <v>1141</v>
      </c>
      <c r="D14">
        <f>3*38+4*B16</f>
        <v>144.85714285714286</v>
      </c>
    </row>
    <row r="15" spans="1:4" x14ac:dyDescent="0.3">
      <c r="B15" s="15"/>
      <c r="C15" s="22"/>
    </row>
    <row r="16" spans="1:4" x14ac:dyDescent="0.3">
      <c r="A16" s="1" t="s">
        <v>319</v>
      </c>
      <c r="B16" s="32">
        <f>(B5-B7)/(1+B10)</f>
        <v>7.7142857142857153</v>
      </c>
    </row>
    <row r="17" spans="1:6" x14ac:dyDescent="0.3">
      <c r="B17" s="15"/>
    </row>
    <row r="18" spans="1:6" x14ac:dyDescent="0.3">
      <c r="A18" t="s">
        <v>102</v>
      </c>
      <c r="B18" s="15"/>
    </row>
    <row r="19" spans="1:6" x14ac:dyDescent="0.3">
      <c r="A19" t="s">
        <v>320</v>
      </c>
      <c r="B19" s="65">
        <f>B5*B4+B7*B6</f>
        <v>14787500000</v>
      </c>
      <c r="C19" s="105" t="s">
        <v>360</v>
      </c>
      <c r="D19" t="s">
        <v>358</v>
      </c>
      <c r="F19" s="15">
        <f>B5</f>
        <v>56</v>
      </c>
    </row>
    <row r="20" spans="1:6" x14ac:dyDescent="0.3">
      <c r="A20" t="s">
        <v>1551</v>
      </c>
      <c r="B20" s="65">
        <f>B4+B6</f>
        <v>306250000</v>
      </c>
      <c r="D20" t="s">
        <v>359</v>
      </c>
      <c r="F20" s="15">
        <f>B16</f>
        <v>7.7142857142857153</v>
      </c>
    </row>
    <row r="21" spans="1:6" x14ac:dyDescent="0.3">
      <c r="A21" s="1" t="s">
        <v>321</v>
      </c>
      <c r="B21" s="32">
        <f>B19/B20</f>
        <v>48.285714285714285</v>
      </c>
      <c r="F21" s="141">
        <f>F19-F20</f>
        <v>48.285714285714285</v>
      </c>
    </row>
    <row r="22" spans="1:6" x14ac:dyDescent="0.3">
      <c r="B22" s="15"/>
    </row>
    <row r="23" spans="1:6" x14ac:dyDescent="0.3">
      <c r="A23" t="s">
        <v>298</v>
      </c>
      <c r="B23" s="15"/>
    </row>
    <row r="24" spans="1:6" x14ac:dyDescent="0.3">
      <c r="A24" s="279" t="s">
        <v>323</v>
      </c>
    </row>
    <row r="26" spans="1:6" x14ac:dyDescent="0.3">
      <c r="A26" s="105" t="s">
        <v>1040</v>
      </c>
      <c r="B26" s="105" t="s">
        <v>1060</v>
      </c>
      <c r="C26" s="105" t="s">
        <v>590</v>
      </c>
    </row>
    <row r="27" spans="1:6" x14ac:dyDescent="0.3">
      <c r="A27" s="105">
        <v>169</v>
      </c>
      <c r="B27" s="276">
        <f>B5</f>
        <v>56</v>
      </c>
      <c r="C27" s="395">
        <f>A27*B27</f>
        <v>9464</v>
      </c>
    </row>
    <row r="29" spans="1:6" x14ac:dyDescent="0.3">
      <c r="A29" s="23" t="s">
        <v>327</v>
      </c>
    </row>
    <row r="30" spans="1:6" x14ac:dyDescent="0.3">
      <c r="A30" s="23"/>
    </row>
    <row r="31" spans="1:6" x14ac:dyDescent="0.3">
      <c r="A31" s="281" t="s">
        <v>326</v>
      </c>
    </row>
    <row r="32" spans="1:6" x14ac:dyDescent="0.3">
      <c r="A32" s="105" t="s">
        <v>319</v>
      </c>
      <c r="B32" s="105" t="s">
        <v>1060</v>
      </c>
      <c r="C32" s="105"/>
    </row>
    <row r="33" spans="1:3" x14ac:dyDescent="0.3">
      <c r="A33" s="105">
        <v>133</v>
      </c>
      <c r="B33" s="276">
        <f>B16</f>
        <v>7.7142857142857153</v>
      </c>
      <c r="C33" s="303">
        <f>A33*B33</f>
        <v>1026.0000000000002</v>
      </c>
    </row>
    <row r="35" spans="1:3" x14ac:dyDescent="0.3">
      <c r="A35" s="281" t="s">
        <v>1415</v>
      </c>
    </row>
    <row r="36" spans="1:3" x14ac:dyDescent="0.3">
      <c r="A36" s="105" t="s">
        <v>602</v>
      </c>
      <c r="B36" s="105" t="s">
        <v>1060</v>
      </c>
      <c r="C36" s="105"/>
    </row>
    <row r="37" spans="1:3" x14ac:dyDescent="0.3">
      <c r="A37" s="303">
        <f>(A27-A33)/B10</f>
        <v>27</v>
      </c>
      <c r="B37" s="276">
        <f>B7</f>
        <v>38</v>
      </c>
      <c r="C37" s="303">
        <f>-A37*B37</f>
        <v>-1026</v>
      </c>
    </row>
    <row r="39" spans="1:3" x14ac:dyDescent="0.3">
      <c r="A39" s="23" t="s">
        <v>324</v>
      </c>
    </row>
    <row r="41" spans="1:3" x14ac:dyDescent="0.3">
      <c r="A41" s="282" t="s">
        <v>330</v>
      </c>
    </row>
    <row r="42" spans="1:3" x14ac:dyDescent="0.3">
      <c r="A42" s="105" t="s">
        <v>328</v>
      </c>
      <c r="B42" s="105" t="s">
        <v>1060</v>
      </c>
      <c r="C42" s="105" t="s">
        <v>590</v>
      </c>
    </row>
    <row r="43" spans="1:3" x14ac:dyDescent="0.3">
      <c r="A43" s="303">
        <f>A27+A37</f>
        <v>196</v>
      </c>
      <c r="B43" s="276">
        <f>B21</f>
        <v>48.285714285714285</v>
      </c>
      <c r="C43" s="303">
        <f>A43*B43</f>
        <v>9464</v>
      </c>
    </row>
    <row r="44" spans="1:3" x14ac:dyDescent="0.3">
      <c r="A44" s="105"/>
      <c r="B44" s="276"/>
      <c r="C44" s="105"/>
    </row>
    <row r="45" spans="1:3" x14ac:dyDescent="0.3">
      <c r="A45" s="282" t="s">
        <v>329</v>
      </c>
      <c r="B45" s="105"/>
      <c r="C45" s="303">
        <f>C33+C37</f>
        <v>0</v>
      </c>
    </row>
    <row r="46" spans="1:3" x14ac:dyDescent="0.3">
      <c r="C46" s="127"/>
    </row>
    <row r="47" spans="1:3" x14ac:dyDescent="0.3">
      <c r="A47" s="1" t="s">
        <v>1107</v>
      </c>
      <c r="B47" s="1"/>
      <c r="C47" s="395">
        <f>C43+C45</f>
        <v>9464</v>
      </c>
    </row>
  </sheetData>
  <mergeCells count="1">
    <mergeCell ref="B13:C13"/>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E63"/>
  <sheetViews>
    <sheetView showGridLines="0" workbookViewId="0">
      <selection activeCell="B1" sqref="B1"/>
    </sheetView>
  </sheetViews>
  <sheetFormatPr baseColWidth="10" defaultRowHeight="13.5" x14ac:dyDescent="0.3"/>
  <cols>
    <col min="1" max="1" width="20.765625" bestFit="1" customWidth="1"/>
    <col min="3" max="3" width="12.765625" customWidth="1"/>
    <col min="4" max="4" width="9.3828125" bestFit="1" customWidth="1"/>
  </cols>
  <sheetData>
    <row r="1" spans="1:4" x14ac:dyDescent="0.3">
      <c r="A1" s="12" t="s">
        <v>710</v>
      </c>
    </row>
    <row r="2" spans="1:4" x14ac:dyDescent="0.3">
      <c r="A2" t="s">
        <v>711</v>
      </c>
      <c r="B2" s="40">
        <v>100</v>
      </c>
    </row>
    <row r="3" spans="1:4" x14ac:dyDescent="0.3">
      <c r="A3" t="s">
        <v>712</v>
      </c>
      <c r="B3" s="40">
        <v>25</v>
      </c>
    </row>
    <row r="4" spans="1:4" x14ac:dyDescent="0.3">
      <c r="A4" t="s">
        <v>519</v>
      </c>
      <c r="B4" s="15">
        <f>B3/B6-B2</f>
        <v>8.2563417436176678E-8</v>
      </c>
    </row>
    <row r="6" spans="1:4" s="68" customFormat="1" x14ac:dyDescent="0.3">
      <c r="A6" s="68" t="s">
        <v>331</v>
      </c>
      <c r="B6" s="147">
        <v>0.24999999979359144</v>
      </c>
    </row>
    <row r="7" spans="1:4" x14ac:dyDescent="0.3">
      <c r="A7" s="1"/>
      <c r="B7" s="143"/>
    </row>
    <row r="8" spans="1:4" x14ac:dyDescent="0.3">
      <c r="A8" t="s">
        <v>332</v>
      </c>
    </row>
    <row r="10" spans="1:4" x14ac:dyDescent="0.3">
      <c r="A10" t="s">
        <v>712</v>
      </c>
      <c r="B10" s="40">
        <v>10</v>
      </c>
      <c r="C10" s="40">
        <v>50</v>
      </c>
      <c r="D10" s="40"/>
    </row>
    <row r="12" spans="1:4" x14ac:dyDescent="0.3">
      <c r="A12" s="68" t="s">
        <v>713</v>
      </c>
      <c r="B12" s="40">
        <f>B10/$B$6</f>
        <v>40.000000033025373</v>
      </c>
      <c r="C12" s="40">
        <f>C10/$B$6</f>
        <v>200.00000016512683</v>
      </c>
      <c r="D12" s="32"/>
    </row>
    <row r="13" spans="1:4" x14ac:dyDescent="0.3">
      <c r="A13" s="68"/>
      <c r="B13" s="40"/>
      <c r="C13" s="40"/>
      <c r="D13" s="32"/>
    </row>
    <row r="14" spans="1:4" x14ac:dyDescent="0.3">
      <c r="A14" s="68" t="s">
        <v>299</v>
      </c>
      <c r="B14" s="40"/>
      <c r="C14" s="40"/>
      <c r="D14" s="32"/>
    </row>
    <row r="15" spans="1:4" x14ac:dyDescent="0.3">
      <c r="A15" s="68"/>
      <c r="B15" s="40"/>
      <c r="C15" s="40"/>
      <c r="D15" s="32"/>
    </row>
    <row r="16" spans="1:4" x14ac:dyDescent="0.3">
      <c r="A16" s="68" t="s">
        <v>333</v>
      </c>
      <c r="B16" s="40"/>
      <c r="C16" s="40"/>
      <c r="D16" s="32"/>
    </row>
    <row r="17" spans="1:5" x14ac:dyDescent="0.3">
      <c r="A17" s="68"/>
      <c r="B17" s="40"/>
      <c r="C17" s="40"/>
      <c r="D17" s="32"/>
    </row>
    <row r="18" spans="1:5" x14ac:dyDescent="0.3">
      <c r="A18" s="68" t="s">
        <v>334</v>
      </c>
      <c r="B18" s="40"/>
      <c r="C18" s="40"/>
      <c r="D18" s="32"/>
    </row>
    <row r="19" spans="1:5" x14ac:dyDescent="0.3">
      <c r="A19" s="68"/>
      <c r="B19" s="40"/>
      <c r="C19" s="40"/>
      <c r="D19" s="32"/>
    </row>
    <row r="20" spans="1:5" x14ac:dyDescent="0.3">
      <c r="A20" s="68" t="s">
        <v>308</v>
      </c>
      <c r="B20" s="68"/>
      <c r="C20" s="68" t="s">
        <v>336</v>
      </c>
      <c r="D20" s="105" t="s">
        <v>337</v>
      </c>
      <c r="E20" t="s">
        <v>335</v>
      </c>
    </row>
    <row r="21" spans="1:5" x14ac:dyDescent="0.3">
      <c r="A21" s="68"/>
      <c r="B21" s="68"/>
      <c r="C21" s="68"/>
      <c r="D21" s="105"/>
    </row>
    <row r="22" spans="1:5" x14ac:dyDescent="0.3">
      <c r="A22" s="68" t="s">
        <v>338</v>
      </c>
      <c r="B22" s="68"/>
      <c r="C22" s="68" t="s">
        <v>336</v>
      </c>
      <c r="D22" s="105" t="s">
        <v>339</v>
      </c>
      <c r="E22" t="s">
        <v>335</v>
      </c>
    </row>
    <row r="23" spans="1:5" x14ac:dyDescent="0.3">
      <c r="A23" s="1"/>
      <c r="D23" s="105"/>
    </row>
    <row r="24" spans="1:5" x14ac:dyDescent="0.3">
      <c r="A24" s="1"/>
      <c r="D24" s="105"/>
    </row>
    <row r="25" spans="1:5" x14ac:dyDescent="0.3">
      <c r="A25" s="33" t="s">
        <v>1468</v>
      </c>
    </row>
    <row r="26" spans="1:5" x14ac:dyDescent="0.3">
      <c r="A26" s="33"/>
    </row>
    <row r="27" spans="1:5" x14ac:dyDescent="0.3">
      <c r="A27" s="25" t="s">
        <v>715</v>
      </c>
      <c r="B27" s="43" t="s">
        <v>108</v>
      </c>
      <c r="C27" s="43" t="s">
        <v>109</v>
      </c>
    </row>
    <row r="28" spans="1:5" x14ac:dyDescent="0.3">
      <c r="A28" s="3" t="s">
        <v>1387</v>
      </c>
      <c r="B28" s="65">
        <v>1000</v>
      </c>
      <c r="C28" s="65">
        <v>1000</v>
      </c>
    </row>
    <row r="29" spans="1:5" ht="27" x14ac:dyDescent="0.3">
      <c r="A29" s="3" t="s">
        <v>716</v>
      </c>
      <c r="B29" s="604">
        <v>0.15</v>
      </c>
      <c r="C29" s="604"/>
    </row>
    <row r="30" spans="1:5" ht="27" x14ac:dyDescent="0.3">
      <c r="A30" s="3" t="s">
        <v>717</v>
      </c>
      <c r="B30" s="65">
        <v>50</v>
      </c>
      <c r="C30" s="65">
        <v>300</v>
      </c>
    </row>
    <row r="31" spans="1:5" x14ac:dyDescent="0.3">
      <c r="A31" t="s">
        <v>718</v>
      </c>
      <c r="B31" s="65">
        <v>50</v>
      </c>
      <c r="C31" s="65"/>
    </row>
    <row r="32" spans="1:5" x14ac:dyDescent="0.3">
      <c r="A32" t="s">
        <v>101</v>
      </c>
    </row>
    <row r="33" spans="1:4" x14ac:dyDescent="0.3">
      <c r="A33" s="2" t="s">
        <v>721</v>
      </c>
      <c r="B33" s="90">
        <f>B30/$B$29</f>
        <v>333.33333333333337</v>
      </c>
      <c r="C33" s="67">
        <f>C30/$B$29</f>
        <v>2000</v>
      </c>
    </row>
    <row r="34" spans="1:4" x14ac:dyDescent="0.3">
      <c r="A34" s="2"/>
      <c r="B34" s="67"/>
      <c r="C34" s="67"/>
    </row>
    <row r="35" spans="1:4" x14ac:dyDescent="0.3">
      <c r="A35" t="s">
        <v>102</v>
      </c>
    </row>
    <row r="36" spans="1:4" x14ac:dyDescent="0.3">
      <c r="A36" t="s">
        <v>719</v>
      </c>
      <c r="B36" s="65">
        <v>0</v>
      </c>
      <c r="C36" s="65">
        <f>$B$30+$C$30-B$31-B36</f>
        <v>300</v>
      </c>
    </row>
    <row r="37" spans="1:4" x14ac:dyDescent="0.3">
      <c r="A37" t="s">
        <v>569</v>
      </c>
      <c r="B37" s="17">
        <f>B$30/B$28</f>
        <v>0.05</v>
      </c>
      <c r="C37" s="17">
        <f>C$30/C$28</f>
        <v>0.3</v>
      </c>
    </row>
    <row r="38" spans="1:4" x14ac:dyDescent="0.3">
      <c r="A38" t="s">
        <v>723</v>
      </c>
      <c r="B38" s="65">
        <f>B$28*B37</f>
        <v>50</v>
      </c>
      <c r="C38" s="65">
        <f>C$28*C37</f>
        <v>300</v>
      </c>
    </row>
    <row r="39" spans="1:4" ht="27" x14ac:dyDescent="0.3">
      <c r="A39" s="3" t="s">
        <v>722</v>
      </c>
      <c r="B39" s="65">
        <f>B36*B37</f>
        <v>0</v>
      </c>
      <c r="C39" s="65">
        <f>C36*C37</f>
        <v>90</v>
      </c>
    </row>
    <row r="40" spans="1:4" x14ac:dyDescent="0.3">
      <c r="A40" s="3" t="s">
        <v>1107</v>
      </c>
      <c r="B40" s="65">
        <f>B38+B39</f>
        <v>50</v>
      </c>
      <c r="C40" s="65">
        <f>C38+C39</f>
        <v>390</v>
      </c>
    </row>
    <row r="41" spans="1:4" x14ac:dyDescent="0.3">
      <c r="A41" s="3" t="s">
        <v>724</v>
      </c>
      <c r="B41" s="65">
        <f>B40/B$29</f>
        <v>333.33333333333337</v>
      </c>
      <c r="C41" s="65">
        <f>C40/B$29</f>
        <v>2600</v>
      </c>
    </row>
    <row r="42" spans="1:4" x14ac:dyDescent="0.3">
      <c r="A42" s="3" t="s">
        <v>1317</v>
      </c>
      <c r="B42" s="65">
        <f>B$33+B36</f>
        <v>333.33333333333337</v>
      </c>
      <c r="C42" s="65">
        <f>C$33+C36</f>
        <v>2300</v>
      </c>
    </row>
    <row r="43" spans="1:4" x14ac:dyDescent="0.3">
      <c r="A43" s="1" t="s">
        <v>720</v>
      </c>
      <c r="B43" s="65">
        <f>B41-B42</f>
        <v>0</v>
      </c>
      <c r="C43" s="65">
        <f>C41-C42</f>
        <v>300</v>
      </c>
      <c r="D43" s="90">
        <f>SUM(B43:C43)</f>
        <v>300</v>
      </c>
    </row>
    <row r="44" spans="1:4" x14ac:dyDescent="0.3">
      <c r="A44" s="1"/>
      <c r="B44" s="65"/>
      <c r="C44" s="65"/>
      <c r="D44" s="150"/>
    </row>
    <row r="45" spans="1:4" x14ac:dyDescent="0.3">
      <c r="A45" s="3" t="s">
        <v>298</v>
      </c>
    </row>
    <row r="46" spans="1:4" x14ac:dyDescent="0.3">
      <c r="A46" t="s">
        <v>719</v>
      </c>
      <c r="B46" s="65">
        <v>300</v>
      </c>
      <c r="C46" s="65">
        <f>$B$30+$C$30-B$31-B46</f>
        <v>0</v>
      </c>
    </row>
    <row r="47" spans="1:4" x14ac:dyDescent="0.3">
      <c r="A47" t="s">
        <v>569</v>
      </c>
      <c r="B47" s="17">
        <f>B$30/B$28</f>
        <v>0.05</v>
      </c>
      <c r="C47" s="17">
        <f>C$30/C$28</f>
        <v>0.3</v>
      </c>
    </row>
    <row r="48" spans="1:4" x14ac:dyDescent="0.3">
      <c r="A48" t="s">
        <v>723</v>
      </c>
      <c r="B48" s="65">
        <f>B$28*B47</f>
        <v>50</v>
      </c>
      <c r="C48" s="65">
        <f>C$28*C47</f>
        <v>300</v>
      </c>
    </row>
    <row r="49" spans="1:4" ht="27" x14ac:dyDescent="0.3">
      <c r="A49" s="3" t="s">
        <v>722</v>
      </c>
      <c r="B49" s="65">
        <f>B46*B47</f>
        <v>15</v>
      </c>
      <c r="C49" s="65">
        <f>C46*C47</f>
        <v>0</v>
      </c>
    </row>
    <row r="50" spans="1:4" x14ac:dyDescent="0.3">
      <c r="A50" s="3" t="s">
        <v>1107</v>
      </c>
      <c r="B50" s="65">
        <f>B48+B49</f>
        <v>65</v>
      </c>
      <c r="C50" s="65">
        <f>C48+C49</f>
        <v>300</v>
      </c>
    </row>
    <row r="51" spans="1:4" x14ac:dyDescent="0.3">
      <c r="A51" s="3" t="s">
        <v>724</v>
      </c>
      <c r="B51" s="65">
        <f>B50/B$29</f>
        <v>433.33333333333337</v>
      </c>
      <c r="C51" s="65">
        <f>C50/B$29</f>
        <v>2000</v>
      </c>
    </row>
    <row r="52" spans="1:4" x14ac:dyDescent="0.3">
      <c r="A52" s="3" t="s">
        <v>725</v>
      </c>
      <c r="B52" s="65">
        <f>B$33+B46</f>
        <v>633.33333333333337</v>
      </c>
      <c r="C52" s="65">
        <f>C$33+C46</f>
        <v>2000</v>
      </c>
    </row>
    <row r="53" spans="1:4" x14ac:dyDescent="0.3">
      <c r="A53" s="1" t="s">
        <v>720</v>
      </c>
      <c r="B53" s="65">
        <f>B51-B52</f>
        <v>-200</v>
      </c>
      <c r="C53" s="65">
        <f>C51-C52</f>
        <v>0</v>
      </c>
      <c r="D53" s="90">
        <f>SUM(B53:C53)</f>
        <v>-200</v>
      </c>
    </row>
    <row r="54" spans="1:4" x14ac:dyDescent="0.3">
      <c r="A54" s="1"/>
      <c r="B54" s="65"/>
      <c r="C54" s="65"/>
      <c r="D54" s="90"/>
    </row>
    <row r="55" spans="1:4" x14ac:dyDescent="0.3">
      <c r="A55" s="3" t="s">
        <v>299</v>
      </c>
    </row>
    <row r="56" spans="1:4" x14ac:dyDescent="0.3">
      <c r="A56" t="s">
        <v>719</v>
      </c>
      <c r="B56" s="65">
        <v>150</v>
      </c>
      <c r="C56" s="65">
        <f>$B$30+$C$30-B$31-B56</f>
        <v>150</v>
      </c>
    </row>
    <row r="57" spans="1:4" x14ac:dyDescent="0.3">
      <c r="A57" t="s">
        <v>569</v>
      </c>
      <c r="B57" s="17">
        <f>B$30/B$28</f>
        <v>0.05</v>
      </c>
      <c r="C57" s="17">
        <f>C$30/C$28</f>
        <v>0.3</v>
      </c>
    </row>
    <row r="58" spans="1:4" x14ac:dyDescent="0.3">
      <c r="A58" t="s">
        <v>723</v>
      </c>
      <c r="B58" s="65">
        <f>B$28*B57</f>
        <v>50</v>
      </c>
      <c r="C58" s="65">
        <f>C$28*C57</f>
        <v>300</v>
      </c>
    </row>
    <row r="59" spans="1:4" ht="27" x14ac:dyDescent="0.3">
      <c r="A59" s="3" t="s">
        <v>722</v>
      </c>
      <c r="B59" s="65">
        <f>B56*B57</f>
        <v>7.5</v>
      </c>
      <c r="C59" s="65">
        <f>C56*C57</f>
        <v>45</v>
      </c>
    </row>
    <row r="60" spans="1:4" x14ac:dyDescent="0.3">
      <c r="A60" s="3" t="s">
        <v>1107</v>
      </c>
      <c r="B60" s="65">
        <f>B58+B59</f>
        <v>57.5</v>
      </c>
      <c r="C60" s="65">
        <f>C58+C59</f>
        <v>345</v>
      </c>
    </row>
    <row r="61" spans="1:4" x14ac:dyDescent="0.3">
      <c r="A61" s="3" t="s">
        <v>724</v>
      </c>
      <c r="B61" s="65">
        <f>B60/B$29</f>
        <v>383.33333333333337</v>
      </c>
      <c r="C61" s="65">
        <f>C60/B$29</f>
        <v>2300</v>
      </c>
    </row>
    <row r="62" spans="1:4" x14ac:dyDescent="0.3">
      <c r="A62" s="3" t="s">
        <v>725</v>
      </c>
      <c r="B62" s="65">
        <f>B$33+B56</f>
        <v>483.33333333333337</v>
      </c>
      <c r="C62" s="65">
        <f>C$33+C56</f>
        <v>2150</v>
      </c>
    </row>
    <row r="63" spans="1:4" x14ac:dyDescent="0.3">
      <c r="A63" s="1" t="s">
        <v>720</v>
      </c>
      <c r="B63" s="65">
        <f>B61-B62</f>
        <v>-100</v>
      </c>
      <c r="C63" s="65">
        <f>C61-C62</f>
        <v>150</v>
      </c>
      <c r="D63" s="90">
        <f>SUM(B63:C63)</f>
        <v>50</v>
      </c>
    </row>
  </sheetData>
  <mergeCells count="1">
    <mergeCell ref="B29:C29"/>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F32"/>
  <sheetViews>
    <sheetView showGridLines="0" tabSelected="1" workbookViewId="0">
      <selection activeCell="D20" sqref="D20"/>
    </sheetView>
  </sheetViews>
  <sheetFormatPr baseColWidth="10" defaultRowHeight="13.5" x14ac:dyDescent="0.3"/>
  <cols>
    <col min="1" max="1" width="38" customWidth="1"/>
  </cols>
  <sheetData>
    <row r="1" spans="1:6" x14ac:dyDescent="0.3">
      <c r="A1" s="12" t="s">
        <v>1418</v>
      </c>
    </row>
    <row r="2" spans="1:6" x14ac:dyDescent="0.3">
      <c r="A2" s="12"/>
    </row>
    <row r="3" spans="1:6" x14ac:dyDescent="0.3">
      <c r="A3" s="467"/>
      <c r="B3" s="491" t="s">
        <v>110</v>
      </c>
      <c r="C3" s="491" t="s">
        <v>111</v>
      </c>
    </row>
    <row r="4" spans="1:6" x14ac:dyDescent="0.3">
      <c r="A4" t="s">
        <v>666</v>
      </c>
      <c r="B4">
        <f>B6/B5</f>
        <v>10</v>
      </c>
      <c r="C4">
        <v>18</v>
      </c>
    </row>
    <row r="5" spans="1:6" x14ac:dyDescent="0.3">
      <c r="A5" t="s">
        <v>340</v>
      </c>
      <c r="B5">
        <v>140</v>
      </c>
      <c r="C5">
        <f>+C6/C4</f>
        <v>55</v>
      </c>
    </row>
    <row r="6" spans="1:6" x14ac:dyDescent="0.3">
      <c r="A6" t="s">
        <v>341</v>
      </c>
      <c r="B6">
        <v>1400</v>
      </c>
      <c r="C6">
        <v>990</v>
      </c>
      <c r="D6" s="45"/>
      <c r="E6" s="45"/>
      <c r="F6" s="45"/>
    </row>
    <row r="7" spans="1:6" x14ac:dyDescent="0.3">
      <c r="A7" t="s">
        <v>349</v>
      </c>
      <c r="B7">
        <f>B6</f>
        <v>1400</v>
      </c>
      <c r="C7">
        <f>C6</f>
        <v>990</v>
      </c>
    </row>
    <row r="8" spans="1:6" x14ac:dyDescent="0.3">
      <c r="C8" s="45"/>
      <c r="D8" s="45"/>
      <c r="E8" s="45"/>
      <c r="F8" s="45"/>
    </row>
    <row r="9" spans="1:6" x14ac:dyDescent="0.3">
      <c r="A9" t="s">
        <v>346</v>
      </c>
      <c r="B9">
        <f>B5</f>
        <v>140</v>
      </c>
      <c r="C9" s="45"/>
      <c r="D9" s="45"/>
      <c r="E9" s="45"/>
      <c r="F9" s="45"/>
    </row>
    <row r="10" spans="1:6" x14ac:dyDescent="0.3">
      <c r="A10" t="s">
        <v>345</v>
      </c>
      <c r="B10">
        <f>C5</f>
        <v>55</v>
      </c>
    </row>
    <row r="11" spans="1:6" x14ac:dyDescent="0.3">
      <c r="A11" t="s">
        <v>344</v>
      </c>
      <c r="B11">
        <f>B10*50%</f>
        <v>27.5</v>
      </c>
    </row>
    <row r="12" spans="1:6" x14ac:dyDescent="0.3">
      <c r="A12" t="s">
        <v>342</v>
      </c>
      <c r="B12">
        <f>SUM(B9:B11)</f>
        <v>222.5</v>
      </c>
    </row>
    <row r="14" spans="1:6" x14ac:dyDescent="0.3">
      <c r="A14" t="s">
        <v>348</v>
      </c>
      <c r="B14" s="37">
        <f>B12/B9-1</f>
        <v>0.58928571428571419</v>
      </c>
    </row>
    <row r="15" spans="1:6" x14ac:dyDescent="0.3">
      <c r="A15" t="s">
        <v>347</v>
      </c>
      <c r="B15" s="37">
        <f>C6/B6</f>
        <v>0.70714285714285718</v>
      </c>
    </row>
    <row r="16" spans="1:6" x14ac:dyDescent="0.3">
      <c r="A16" t="s">
        <v>343</v>
      </c>
      <c r="B16" s="37">
        <f>(1+B14)/(1+B15)-1</f>
        <v>-6.9037656903765843E-2</v>
      </c>
    </row>
    <row r="19" spans="1:3" x14ac:dyDescent="0.3">
      <c r="A19" s="12" t="s">
        <v>1764</v>
      </c>
    </row>
    <row r="20" spans="1:3" x14ac:dyDescent="0.3">
      <c r="A20" s="1"/>
    </row>
    <row r="21" spans="1:3" x14ac:dyDescent="0.3">
      <c r="A21" s="85" t="s">
        <v>1765</v>
      </c>
    </row>
    <row r="22" spans="1:3" x14ac:dyDescent="0.3">
      <c r="A22" s="85"/>
      <c r="B22">
        <v>2015</v>
      </c>
    </row>
    <row r="23" spans="1:3" x14ac:dyDescent="0.3">
      <c r="A23" t="s">
        <v>350</v>
      </c>
      <c r="B23" s="83">
        <v>0.1</v>
      </c>
    </row>
    <row r="24" spans="1:3" x14ac:dyDescent="0.3">
      <c r="A24" t="s">
        <v>1142</v>
      </c>
      <c r="B24">
        <v>11.7</v>
      </c>
    </row>
    <row r="26" spans="1:3" x14ac:dyDescent="0.3">
      <c r="A26" t="s">
        <v>1184</v>
      </c>
      <c r="B26">
        <v>0.6</v>
      </c>
    </row>
    <row r="27" spans="1:3" x14ac:dyDescent="0.3">
      <c r="A27" t="s">
        <v>351</v>
      </c>
      <c r="B27" s="37">
        <v>0</v>
      </c>
    </row>
    <row r="28" spans="1:3" x14ac:dyDescent="0.3">
      <c r="A28" t="s">
        <v>1387</v>
      </c>
      <c r="B28">
        <v>52.9</v>
      </c>
    </row>
    <row r="29" spans="1:3" x14ac:dyDescent="0.3">
      <c r="A29" t="s">
        <v>1070</v>
      </c>
      <c r="B29" s="149">
        <v>25.271999999999998</v>
      </c>
      <c r="C29" s="291" t="s">
        <v>458</v>
      </c>
    </row>
    <row r="31" spans="1:3" x14ac:dyDescent="0.3">
      <c r="A31" t="s">
        <v>353</v>
      </c>
      <c r="B31" s="77">
        <f>B26*(1-B27)-B28*B23</f>
        <v>-4.6900000000000004</v>
      </c>
    </row>
    <row r="32" spans="1:3" x14ac:dyDescent="0.3">
      <c r="A32" t="s">
        <v>352</v>
      </c>
      <c r="B32" s="77">
        <f>B24-B29</f>
        <v>-13.571999999999999</v>
      </c>
    </row>
  </sheetData>
  <phoneticPr fontId="4" type="noConversion"/>
  <pageMargins left="0.78740157480314965" right="0.78740157480314965" top="0.98425196850393704" bottom="0.98425196850393704" header="0.51181102362204722" footer="0.51181102362204722"/>
  <pageSetup paperSize="9" scale="88"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IV351"/>
  <sheetViews>
    <sheetView showGridLines="0" workbookViewId="0">
      <selection activeCell="G1" sqref="G1"/>
    </sheetView>
  </sheetViews>
  <sheetFormatPr baseColWidth="10" defaultRowHeight="13.5" x14ac:dyDescent="0.3"/>
  <cols>
    <col min="1" max="1" width="30" customWidth="1"/>
    <col min="2" max="2" width="12.765625" customWidth="1"/>
    <col min="3" max="12" width="11.61328125" bestFit="1" customWidth="1"/>
  </cols>
  <sheetData>
    <row r="1" spans="1:256" x14ac:dyDescent="0.3">
      <c r="A1" s="12" t="s">
        <v>1418</v>
      </c>
    </row>
    <row r="2" spans="1:256" x14ac:dyDescent="0.3">
      <c r="A2" s="3" t="s">
        <v>818</v>
      </c>
      <c r="B2" s="5">
        <v>20</v>
      </c>
      <c r="C2" t="s">
        <v>819</v>
      </c>
    </row>
    <row r="3" spans="1:256" x14ac:dyDescent="0.3">
      <c r="A3" s="3" t="s">
        <v>825</v>
      </c>
      <c r="B3">
        <v>5</v>
      </c>
      <c r="C3" t="s">
        <v>638</v>
      </c>
    </row>
    <row r="4" spans="1:256" x14ac:dyDescent="0.3">
      <c r="A4" s="3" t="s">
        <v>820</v>
      </c>
      <c r="B4" s="5">
        <v>1.5</v>
      </c>
      <c r="C4" t="s">
        <v>819</v>
      </c>
    </row>
    <row r="5" spans="1:256" x14ac:dyDescent="0.3">
      <c r="A5" s="3" t="s">
        <v>821</v>
      </c>
      <c r="B5">
        <v>8</v>
      </c>
      <c r="C5" t="s">
        <v>638</v>
      </c>
    </row>
    <row r="6" spans="1:256" x14ac:dyDescent="0.3">
      <c r="A6" s="3" t="s">
        <v>822</v>
      </c>
      <c r="B6" s="5">
        <v>0</v>
      </c>
    </row>
    <row r="7" spans="1:256" x14ac:dyDescent="0.3">
      <c r="A7" s="3" t="s">
        <v>823</v>
      </c>
      <c r="B7" s="5">
        <v>2.5</v>
      </c>
      <c r="C7" t="s">
        <v>819</v>
      </c>
    </row>
    <row r="8" spans="1:256" x14ac:dyDescent="0.3">
      <c r="A8" s="3" t="s">
        <v>824</v>
      </c>
      <c r="B8" s="5">
        <v>3</v>
      </c>
      <c r="C8" t="s">
        <v>819</v>
      </c>
    </row>
    <row r="9" spans="1:256" x14ac:dyDescent="0.3">
      <c r="A9" s="3" t="s">
        <v>761</v>
      </c>
      <c r="B9" s="37">
        <v>0.4</v>
      </c>
    </row>
    <row r="11" spans="1:256" x14ac:dyDescent="0.3">
      <c r="A11" s="161" t="s">
        <v>826</v>
      </c>
    </row>
    <row r="12" spans="1:256" x14ac:dyDescent="0.3">
      <c r="A12" s="129" t="s">
        <v>1110</v>
      </c>
      <c r="B12" s="63">
        <v>0</v>
      </c>
      <c r="C12" s="25">
        <v>1</v>
      </c>
      <c r="D12" s="25">
        <v>2</v>
      </c>
      <c r="E12" s="25">
        <v>3</v>
      </c>
      <c r="F12" s="25">
        <v>4</v>
      </c>
      <c r="G12" s="25">
        <v>5</v>
      </c>
      <c r="H12" s="25">
        <v>6</v>
      </c>
      <c r="I12" s="25">
        <v>7</v>
      </c>
      <c r="J12" s="25">
        <v>8</v>
      </c>
    </row>
    <row r="13" spans="1:256" x14ac:dyDescent="0.3">
      <c r="A13" s="3" t="s">
        <v>1100</v>
      </c>
      <c r="B13" s="356">
        <f>-B2-B4</f>
        <v>-21.5</v>
      </c>
      <c r="C13" s="77"/>
      <c r="D13" s="77"/>
      <c r="E13" s="77"/>
      <c r="F13" s="77"/>
      <c r="G13" s="77"/>
      <c r="H13" s="77"/>
      <c r="I13" s="77"/>
      <c r="J13" s="77">
        <f>B6</f>
        <v>0</v>
      </c>
    </row>
    <row r="14" spans="1:256" x14ac:dyDescent="0.3">
      <c r="A14" s="3" t="s">
        <v>829</v>
      </c>
      <c r="B14" s="356"/>
      <c r="C14" s="77">
        <f>$B8</f>
        <v>3</v>
      </c>
      <c r="D14" s="77">
        <f t="shared" ref="D14:J14" si="0">$B8</f>
        <v>3</v>
      </c>
      <c r="E14" s="77">
        <f t="shared" si="0"/>
        <v>3</v>
      </c>
      <c r="F14" s="77">
        <f t="shared" si="0"/>
        <v>3</v>
      </c>
      <c r="G14" s="77">
        <f t="shared" si="0"/>
        <v>3</v>
      </c>
      <c r="H14" s="77">
        <f t="shared" si="0"/>
        <v>3</v>
      </c>
      <c r="I14" s="77">
        <f t="shared" si="0"/>
        <v>3</v>
      </c>
      <c r="J14" s="77">
        <f t="shared" si="0"/>
        <v>3</v>
      </c>
      <c r="K14" s="5"/>
    </row>
    <row r="15" spans="1:256" x14ac:dyDescent="0.3">
      <c r="A15" s="3" t="s">
        <v>234</v>
      </c>
      <c r="B15" s="356"/>
      <c r="C15" s="77">
        <f>-$B7</f>
        <v>-2.5</v>
      </c>
      <c r="D15" s="77"/>
      <c r="E15" s="77"/>
      <c r="F15" s="77"/>
      <c r="G15" s="77"/>
      <c r="H15" s="77"/>
      <c r="I15" s="77"/>
      <c r="J15" s="77">
        <f>-C15</f>
        <v>2.5</v>
      </c>
      <c r="K15" s="5"/>
    </row>
    <row r="16" spans="1:256" s="45" customFormat="1" x14ac:dyDescent="0.3">
      <c r="A16" s="129" t="s">
        <v>844</v>
      </c>
      <c r="B16" s="492"/>
      <c r="C16" s="159">
        <f>-(C14-C19)*$B9</f>
        <v>0.4</v>
      </c>
      <c r="D16" s="159">
        <f t="shared" ref="D16:J16" si="1">-(D14-D19)*$B9</f>
        <v>0.4</v>
      </c>
      <c r="E16" s="159">
        <f t="shared" si="1"/>
        <v>0.4</v>
      </c>
      <c r="F16" s="159">
        <f t="shared" si="1"/>
        <v>0.4</v>
      </c>
      <c r="G16" s="159">
        <f t="shared" si="1"/>
        <v>0.4</v>
      </c>
      <c r="H16" s="159">
        <f t="shared" si="1"/>
        <v>-1.2000000000000002</v>
      </c>
      <c r="I16" s="159">
        <f t="shared" si="1"/>
        <v>-1.2000000000000002</v>
      </c>
      <c r="J16" s="159">
        <f t="shared" si="1"/>
        <v>-1.2000000000000002</v>
      </c>
      <c r="K16" s="182"/>
      <c r="M16" s="176"/>
      <c r="N16" s="176"/>
      <c r="O16" s="176"/>
      <c r="P16" s="176"/>
      <c r="Q16" s="176"/>
      <c r="R16" s="176"/>
      <c r="S16" s="176"/>
      <c r="T16" s="176"/>
      <c r="U16" s="182"/>
      <c r="W16" s="176"/>
      <c r="X16" s="176"/>
      <c r="Y16" s="176"/>
      <c r="Z16" s="176"/>
      <c r="AA16" s="176"/>
      <c r="AB16" s="176"/>
      <c r="AC16" s="176"/>
      <c r="AD16" s="176"/>
      <c r="AE16" s="182"/>
      <c r="AG16" s="176"/>
      <c r="AH16" s="176"/>
      <c r="AI16" s="176"/>
      <c r="AJ16" s="176"/>
      <c r="AK16" s="176"/>
      <c r="AL16" s="176"/>
      <c r="AM16" s="176"/>
      <c r="AN16" s="176"/>
      <c r="AO16" s="182"/>
      <c r="AQ16" s="176"/>
      <c r="AR16" s="176"/>
      <c r="AS16" s="176"/>
      <c r="AT16" s="176"/>
      <c r="AU16" s="176"/>
      <c r="AV16" s="176"/>
      <c r="AW16" s="176"/>
      <c r="AX16" s="176"/>
      <c r="AY16" s="182"/>
      <c r="BA16" s="176"/>
      <c r="BB16" s="176"/>
      <c r="BC16" s="176"/>
      <c r="BD16" s="176"/>
      <c r="BE16" s="176"/>
      <c r="BF16" s="176"/>
      <c r="BG16" s="176"/>
      <c r="BH16" s="176"/>
      <c r="BI16" s="182"/>
      <c r="BK16" s="176"/>
      <c r="BL16" s="176"/>
      <c r="BM16" s="176"/>
      <c r="BN16" s="176"/>
      <c r="BO16" s="176"/>
      <c r="BP16" s="176"/>
      <c r="BQ16" s="176"/>
      <c r="BR16" s="176"/>
      <c r="BS16" s="182"/>
      <c r="BU16" s="176"/>
      <c r="BV16" s="176"/>
      <c r="BW16" s="176"/>
      <c r="BX16" s="176"/>
      <c r="BY16" s="176"/>
      <c r="BZ16" s="176"/>
      <c r="CA16" s="176"/>
      <c r="CB16" s="176"/>
      <c r="CC16" s="182"/>
      <c r="CE16" s="176"/>
      <c r="CF16" s="176"/>
      <c r="CG16" s="176"/>
      <c r="CH16" s="176"/>
      <c r="CI16" s="176"/>
      <c r="CJ16" s="176"/>
      <c r="CK16" s="176"/>
      <c r="CL16" s="176"/>
      <c r="CM16" s="182"/>
      <c r="CO16" s="176"/>
      <c r="CP16" s="176"/>
      <c r="CQ16" s="176"/>
      <c r="CR16" s="176"/>
      <c r="CS16" s="176"/>
      <c r="CT16" s="176"/>
      <c r="CU16" s="176"/>
      <c r="CV16" s="176"/>
      <c r="CW16" s="182"/>
      <c r="CY16" s="176"/>
      <c r="CZ16" s="176"/>
      <c r="DA16" s="176"/>
      <c r="DB16" s="176"/>
      <c r="DC16" s="176"/>
      <c r="DD16" s="176"/>
      <c r="DE16" s="176"/>
      <c r="DF16" s="176"/>
      <c r="DG16" s="182"/>
      <c r="DI16" s="176"/>
      <c r="DJ16" s="176"/>
      <c r="DK16" s="176"/>
      <c r="DL16" s="176"/>
      <c r="DM16" s="176"/>
      <c r="DN16" s="176"/>
      <c r="DO16" s="176"/>
      <c r="DP16" s="176"/>
      <c r="DQ16" s="182"/>
      <c r="DS16" s="176"/>
      <c r="DT16" s="176"/>
      <c r="DU16" s="176"/>
      <c r="DV16" s="176"/>
      <c r="DW16" s="176"/>
      <c r="DX16" s="176"/>
      <c r="DY16" s="176"/>
      <c r="DZ16" s="176"/>
      <c r="EA16" s="182"/>
      <c r="EC16" s="176"/>
      <c r="ED16" s="176"/>
      <c r="EE16" s="176"/>
      <c r="EF16" s="176"/>
      <c r="EG16" s="176"/>
      <c r="EH16" s="176"/>
      <c r="EI16" s="176"/>
      <c r="EJ16" s="176"/>
      <c r="EK16" s="182"/>
      <c r="EM16" s="176"/>
      <c r="EN16" s="176"/>
      <c r="EO16" s="176"/>
      <c r="EP16" s="176"/>
      <c r="EQ16" s="176"/>
      <c r="ER16" s="176"/>
      <c r="ES16" s="176"/>
      <c r="ET16" s="176"/>
      <c r="EU16" s="182"/>
      <c r="EW16" s="176"/>
      <c r="EX16" s="176"/>
      <c r="EY16" s="176"/>
      <c r="EZ16" s="176"/>
      <c r="FA16" s="176"/>
      <c r="FB16" s="176"/>
      <c r="FC16" s="176"/>
      <c r="FD16" s="176"/>
      <c r="FE16" s="182"/>
      <c r="FG16" s="176"/>
      <c r="FH16" s="176"/>
      <c r="FI16" s="176"/>
      <c r="FJ16" s="176"/>
      <c r="FK16" s="176"/>
      <c r="FL16" s="176"/>
      <c r="FM16" s="176"/>
      <c r="FN16" s="176"/>
      <c r="FO16" s="182"/>
      <c r="FQ16" s="176"/>
      <c r="FR16" s="176"/>
      <c r="FS16" s="176"/>
      <c r="FT16" s="176"/>
      <c r="FU16" s="176"/>
      <c r="FV16" s="176"/>
      <c r="FW16" s="176"/>
      <c r="FX16" s="176"/>
      <c r="FY16" s="182"/>
      <c r="GA16" s="176"/>
      <c r="GB16" s="176"/>
      <c r="GC16" s="176"/>
      <c r="GD16" s="176"/>
      <c r="GE16" s="176"/>
      <c r="GF16" s="176"/>
      <c r="GG16" s="176"/>
      <c r="GH16" s="176"/>
      <c r="GI16" s="182"/>
      <c r="GK16" s="176"/>
      <c r="GL16" s="176"/>
      <c r="GM16" s="176"/>
      <c r="GN16" s="176"/>
      <c r="GO16" s="176"/>
      <c r="GP16" s="176"/>
      <c r="GQ16" s="176"/>
      <c r="GR16" s="176"/>
      <c r="GS16" s="182"/>
      <c r="GU16" s="176"/>
      <c r="GV16" s="176"/>
      <c r="GW16" s="176"/>
      <c r="GX16" s="176"/>
      <c r="GY16" s="176"/>
      <c r="GZ16" s="176"/>
      <c r="HA16" s="176"/>
      <c r="HB16" s="176"/>
      <c r="HC16" s="182"/>
      <c r="HE16" s="176"/>
      <c r="HF16" s="176"/>
      <c r="HG16" s="176"/>
      <c r="HH16" s="176"/>
      <c r="HI16" s="176"/>
      <c r="HJ16" s="176"/>
      <c r="HK16" s="176"/>
      <c r="HL16" s="176"/>
      <c r="HM16" s="182"/>
      <c r="HO16" s="176"/>
      <c r="HP16" s="176"/>
      <c r="HQ16" s="176"/>
      <c r="HR16" s="176"/>
      <c r="HS16" s="176"/>
      <c r="HT16" s="176"/>
      <c r="HU16" s="176"/>
      <c r="HV16" s="176"/>
      <c r="HW16" s="182"/>
      <c r="HY16" s="176"/>
      <c r="HZ16" s="176"/>
      <c r="IA16" s="176"/>
      <c r="IB16" s="176"/>
      <c r="IC16" s="176"/>
      <c r="ID16" s="176"/>
      <c r="IE16" s="176"/>
      <c r="IF16" s="176"/>
      <c r="IG16" s="182"/>
      <c r="II16" s="176"/>
      <c r="IJ16" s="176"/>
      <c r="IK16" s="176"/>
      <c r="IL16" s="176"/>
      <c r="IM16" s="176"/>
      <c r="IN16" s="176"/>
      <c r="IO16" s="176"/>
      <c r="IP16" s="176"/>
      <c r="IQ16" s="182"/>
      <c r="IS16" s="176"/>
      <c r="IT16" s="176"/>
      <c r="IU16" s="176"/>
      <c r="IV16" s="176"/>
    </row>
    <row r="17" spans="1:10" x14ac:dyDescent="0.3">
      <c r="A17" s="1" t="s">
        <v>827</v>
      </c>
      <c r="B17" s="493">
        <f>SUM(B13:B16)</f>
        <v>-21.5</v>
      </c>
      <c r="C17" s="125">
        <f>SUM(C13:C16)</f>
        <v>0.9</v>
      </c>
      <c r="D17" s="125">
        <f t="shared" ref="D17:J17" si="2">SUM(D13:D16)</f>
        <v>3.4</v>
      </c>
      <c r="E17" s="125">
        <f t="shared" si="2"/>
        <v>3.4</v>
      </c>
      <c r="F17" s="125">
        <f t="shared" si="2"/>
        <v>3.4</v>
      </c>
      <c r="G17" s="125">
        <f t="shared" si="2"/>
        <v>3.4</v>
      </c>
      <c r="H17" s="125">
        <f t="shared" si="2"/>
        <v>1.7999999999999998</v>
      </c>
      <c r="I17" s="125">
        <f t="shared" si="2"/>
        <v>1.7999999999999998</v>
      </c>
      <c r="J17" s="125">
        <f t="shared" si="2"/>
        <v>4.3</v>
      </c>
    </row>
    <row r="18" spans="1:10" x14ac:dyDescent="0.3">
      <c r="B18" s="77"/>
      <c r="C18" s="77"/>
      <c r="D18" s="77"/>
      <c r="E18" s="77"/>
      <c r="F18" s="77"/>
      <c r="G18" s="77"/>
      <c r="H18" s="77"/>
      <c r="I18" s="77"/>
      <c r="J18" s="77"/>
    </row>
    <row r="19" spans="1:10" x14ac:dyDescent="0.3">
      <c r="A19" s="3" t="s">
        <v>828</v>
      </c>
      <c r="B19" s="386"/>
      <c r="C19" s="77">
        <f>$B2/$B3</f>
        <v>4</v>
      </c>
      <c r="D19" s="77">
        <f>$B2/$B3</f>
        <v>4</v>
      </c>
      <c r="E19" s="77">
        <f>$B2/$B3</f>
        <v>4</v>
      </c>
      <c r="F19" s="77">
        <f>$B2/$B3</f>
        <v>4</v>
      </c>
      <c r="G19" s="77">
        <f>$B2/$B3</f>
        <v>4</v>
      </c>
      <c r="H19" s="77"/>
      <c r="I19" s="77"/>
      <c r="J19" s="77"/>
    </row>
    <row r="20" spans="1:10" x14ac:dyDescent="0.3">
      <c r="A20" s="3"/>
      <c r="B20" s="45"/>
      <c r="C20" s="5"/>
      <c r="D20" s="5"/>
      <c r="E20" s="5"/>
      <c r="F20" s="5"/>
      <c r="G20" s="5"/>
    </row>
    <row r="21" spans="1:10" x14ac:dyDescent="0.3">
      <c r="A21" s="161" t="s">
        <v>832</v>
      </c>
    </row>
    <row r="22" spans="1:10" x14ac:dyDescent="0.3">
      <c r="A22" s="130" t="s">
        <v>487</v>
      </c>
      <c r="B22" s="86">
        <v>0.1</v>
      </c>
    </row>
    <row r="23" spans="1:10" x14ac:dyDescent="0.3">
      <c r="A23" s="173" t="s">
        <v>519</v>
      </c>
      <c r="B23" s="141">
        <f>SUMPRODUCT(B17:J17,POWER(1+$B22,-B12:J12))</f>
        <v>-6.9383328349246289</v>
      </c>
    </row>
    <row r="25" spans="1:10" x14ac:dyDescent="0.3">
      <c r="A25" s="161" t="s">
        <v>833</v>
      </c>
    </row>
    <row r="26" spans="1:10" x14ac:dyDescent="0.3">
      <c r="A26" s="1" t="s">
        <v>830</v>
      </c>
      <c r="B26" s="143">
        <v>8.7174731443999728E-3</v>
      </c>
    </row>
    <row r="27" spans="1:10" x14ac:dyDescent="0.3">
      <c r="A27" s="174" t="s">
        <v>519</v>
      </c>
      <c r="B27" s="77">
        <f>SUMPRODUCT(B17:J17,POWER(1+$B26,-B12:J12))</f>
        <v>1.6521216981146836E-6</v>
      </c>
    </row>
    <row r="29" spans="1:10" x14ac:dyDescent="0.3">
      <c r="A29" s="12" t="s">
        <v>1420</v>
      </c>
    </row>
    <row r="30" spans="1:10" x14ac:dyDescent="0.3">
      <c r="A30" s="161" t="s">
        <v>831</v>
      </c>
    </row>
    <row r="31" spans="1:10" x14ac:dyDescent="0.3">
      <c r="A31" t="s">
        <v>835</v>
      </c>
      <c r="B31" s="5">
        <v>2</v>
      </c>
      <c r="C31" t="s">
        <v>819</v>
      </c>
    </row>
    <row r="32" spans="1:10" x14ac:dyDescent="0.3">
      <c r="A32" t="s">
        <v>834</v>
      </c>
      <c r="B32">
        <v>5</v>
      </c>
      <c r="C32" t="s">
        <v>638</v>
      </c>
      <c r="D32" t="s">
        <v>836</v>
      </c>
    </row>
    <row r="33" spans="1:7" x14ac:dyDescent="0.3">
      <c r="A33" t="s">
        <v>822</v>
      </c>
      <c r="B33" s="5">
        <v>0</v>
      </c>
      <c r="C33" t="s">
        <v>819</v>
      </c>
    </row>
    <row r="34" spans="1:7" x14ac:dyDescent="0.3">
      <c r="A34" s="3" t="s">
        <v>837</v>
      </c>
      <c r="B34" s="5">
        <v>0.8</v>
      </c>
      <c r="C34" t="s">
        <v>819</v>
      </c>
    </row>
    <row r="35" spans="1:7" x14ac:dyDescent="0.3">
      <c r="A35" s="161" t="s">
        <v>838</v>
      </c>
    </row>
    <row r="36" spans="1:7" x14ac:dyDescent="0.3">
      <c r="A36" t="s">
        <v>839</v>
      </c>
      <c r="B36" s="5">
        <v>1.5</v>
      </c>
      <c r="C36" t="s">
        <v>819</v>
      </c>
    </row>
    <row r="37" spans="1:7" x14ac:dyDescent="0.3">
      <c r="A37" t="s">
        <v>834</v>
      </c>
      <c r="B37">
        <v>5</v>
      </c>
      <c r="C37" t="s">
        <v>638</v>
      </c>
      <c r="D37" t="s">
        <v>836</v>
      </c>
    </row>
    <row r="38" spans="1:7" x14ac:dyDescent="0.3">
      <c r="A38" t="s">
        <v>822</v>
      </c>
      <c r="B38" s="5">
        <v>0</v>
      </c>
      <c r="C38" t="s">
        <v>819</v>
      </c>
    </row>
    <row r="39" spans="1:7" x14ac:dyDescent="0.3">
      <c r="A39" s="3" t="s">
        <v>840</v>
      </c>
      <c r="B39" s="5">
        <v>1.2</v>
      </c>
      <c r="C39" t="s">
        <v>819</v>
      </c>
    </row>
    <row r="40" spans="1:7" x14ac:dyDescent="0.3">
      <c r="A40" s="3" t="s">
        <v>841</v>
      </c>
      <c r="B40" s="5">
        <v>1</v>
      </c>
      <c r="C40" t="s">
        <v>819</v>
      </c>
    </row>
    <row r="42" spans="1:7" x14ac:dyDescent="0.3">
      <c r="A42" t="s">
        <v>761</v>
      </c>
      <c r="B42" s="37">
        <v>0.4</v>
      </c>
    </row>
    <row r="43" spans="1:7" x14ac:dyDescent="0.3">
      <c r="A43" s="3" t="s">
        <v>842</v>
      </c>
      <c r="B43" s="37">
        <v>0.12</v>
      </c>
    </row>
    <row r="44" spans="1:7" x14ac:dyDescent="0.3">
      <c r="A44" s="3"/>
    </row>
    <row r="45" spans="1:7" x14ac:dyDescent="0.3">
      <c r="A45" s="160" t="s">
        <v>917</v>
      </c>
    </row>
    <row r="46" spans="1:7" x14ac:dyDescent="0.3">
      <c r="A46" s="129" t="s">
        <v>524</v>
      </c>
      <c r="B46" s="128">
        <v>0</v>
      </c>
      <c r="C46" s="127">
        <f>B46+1</f>
        <v>1</v>
      </c>
      <c r="D46" s="127">
        <f>C46+1</f>
        <v>2</v>
      </c>
      <c r="E46" s="127">
        <f>D46+1</f>
        <v>3</v>
      </c>
      <c r="F46" s="127">
        <f>E46+1</f>
        <v>4</v>
      </c>
      <c r="G46" s="127">
        <f>F46+1</f>
        <v>5</v>
      </c>
    </row>
    <row r="47" spans="1:7" x14ac:dyDescent="0.3">
      <c r="A47" s="3" t="s">
        <v>843</v>
      </c>
      <c r="B47" s="172">
        <f>-B31</f>
        <v>-2</v>
      </c>
      <c r="G47" s="5">
        <f>B33</f>
        <v>0</v>
      </c>
    </row>
    <row r="48" spans="1:7" x14ac:dyDescent="0.3">
      <c r="A48" s="3" t="s">
        <v>915</v>
      </c>
      <c r="B48" s="172">
        <f>-B54*$B42</f>
        <v>7.9999999999999988E-2</v>
      </c>
      <c r="G48" s="5"/>
    </row>
    <row r="49" spans="1:8" x14ac:dyDescent="0.3">
      <c r="A49" s="3" t="s">
        <v>829</v>
      </c>
      <c r="B49" s="39"/>
      <c r="C49" s="5">
        <f>B34</f>
        <v>0.8</v>
      </c>
      <c r="D49" s="5">
        <f>$B34</f>
        <v>0.8</v>
      </c>
      <c r="E49" s="5">
        <f>$B34</f>
        <v>0.8</v>
      </c>
      <c r="F49" s="5">
        <f>$B34</f>
        <v>0.8</v>
      </c>
      <c r="G49" s="5">
        <f>$B34</f>
        <v>0.8</v>
      </c>
    </row>
    <row r="50" spans="1:8" x14ac:dyDescent="0.3">
      <c r="A50" s="3" t="s">
        <v>844</v>
      </c>
      <c r="B50" s="39"/>
      <c r="C50">
        <f>-(C49-C55)*$B42</f>
        <v>-0.27999999999999997</v>
      </c>
      <c r="D50">
        <f>-(D49-D55)*$B42</f>
        <v>-0.27999999999999997</v>
      </c>
      <c r="E50">
        <f>-(E49-E55)*$B42</f>
        <v>-0.27999999999999997</v>
      </c>
      <c r="F50">
        <f>-(F49-F55)*$B42</f>
        <v>-0.27999999999999997</v>
      </c>
      <c r="G50">
        <f>-(G49-G55)*$B42</f>
        <v>-0.16000000000000003</v>
      </c>
    </row>
    <row r="51" spans="1:8" x14ac:dyDescent="0.3">
      <c r="A51" s="129" t="s">
        <v>845</v>
      </c>
      <c r="B51" s="175">
        <f>B40</f>
        <v>1</v>
      </c>
      <c r="C51" s="25"/>
      <c r="D51" s="25"/>
      <c r="E51" s="25"/>
      <c r="F51" s="25"/>
      <c r="G51" s="25"/>
    </row>
    <row r="52" spans="1:8" x14ac:dyDescent="0.3">
      <c r="A52" s="3" t="s">
        <v>518</v>
      </c>
      <c r="B52" s="177">
        <f t="shared" ref="B52:G52" si="3">SUM(B47:B51)</f>
        <v>-0.91999999999999993</v>
      </c>
      <c r="C52" s="176">
        <f t="shared" si="3"/>
        <v>0.52</v>
      </c>
      <c r="D52" s="176">
        <f t="shared" si="3"/>
        <v>0.52</v>
      </c>
      <c r="E52" s="176">
        <f t="shared" si="3"/>
        <v>0.52</v>
      </c>
      <c r="F52" s="176">
        <f t="shared" si="3"/>
        <v>0.52</v>
      </c>
      <c r="G52" s="176">
        <f t="shared" si="3"/>
        <v>0.64</v>
      </c>
    </row>
    <row r="53" spans="1:8" x14ac:dyDescent="0.3">
      <c r="A53" s="181"/>
    </row>
    <row r="54" spans="1:8" x14ac:dyDescent="0.3">
      <c r="A54" s="181" t="s">
        <v>846</v>
      </c>
      <c r="B54" s="5">
        <f>B40-B39</f>
        <v>-0.19999999999999996</v>
      </c>
    </row>
    <row r="55" spans="1:8" x14ac:dyDescent="0.3">
      <c r="A55" s="3" t="s">
        <v>916</v>
      </c>
      <c r="B55" s="39"/>
      <c r="C55" s="5">
        <f>$B31/$B32-$B36/$B37</f>
        <v>0.10000000000000003</v>
      </c>
      <c r="D55" s="5">
        <f>$B31/$B32-$B36/$B37</f>
        <v>0.10000000000000003</v>
      </c>
      <c r="E55" s="5">
        <f>$B31/$B32-$B36/$B37</f>
        <v>0.10000000000000003</v>
      </c>
      <c r="F55" s="5">
        <f>$B31/$B32-$B36/$B37</f>
        <v>0.10000000000000003</v>
      </c>
      <c r="G55" s="5">
        <f>$B31/$B32</f>
        <v>0.4</v>
      </c>
    </row>
    <row r="56" spans="1:8" x14ac:dyDescent="0.3">
      <c r="A56" s="3"/>
    </row>
    <row r="57" spans="1:8" x14ac:dyDescent="0.3">
      <c r="A57" s="2" t="s">
        <v>519</v>
      </c>
      <c r="B57" s="141">
        <f>SUMPRODUCT(B52:G52,POWER(1+B43,-B46:G46))</f>
        <v>1.0225748479056342</v>
      </c>
      <c r="C57" t="s">
        <v>819</v>
      </c>
    </row>
    <row r="58" spans="1:8" x14ac:dyDescent="0.3">
      <c r="A58" s="2" t="s">
        <v>830</v>
      </c>
      <c r="B58" s="178">
        <v>0.4991760350804994</v>
      </c>
    </row>
    <row r="59" spans="1:8" x14ac:dyDescent="0.3">
      <c r="A59" s="10"/>
      <c r="B59" s="179"/>
    </row>
    <row r="61" spans="1:8" x14ac:dyDescent="0.3">
      <c r="A61" s="12" t="s">
        <v>244</v>
      </c>
    </row>
    <row r="62" spans="1:8" x14ac:dyDescent="0.3">
      <c r="A62" s="12"/>
    </row>
    <row r="63" spans="1:8" x14ac:dyDescent="0.3">
      <c r="A63" s="302" t="s">
        <v>858</v>
      </c>
      <c r="B63" s="68"/>
      <c r="C63" s="68"/>
      <c r="D63" s="68"/>
      <c r="E63" s="68"/>
      <c r="F63" s="68"/>
      <c r="G63" s="68"/>
      <c r="H63" s="68"/>
    </row>
    <row r="64" spans="1:8" x14ac:dyDescent="0.3">
      <c r="A64" t="s">
        <v>1096</v>
      </c>
      <c r="B64" s="105">
        <v>0</v>
      </c>
      <c r="C64" s="105">
        <f>B64+1</f>
        <v>1</v>
      </c>
      <c r="D64" s="105">
        <f>C64+1</f>
        <v>2</v>
      </c>
      <c r="E64" s="105">
        <f>D64+1</f>
        <v>3</v>
      </c>
      <c r="F64" s="105">
        <f>E64+1</f>
        <v>4</v>
      </c>
      <c r="G64" s="105">
        <f>F64+1</f>
        <v>5</v>
      </c>
      <c r="H64" s="68"/>
    </row>
    <row r="65" spans="1:8" x14ac:dyDescent="0.3">
      <c r="A65" s="3" t="s">
        <v>518</v>
      </c>
      <c r="B65" s="5">
        <v>-100</v>
      </c>
      <c r="C65" s="5">
        <v>110</v>
      </c>
      <c r="D65" s="5">
        <v>-30</v>
      </c>
      <c r="E65" s="5">
        <v>25</v>
      </c>
      <c r="F65" s="5">
        <v>50</v>
      </c>
      <c r="G65" s="5">
        <v>100</v>
      </c>
      <c r="H65" s="68"/>
    </row>
    <row r="66" spans="1:8" x14ac:dyDescent="0.3">
      <c r="A66" s="3" t="s">
        <v>547</v>
      </c>
      <c r="B66" s="37">
        <v>0.1</v>
      </c>
      <c r="C66" s="5"/>
      <c r="D66" s="5"/>
      <c r="E66" s="5"/>
      <c r="F66" s="5"/>
      <c r="G66" s="5"/>
      <c r="H66" s="68"/>
    </row>
    <row r="67" spans="1:8" x14ac:dyDescent="0.3">
      <c r="A67" t="s">
        <v>859</v>
      </c>
      <c r="B67" s="5">
        <f t="shared" ref="B67:G67" si="4">+B65/POWER(1+$B$66,B64+1)</f>
        <v>-90.909090909090907</v>
      </c>
      <c r="C67" s="5">
        <f t="shared" si="4"/>
        <v>90.909090909090892</v>
      </c>
      <c r="D67" s="5">
        <f t="shared" si="4"/>
        <v>-22.539444027047328</v>
      </c>
      <c r="E67" s="5">
        <f t="shared" si="4"/>
        <v>17.075336384126764</v>
      </c>
      <c r="F67" s="5">
        <f t="shared" si="4"/>
        <v>31.046066152957749</v>
      </c>
      <c r="G67" s="5">
        <f t="shared" si="4"/>
        <v>56.44739300537772</v>
      </c>
      <c r="H67" s="68"/>
    </row>
    <row r="68" spans="1:8" x14ac:dyDescent="0.3">
      <c r="A68" s="3"/>
      <c r="B68" s="5"/>
      <c r="C68" s="5"/>
      <c r="D68" s="5"/>
      <c r="E68" s="5"/>
      <c r="F68" s="5"/>
      <c r="G68" s="5"/>
      <c r="H68" s="68"/>
    </row>
    <row r="69" spans="1:8" x14ac:dyDescent="0.3">
      <c r="A69" s="388" t="s">
        <v>519</v>
      </c>
      <c r="B69" s="141">
        <f>SUM(B67:G67)</f>
        <v>82.029351515414888</v>
      </c>
      <c r="C69" s="68"/>
      <c r="D69" s="68"/>
      <c r="E69" s="68"/>
      <c r="F69" s="68"/>
      <c r="G69" s="68"/>
      <c r="H69" s="68"/>
    </row>
    <row r="70" spans="1:8" x14ac:dyDescent="0.3">
      <c r="A70" s="388" t="s">
        <v>830</v>
      </c>
      <c r="B70" s="115">
        <v>0.42640163152504512</v>
      </c>
      <c r="D70" s="68"/>
      <c r="E70" s="68"/>
      <c r="F70" s="68"/>
      <c r="G70" s="68"/>
      <c r="H70" s="68"/>
    </row>
    <row r="71" spans="1:8" x14ac:dyDescent="0.3">
      <c r="A71" s="387"/>
      <c r="B71" s="364"/>
      <c r="C71" s="68"/>
      <c r="D71" s="68"/>
      <c r="E71" s="68"/>
      <c r="F71" s="68"/>
      <c r="G71" s="68"/>
      <c r="H71" s="68"/>
    </row>
    <row r="72" spans="1:8" x14ac:dyDescent="0.3">
      <c r="A72" s="302" t="s">
        <v>860</v>
      </c>
      <c r="B72" s="68"/>
      <c r="C72" s="68"/>
      <c r="D72" s="68"/>
      <c r="E72" s="68"/>
      <c r="F72" s="68"/>
      <c r="G72" s="68"/>
      <c r="H72" s="68"/>
    </row>
    <row r="73" spans="1:8" x14ac:dyDescent="0.3">
      <c r="A73" t="s">
        <v>1096</v>
      </c>
      <c r="B73" s="105">
        <v>0</v>
      </c>
      <c r="C73" s="105">
        <f>B73+1</f>
        <v>1</v>
      </c>
      <c r="D73" s="105">
        <f>C73+1</f>
        <v>2</v>
      </c>
      <c r="E73" s="105">
        <f>D73+1</f>
        <v>3</v>
      </c>
      <c r="F73" s="105">
        <f>E73+1</f>
        <v>4</v>
      </c>
      <c r="G73" s="105">
        <f>F73+1</f>
        <v>5</v>
      </c>
    </row>
    <row r="74" spans="1:8" x14ac:dyDescent="0.3">
      <c r="A74" s="3" t="s">
        <v>518</v>
      </c>
      <c r="B74" s="5">
        <v>-100</v>
      </c>
      <c r="C74" s="5">
        <v>110</v>
      </c>
      <c r="D74" s="5">
        <v>-30</v>
      </c>
      <c r="E74" s="5">
        <v>25</v>
      </c>
      <c r="F74" s="5">
        <v>50</v>
      </c>
      <c r="G74" s="5">
        <v>100</v>
      </c>
    </row>
    <row r="75" spans="1:8" x14ac:dyDescent="0.3">
      <c r="A75" s="3"/>
      <c r="B75" s="5"/>
      <c r="C75" s="5"/>
      <c r="D75" s="5"/>
      <c r="E75" s="5"/>
      <c r="F75" s="5"/>
      <c r="G75" s="5"/>
      <c r="H75" s="5"/>
    </row>
    <row r="76" spans="1:8" x14ac:dyDescent="0.3">
      <c r="A76" s="3" t="s">
        <v>847</v>
      </c>
      <c r="B76" s="5">
        <f>SUMPRODUCT($B74:B74,POWER(1+$B$78,-$B73:B73))</f>
        <v>-100</v>
      </c>
      <c r="C76" s="5">
        <f>SUMPRODUCT($B74:C74,POWER(1+$B$78,-$B73:C73))</f>
        <v>0</v>
      </c>
      <c r="D76" s="5">
        <f>SUMPRODUCT($B74:D74,POWER(1+$B$78,-$B73:D73))</f>
        <v>-24.793388429752063</v>
      </c>
      <c r="E76" s="5">
        <f>SUMPRODUCT($B74:E74,POWER(1+$B$78,-$B73:E73))</f>
        <v>-6.0105184072126256</v>
      </c>
      <c r="F76" s="5">
        <f>SUMPRODUCT($B74:F74,POWER(1+$B$78,-$B73:F73))</f>
        <v>28.140154361040903</v>
      </c>
      <c r="G76" s="5">
        <f>SUMPRODUCT($B74:G74,POWER(1+$B$78,-$B73:G73))</f>
        <v>90.232286666956398</v>
      </c>
    </row>
    <row r="77" spans="1:8" x14ac:dyDescent="0.3">
      <c r="B77" s="5"/>
    </row>
    <row r="78" spans="1:8" x14ac:dyDescent="0.3">
      <c r="A78" s="3" t="s">
        <v>514</v>
      </c>
      <c r="B78" s="86">
        <v>0.1</v>
      </c>
      <c r="C78" s="363"/>
      <c r="D78" s="363"/>
    </row>
    <row r="79" spans="1:8" x14ac:dyDescent="0.3">
      <c r="A79" s="2" t="s">
        <v>519</v>
      </c>
      <c r="B79" s="364">
        <f>SUMPRODUCT($B74:G74,POWER(1+$B78,-$B73:G73))</f>
        <v>90.232286666956398</v>
      </c>
      <c r="C79" s="291"/>
      <c r="D79" s="291"/>
      <c r="E79" s="291"/>
      <c r="F79" s="291"/>
      <c r="G79" s="291"/>
    </row>
    <row r="80" spans="1:8" x14ac:dyDescent="0.3">
      <c r="A80" s="2" t="s">
        <v>830</v>
      </c>
      <c r="B80" s="87">
        <v>0.42640162762533101</v>
      </c>
      <c r="C80" s="86"/>
    </row>
    <row r="81" spans="1:12" x14ac:dyDescent="0.3">
      <c r="A81" s="3" t="s">
        <v>519</v>
      </c>
      <c r="B81" s="179">
        <f>SUMPRODUCT($B74:G74,POWER(1+$B80,-$B73:G73))</f>
        <v>7.3253652033145045E-9</v>
      </c>
    </row>
    <row r="83" spans="1:12" x14ac:dyDescent="0.3">
      <c r="A83" s="12" t="s">
        <v>208</v>
      </c>
    </row>
    <row r="84" spans="1:12" x14ac:dyDescent="0.3">
      <c r="A84" t="s">
        <v>848</v>
      </c>
      <c r="B84">
        <v>2</v>
      </c>
      <c r="C84" t="s">
        <v>819</v>
      </c>
    </row>
    <row r="85" spans="1:12" x14ac:dyDescent="0.3">
      <c r="A85" t="s">
        <v>648</v>
      </c>
      <c r="B85">
        <v>10</v>
      </c>
      <c r="C85" t="s">
        <v>638</v>
      </c>
    </row>
    <row r="86" spans="1:12" x14ac:dyDescent="0.3">
      <c r="A86" t="s">
        <v>849</v>
      </c>
      <c r="B86">
        <v>0.8</v>
      </c>
      <c r="C86" t="s">
        <v>819</v>
      </c>
    </row>
    <row r="87" spans="1:12" x14ac:dyDescent="0.3">
      <c r="A87" s="3" t="s">
        <v>829</v>
      </c>
      <c r="B87">
        <v>-0.2</v>
      </c>
      <c r="C87" t="s">
        <v>819</v>
      </c>
    </row>
    <row r="89" spans="1:12" x14ac:dyDescent="0.3">
      <c r="A89" t="s">
        <v>850</v>
      </c>
    </row>
    <row r="90" spans="1:12" x14ac:dyDescent="0.3">
      <c r="A90" s="44" t="s">
        <v>863</v>
      </c>
      <c r="B90" s="127">
        <v>0</v>
      </c>
      <c r="C90" s="127">
        <f>B90+1</f>
        <v>1</v>
      </c>
      <c r="D90" s="127">
        <f t="shared" ref="D90:L90" si="5">C90+1</f>
        <v>2</v>
      </c>
      <c r="E90" s="127">
        <f t="shared" si="5"/>
        <v>3</v>
      </c>
      <c r="F90" s="127">
        <f t="shared" si="5"/>
        <v>4</v>
      </c>
      <c r="G90" s="127">
        <f t="shared" si="5"/>
        <v>5</v>
      </c>
      <c r="H90" s="127">
        <f t="shared" si="5"/>
        <v>6</v>
      </c>
      <c r="I90" s="127">
        <f t="shared" si="5"/>
        <v>7</v>
      </c>
      <c r="J90" s="127">
        <f t="shared" si="5"/>
        <v>8</v>
      </c>
      <c r="K90" s="127">
        <f t="shared" si="5"/>
        <v>9</v>
      </c>
      <c r="L90" s="127">
        <f t="shared" si="5"/>
        <v>10</v>
      </c>
    </row>
    <row r="91" spans="1:12" x14ac:dyDescent="0.3">
      <c r="A91" s="57" t="s">
        <v>848</v>
      </c>
      <c r="B91" s="5">
        <f>B84</f>
        <v>2</v>
      </c>
      <c r="C91" s="5"/>
      <c r="D91" s="5"/>
      <c r="E91" s="5"/>
      <c r="F91" s="5"/>
      <c r="G91" s="5"/>
      <c r="H91" s="5"/>
      <c r="I91" s="5"/>
      <c r="J91" s="5"/>
      <c r="K91" s="5"/>
      <c r="L91" s="5"/>
    </row>
    <row r="92" spans="1:12" x14ac:dyDescent="0.3">
      <c r="A92" s="57" t="s">
        <v>864</v>
      </c>
      <c r="B92" s="5">
        <f>-B86</f>
        <v>-0.8</v>
      </c>
      <c r="C92" s="5"/>
      <c r="D92" s="5"/>
      <c r="E92" s="5"/>
      <c r="F92" s="5"/>
      <c r="G92" s="5"/>
      <c r="H92" s="5"/>
      <c r="I92" s="5"/>
      <c r="J92" s="5"/>
      <c r="K92" s="5"/>
      <c r="L92" s="5"/>
    </row>
    <row r="93" spans="1:12" x14ac:dyDescent="0.3">
      <c r="A93" s="180" t="s">
        <v>829</v>
      </c>
      <c r="B93" s="98"/>
      <c r="C93" s="98">
        <f>$B87</f>
        <v>-0.2</v>
      </c>
      <c r="D93" s="98">
        <f t="shared" ref="D93:L93" si="6">$B87</f>
        <v>-0.2</v>
      </c>
      <c r="E93" s="98">
        <f t="shared" si="6"/>
        <v>-0.2</v>
      </c>
      <c r="F93" s="98">
        <f t="shared" si="6"/>
        <v>-0.2</v>
      </c>
      <c r="G93" s="98">
        <f t="shared" si="6"/>
        <v>-0.2</v>
      </c>
      <c r="H93" s="98">
        <f t="shared" si="6"/>
        <v>-0.2</v>
      </c>
      <c r="I93" s="98">
        <f t="shared" si="6"/>
        <v>-0.2</v>
      </c>
      <c r="J93" s="98">
        <f t="shared" si="6"/>
        <v>-0.2</v>
      </c>
      <c r="K93" s="98">
        <f t="shared" si="6"/>
        <v>-0.2</v>
      </c>
      <c r="L93" s="98">
        <f t="shared" si="6"/>
        <v>-0.2</v>
      </c>
    </row>
    <row r="94" spans="1:12" x14ac:dyDescent="0.3">
      <c r="A94" s="57" t="s">
        <v>518</v>
      </c>
      <c r="B94" s="5">
        <f>SUM(B91:B93)</f>
        <v>1.2</v>
      </c>
      <c r="C94" s="5">
        <f t="shared" ref="C94:L94" si="7">SUM(C91:C93)</f>
        <v>-0.2</v>
      </c>
      <c r="D94" s="5">
        <f t="shared" si="7"/>
        <v>-0.2</v>
      </c>
      <c r="E94" s="5">
        <f t="shared" si="7"/>
        <v>-0.2</v>
      </c>
      <c r="F94" s="5">
        <f t="shared" si="7"/>
        <v>-0.2</v>
      </c>
      <c r="G94" s="5">
        <f t="shared" si="7"/>
        <v>-0.2</v>
      </c>
      <c r="H94" s="5">
        <f t="shared" si="7"/>
        <v>-0.2</v>
      </c>
      <c r="I94" s="5">
        <f t="shared" si="7"/>
        <v>-0.2</v>
      </c>
      <c r="J94" s="5">
        <f t="shared" si="7"/>
        <v>-0.2</v>
      </c>
      <c r="K94" s="5">
        <f t="shared" si="7"/>
        <v>-0.2</v>
      </c>
      <c r="L94" s="5">
        <f t="shared" si="7"/>
        <v>-0.2</v>
      </c>
    </row>
    <row r="96" spans="1:12" x14ac:dyDescent="0.3">
      <c r="A96" t="s">
        <v>525</v>
      </c>
      <c r="B96" s="37">
        <v>0.1</v>
      </c>
      <c r="C96" s="37">
        <f>B96+1%</f>
        <v>0.11</v>
      </c>
      <c r="D96" s="37">
        <f>C96+1%</f>
        <v>0.12</v>
      </c>
      <c r="E96" s="37">
        <f>D96+1%</f>
        <v>0.13</v>
      </c>
      <c r="F96" s="37">
        <f>E96+1%</f>
        <v>0.14000000000000001</v>
      </c>
      <c r="G96" s="37">
        <f>F96+1%</f>
        <v>0.15000000000000002</v>
      </c>
    </row>
    <row r="97" spans="1:7" x14ac:dyDescent="0.3">
      <c r="A97" s="1" t="s">
        <v>519</v>
      </c>
      <c r="B97" s="141">
        <f t="shared" ref="B97:G97" si="8">SUMPRODUCT($B94:$L94,POWER(1+B96,-$B90:$L90))</f>
        <v>-2.8913421140936243E-2</v>
      </c>
      <c r="C97" s="141">
        <f t="shared" si="8"/>
        <v>2.2153597771758932E-2</v>
      </c>
      <c r="D97" s="141">
        <f t="shared" si="8"/>
        <v>6.9955394317827227E-2</v>
      </c>
      <c r="E97" s="141">
        <f t="shared" si="8"/>
        <v>0.11475130480942275</v>
      </c>
      <c r="F97" s="141">
        <f t="shared" si="8"/>
        <v>0.1567768707412846</v>
      </c>
      <c r="G97" s="141">
        <f t="shared" si="8"/>
        <v>0.19624627482915372</v>
      </c>
    </row>
    <row r="110" spans="1:7" x14ac:dyDescent="0.3">
      <c r="A110" s="12" t="s">
        <v>222</v>
      </c>
    </row>
    <row r="111" spans="1:7" x14ac:dyDescent="0.3">
      <c r="A111" t="s">
        <v>865</v>
      </c>
      <c r="B111" s="15">
        <v>78000</v>
      </c>
    </row>
    <row r="112" spans="1:7" x14ac:dyDescent="0.3">
      <c r="A112" t="s">
        <v>866</v>
      </c>
      <c r="B112" s="15">
        <v>3</v>
      </c>
      <c r="C112" t="s">
        <v>615</v>
      </c>
    </row>
    <row r="113" spans="1:12" x14ac:dyDescent="0.3">
      <c r="A113" t="s">
        <v>761</v>
      </c>
      <c r="B113" s="37">
        <v>0.35</v>
      </c>
    </row>
    <row r="114" spans="1:12" x14ac:dyDescent="0.3">
      <c r="A114" t="s">
        <v>514</v>
      </c>
      <c r="B114" s="37">
        <v>0.1</v>
      </c>
    </row>
    <row r="116" spans="1:12" x14ac:dyDescent="0.3">
      <c r="A116" t="s">
        <v>391</v>
      </c>
      <c r="B116" s="15">
        <v>5</v>
      </c>
      <c r="C116" t="s">
        <v>615</v>
      </c>
    </row>
    <row r="118" spans="1:12" x14ac:dyDescent="0.3">
      <c r="A118" t="s">
        <v>392</v>
      </c>
      <c r="B118" s="107">
        <v>7000</v>
      </c>
    </row>
    <row r="120" spans="1:12" x14ac:dyDescent="0.3">
      <c r="A120" s="160" t="s">
        <v>393</v>
      </c>
    </row>
    <row r="121" spans="1:12" x14ac:dyDescent="0.3">
      <c r="A121" s="44" t="s">
        <v>863</v>
      </c>
      <c r="B121" s="127">
        <v>0</v>
      </c>
      <c r="C121" s="127">
        <f>B121+1</f>
        <v>1</v>
      </c>
      <c r="D121" s="127">
        <f t="shared" ref="D121:L121" si="9">C121+1</f>
        <v>2</v>
      </c>
      <c r="E121" s="127">
        <f t="shared" si="9"/>
        <v>3</v>
      </c>
      <c r="F121" s="127">
        <f t="shared" si="9"/>
        <v>4</v>
      </c>
      <c r="G121" s="127">
        <f t="shared" si="9"/>
        <v>5</v>
      </c>
      <c r="H121" s="127">
        <f t="shared" si="9"/>
        <v>6</v>
      </c>
      <c r="I121" s="127">
        <f t="shared" si="9"/>
        <v>7</v>
      </c>
      <c r="J121" s="127">
        <f t="shared" si="9"/>
        <v>8</v>
      </c>
      <c r="K121" s="127">
        <f t="shared" si="9"/>
        <v>9</v>
      </c>
      <c r="L121" s="127">
        <f t="shared" si="9"/>
        <v>10</v>
      </c>
    </row>
    <row r="122" spans="1:12" x14ac:dyDescent="0.3">
      <c r="A122" s="187" t="s">
        <v>1100</v>
      </c>
      <c r="B122" s="15">
        <f>-B111</f>
        <v>-78000</v>
      </c>
      <c r="C122" s="15"/>
      <c r="D122" s="15"/>
      <c r="E122" s="15"/>
      <c r="F122" s="15"/>
      <c r="G122" s="15"/>
      <c r="H122" s="15"/>
      <c r="I122" s="15"/>
      <c r="J122" s="15"/>
      <c r="K122" s="15"/>
      <c r="L122" s="15"/>
    </row>
    <row r="123" spans="1:12" x14ac:dyDescent="0.3">
      <c r="A123" s="188" t="s">
        <v>902</v>
      </c>
      <c r="B123" s="15"/>
      <c r="C123" s="15">
        <f>$B118*($B116-$B112)</f>
        <v>14000</v>
      </c>
      <c r="D123" s="15">
        <f t="shared" ref="D123:L123" si="10">$B118*($B116-$B112)</f>
        <v>14000</v>
      </c>
      <c r="E123" s="15">
        <f t="shared" si="10"/>
        <v>14000</v>
      </c>
      <c r="F123" s="15">
        <f t="shared" si="10"/>
        <v>14000</v>
      </c>
      <c r="G123" s="15">
        <f t="shared" si="10"/>
        <v>14000</v>
      </c>
      <c r="H123" s="15">
        <f t="shared" si="10"/>
        <v>14000</v>
      </c>
      <c r="I123" s="15">
        <f t="shared" si="10"/>
        <v>14000</v>
      </c>
      <c r="J123" s="15">
        <f t="shared" si="10"/>
        <v>14000</v>
      </c>
      <c r="K123" s="15">
        <f t="shared" si="10"/>
        <v>14000</v>
      </c>
      <c r="L123" s="15">
        <f t="shared" si="10"/>
        <v>14000</v>
      </c>
    </row>
    <row r="124" spans="1:12" x14ac:dyDescent="0.3">
      <c r="A124" s="189" t="s">
        <v>898</v>
      </c>
      <c r="B124" s="30"/>
      <c r="C124" s="30">
        <f>-(C123-C127)*$B113</f>
        <v>-2170</v>
      </c>
      <c r="D124" s="30">
        <f t="shared" ref="D124:L124" si="11">-(D123-D127)*$B113</f>
        <v>-2170</v>
      </c>
      <c r="E124" s="30">
        <f t="shared" si="11"/>
        <v>-2170</v>
      </c>
      <c r="F124" s="30">
        <f t="shared" si="11"/>
        <v>-2170</v>
      </c>
      <c r="G124" s="30">
        <f t="shared" si="11"/>
        <v>-2170</v>
      </c>
      <c r="H124" s="30">
        <f t="shared" si="11"/>
        <v>-2170</v>
      </c>
      <c r="I124" s="30">
        <f t="shared" si="11"/>
        <v>-2170</v>
      </c>
      <c r="J124" s="30">
        <f t="shared" si="11"/>
        <v>-2170</v>
      </c>
      <c r="K124" s="30">
        <f t="shared" si="11"/>
        <v>-2170</v>
      </c>
      <c r="L124" s="30">
        <f t="shared" si="11"/>
        <v>-2170</v>
      </c>
    </row>
    <row r="125" spans="1:12" x14ac:dyDescent="0.3">
      <c r="A125" s="57" t="s">
        <v>518</v>
      </c>
      <c r="B125" s="15">
        <f t="shared" ref="B125:L125" si="12">SUM(B122:B124)</f>
        <v>-78000</v>
      </c>
      <c r="C125" s="15">
        <f t="shared" si="12"/>
        <v>11830</v>
      </c>
      <c r="D125" s="15">
        <f t="shared" si="12"/>
        <v>11830</v>
      </c>
      <c r="E125" s="15">
        <f t="shared" si="12"/>
        <v>11830</v>
      </c>
      <c r="F125" s="15">
        <f t="shared" si="12"/>
        <v>11830</v>
      </c>
      <c r="G125" s="15">
        <f t="shared" si="12"/>
        <v>11830</v>
      </c>
      <c r="H125" s="15">
        <f t="shared" si="12"/>
        <v>11830</v>
      </c>
      <c r="I125" s="15">
        <f t="shared" si="12"/>
        <v>11830</v>
      </c>
      <c r="J125" s="15">
        <f t="shared" si="12"/>
        <v>11830</v>
      </c>
      <c r="K125" s="15">
        <f t="shared" si="12"/>
        <v>11830</v>
      </c>
      <c r="L125" s="15">
        <f t="shared" si="12"/>
        <v>11830</v>
      </c>
    </row>
    <row r="126" spans="1:12" x14ac:dyDescent="0.3">
      <c r="B126" s="15"/>
      <c r="C126" s="15"/>
      <c r="D126" s="15"/>
      <c r="E126" s="15"/>
      <c r="F126" s="15"/>
      <c r="G126" s="15"/>
      <c r="H126" s="15"/>
      <c r="I126" s="15"/>
      <c r="J126" s="15"/>
      <c r="K126" s="15"/>
      <c r="L126" s="15"/>
    </row>
    <row r="127" spans="1:12" x14ac:dyDescent="0.3">
      <c r="A127" s="45" t="s">
        <v>828</v>
      </c>
      <c r="B127" s="54"/>
      <c r="C127" s="15">
        <f t="shared" ref="C127:L127" si="13">$B111/10</f>
        <v>7800</v>
      </c>
      <c r="D127" s="15">
        <f t="shared" si="13"/>
        <v>7800</v>
      </c>
      <c r="E127" s="15">
        <f t="shared" si="13"/>
        <v>7800</v>
      </c>
      <c r="F127" s="15">
        <f t="shared" si="13"/>
        <v>7800</v>
      </c>
      <c r="G127" s="15">
        <f t="shared" si="13"/>
        <v>7800</v>
      </c>
      <c r="H127" s="15">
        <f t="shared" si="13"/>
        <v>7800</v>
      </c>
      <c r="I127" s="15">
        <f t="shared" si="13"/>
        <v>7800</v>
      </c>
      <c r="J127" s="15">
        <f t="shared" si="13"/>
        <v>7800</v>
      </c>
      <c r="K127" s="15">
        <f t="shared" si="13"/>
        <v>7800</v>
      </c>
      <c r="L127" s="15">
        <f t="shared" si="13"/>
        <v>7800</v>
      </c>
    </row>
    <row r="128" spans="1:12" x14ac:dyDescent="0.3">
      <c r="A128" s="45"/>
      <c r="B128" s="15"/>
      <c r="C128" s="15"/>
      <c r="D128" s="15"/>
      <c r="E128" s="15"/>
      <c r="F128" s="15"/>
      <c r="G128" s="15"/>
      <c r="H128" s="15"/>
      <c r="I128" s="15"/>
      <c r="J128" s="15"/>
      <c r="K128" s="15"/>
      <c r="L128" s="15"/>
    </row>
    <row r="129" spans="1:12" x14ac:dyDescent="0.3">
      <c r="A129" s="1" t="s">
        <v>519</v>
      </c>
      <c r="B129" s="32">
        <f>SUMPRODUCT(B125:L125,POWER(1+B114,-B121:L121))</f>
        <v>-5309.7711395136248</v>
      </c>
      <c r="C129" s="183" t="s">
        <v>394</v>
      </c>
      <c r="D129" s="15"/>
      <c r="E129" s="15"/>
      <c r="F129" s="15"/>
      <c r="G129" s="15"/>
      <c r="H129" s="15"/>
      <c r="I129" s="15"/>
      <c r="J129" s="15"/>
      <c r="K129" s="15"/>
      <c r="L129" s="15"/>
    </row>
    <row r="130" spans="1:12" x14ac:dyDescent="0.3">
      <c r="A130" s="1"/>
      <c r="B130" s="32"/>
      <c r="C130" s="183"/>
      <c r="D130" s="15"/>
      <c r="E130" s="15"/>
      <c r="F130" s="15"/>
      <c r="G130" s="15"/>
      <c r="H130" s="15"/>
      <c r="I130" s="15"/>
      <c r="J130" s="15"/>
      <c r="K130" s="15"/>
      <c r="L130" s="15"/>
    </row>
    <row r="131" spans="1:12" x14ac:dyDescent="0.3">
      <c r="A131" t="s">
        <v>867</v>
      </c>
      <c r="B131">
        <v>7000</v>
      </c>
      <c r="C131">
        <v>8000</v>
      </c>
      <c r="D131">
        <v>9000</v>
      </c>
      <c r="E131">
        <v>10000</v>
      </c>
      <c r="F131" s="15"/>
      <c r="G131" s="15"/>
      <c r="H131" s="15"/>
      <c r="I131" s="15"/>
      <c r="J131" s="15"/>
      <c r="K131" s="15"/>
      <c r="L131" s="15"/>
    </row>
    <row r="132" spans="1:12" x14ac:dyDescent="0.3">
      <c r="A132" s="1" t="s">
        <v>519</v>
      </c>
      <c r="B132" s="67">
        <v>-5309.7711395136248</v>
      </c>
      <c r="C132" s="190">
        <v>2678.1660979024491</v>
      </c>
      <c r="D132" s="67">
        <v>10666.103335318534</v>
      </c>
      <c r="E132" s="67">
        <v>18654.040572734626</v>
      </c>
      <c r="F132" s="15"/>
      <c r="G132" s="15"/>
      <c r="H132" s="15"/>
      <c r="I132" s="15"/>
      <c r="J132" s="15"/>
      <c r="K132" s="15"/>
      <c r="L132" s="15"/>
    </row>
    <row r="144" spans="1:12" x14ac:dyDescent="0.3">
      <c r="A144" s="12" t="s">
        <v>490</v>
      </c>
    </row>
    <row r="145" spans="1:32" x14ac:dyDescent="0.3">
      <c r="A145" t="s">
        <v>875</v>
      </c>
      <c r="B145" s="15">
        <v>8400</v>
      </c>
    </row>
    <row r="147" spans="1:32" x14ac:dyDescent="0.3">
      <c r="A147" s="161" t="s">
        <v>871</v>
      </c>
    </row>
    <row r="148" spans="1:32" x14ac:dyDescent="0.3">
      <c r="A148" t="s">
        <v>872</v>
      </c>
      <c r="B148" s="15">
        <v>1680</v>
      </c>
    </row>
    <row r="149" spans="1:32" x14ac:dyDescent="0.3">
      <c r="A149" t="s">
        <v>873</v>
      </c>
      <c r="B149" s="15">
        <v>770</v>
      </c>
    </row>
    <row r="150" spans="1:32" x14ac:dyDescent="0.3">
      <c r="A150" t="s">
        <v>874</v>
      </c>
      <c r="B150" s="15">
        <v>800</v>
      </c>
    </row>
    <row r="151" spans="1:32" x14ac:dyDescent="0.3">
      <c r="A151" s="161" t="s">
        <v>868</v>
      </c>
      <c r="B151" s="15"/>
    </row>
    <row r="152" spans="1:32" x14ac:dyDescent="0.3">
      <c r="A152" t="s">
        <v>869</v>
      </c>
      <c r="B152" s="15">
        <v>670</v>
      </c>
    </row>
    <row r="153" spans="1:32" x14ac:dyDescent="0.3">
      <c r="A153" t="s">
        <v>870</v>
      </c>
      <c r="B153" s="15">
        <v>280</v>
      </c>
    </row>
    <row r="154" spans="1:32" x14ac:dyDescent="0.3">
      <c r="A154" t="s">
        <v>761</v>
      </c>
      <c r="B154" s="15">
        <v>1000</v>
      </c>
    </row>
    <row r="155" spans="1:32" x14ac:dyDescent="0.3">
      <c r="A155" s="161" t="s">
        <v>714</v>
      </c>
      <c r="B155" s="15">
        <f>SUM(B148:B150)-SUM(B152:B154)</f>
        <v>1300</v>
      </c>
    </row>
    <row r="157" spans="1:32" x14ac:dyDescent="0.3">
      <c r="A157" s="160" t="s">
        <v>850</v>
      </c>
    </row>
    <row r="158" spans="1:32" x14ac:dyDescent="0.3">
      <c r="A158" s="44" t="s">
        <v>863</v>
      </c>
      <c r="B158" s="127">
        <v>0</v>
      </c>
      <c r="C158" s="25">
        <v>1</v>
      </c>
      <c r="D158" s="25">
        <f>C158+1</f>
        <v>2</v>
      </c>
      <c r="E158" s="25">
        <f t="shared" ref="E158:AF158" si="14">D158+1</f>
        <v>3</v>
      </c>
      <c r="F158" s="25">
        <f t="shared" si="14"/>
        <v>4</v>
      </c>
      <c r="G158" s="25">
        <f t="shared" si="14"/>
        <v>5</v>
      </c>
      <c r="H158" s="25">
        <f t="shared" si="14"/>
        <v>6</v>
      </c>
      <c r="I158" s="25">
        <f t="shared" si="14"/>
        <v>7</v>
      </c>
      <c r="J158" s="25">
        <f t="shared" si="14"/>
        <v>8</v>
      </c>
      <c r="K158" s="25">
        <f t="shared" si="14"/>
        <v>9</v>
      </c>
      <c r="L158" s="25">
        <f t="shared" si="14"/>
        <v>10</v>
      </c>
      <c r="M158" s="25">
        <f t="shared" si="14"/>
        <v>11</v>
      </c>
      <c r="N158" s="25">
        <f t="shared" si="14"/>
        <v>12</v>
      </c>
      <c r="O158" s="25">
        <f t="shared" si="14"/>
        <v>13</v>
      </c>
      <c r="P158" s="25">
        <f t="shared" si="14"/>
        <v>14</v>
      </c>
      <c r="Q158" s="25">
        <f t="shared" si="14"/>
        <v>15</v>
      </c>
      <c r="R158" s="25">
        <f t="shared" si="14"/>
        <v>16</v>
      </c>
      <c r="S158" s="25">
        <f t="shared" si="14"/>
        <v>17</v>
      </c>
      <c r="T158" s="25">
        <f t="shared" si="14"/>
        <v>18</v>
      </c>
      <c r="U158" s="25">
        <f t="shared" si="14"/>
        <v>19</v>
      </c>
      <c r="V158" s="25">
        <f t="shared" si="14"/>
        <v>20</v>
      </c>
      <c r="W158" s="25">
        <f t="shared" si="14"/>
        <v>21</v>
      </c>
      <c r="X158" s="25">
        <f t="shared" si="14"/>
        <v>22</v>
      </c>
      <c r="Y158" s="25">
        <f t="shared" si="14"/>
        <v>23</v>
      </c>
      <c r="Z158" s="25">
        <f t="shared" si="14"/>
        <v>24</v>
      </c>
      <c r="AA158" s="25">
        <f t="shared" si="14"/>
        <v>25</v>
      </c>
      <c r="AB158" s="25">
        <f t="shared" si="14"/>
        <v>26</v>
      </c>
      <c r="AC158" s="25">
        <f t="shared" si="14"/>
        <v>27</v>
      </c>
      <c r="AD158" s="25">
        <f t="shared" si="14"/>
        <v>28</v>
      </c>
      <c r="AE158" s="25">
        <f t="shared" si="14"/>
        <v>29</v>
      </c>
      <c r="AF158" s="25">
        <f t="shared" si="14"/>
        <v>30</v>
      </c>
    </row>
    <row r="159" spans="1:32" x14ac:dyDescent="0.3">
      <c r="A159" s="181" t="str">
        <f>A145</f>
        <v>Investissement initial</v>
      </c>
      <c r="B159" s="15">
        <f>-B145</f>
        <v>-8400</v>
      </c>
    </row>
    <row r="160" spans="1:32" x14ac:dyDescent="0.3">
      <c r="A160" s="181" t="s">
        <v>876</v>
      </c>
      <c r="B160" s="15"/>
      <c r="C160" s="15">
        <f>$B155</f>
        <v>1300</v>
      </c>
      <c r="D160" s="15">
        <f t="shared" ref="D160:AF160" si="15">$B155</f>
        <v>1300</v>
      </c>
      <c r="E160" s="15">
        <f t="shared" si="15"/>
        <v>1300</v>
      </c>
      <c r="F160" s="15">
        <f t="shared" si="15"/>
        <v>1300</v>
      </c>
      <c r="G160" s="15">
        <f t="shared" si="15"/>
        <v>1300</v>
      </c>
      <c r="H160" s="15">
        <f t="shared" si="15"/>
        <v>1300</v>
      </c>
      <c r="I160" s="15">
        <f t="shared" si="15"/>
        <v>1300</v>
      </c>
      <c r="J160" s="15">
        <f t="shared" si="15"/>
        <v>1300</v>
      </c>
      <c r="K160" s="15">
        <f t="shared" si="15"/>
        <v>1300</v>
      </c>
      <c r="L160" s="15">
        <f t="shared" si="15"/>
        <v>1300</v>
      </c>
      <c r="M160" s="15">
        <f t="shared" si="15"/>
        <v>1300</v>
      </c>
      <c r="N160" s="15">
        <f t="shared" si="15"/>
        <v>1300</v>
      </c>
      <c r="O160" s="15">
        <f t="shared" si="15"/>
        <v>1300</v>
      </c>
      <c r="P160" s="15">
        <f t="shared" si="15"/>
        <v>1300</v>
      </c>
      <c r="Q160" s="15">
        <f t="shared" si="15"/>
        <v>1300</v>
      </c>
      <c r="R160" s="15">
        <f t="shared" si="15"/>
        <v>1300</v>
      </c>
      <c r="S160" s="15">
        <f t="shared" si="15"/>
        <v>1300</v>
      </c>
      <c r="T160" s="15">
        <f t="shared" si="15"/>
        <v>1300</v>
      </c>
      <c r="U160" s="15">
        <f t="shared" si="15"/>
        <v>1300</v>
      </c>
      <c r="V160" s="15">
        <f t="shared" si="15"/>
        <v>1300</v>
      </c>
      <c r="W160" s="15">
        <f t="shared" si="15"/>
        <v>1300</v>
      </c>
      <c r="X160" s="15">
        <f t="shared" si="15"/>
        <v>1300</v>
      </c>
      <c r="Y160" s="15">
        <f t="shared" si="15"/>
        <v>1300</v>
      </c>
      <c r="Z160" s="15">
        <f t="shared" si="15"/>
        <v>1300</v>
      </c>
      <c r="AA160" s="15">
        <f t="shared" si="15"/>
        <v>1300</v>
      </c>
      <c r="AB160" s="15">
        <f t="shared" si="15"/>
        <v>1300</v>
      </c>
      <c r="AC160" s="15">
        <f t="shared" si="15"/>
        <v>1300</v>
      </c>
      <c r="AD160" s="15">
        <f t="shared" si="15"/>
        <v>1300</v>
      </c>
      <c r="AE160" s="15">
        <f t="shared" si="15"/>
        <v>1300</v>
      </c>
      <c r="AF160" s="15">
        <f t="shared" si="15"/>
        <v>1300</v>
      </c>
    </row>
    <row r="161" spans="1:32" x14ac:dyDescent="0.3">
      <c r="A161" s="180" t="s">
        <v>828</v>
      </c>
      <c r="B161" s="30"/>
      <c r="C161" s="30">
        <f>$B153</f>
        <v>280</v>
      </c>
      <c r="D161" s="30">
        <f t="shared" ref="D161:AF161" si="16">$B153</f>
        <v>280</v>
      </c>
      <c r="E161" s="30">
        <f t="shared" si="16"/>
        <v>280</v>
      </c>
      <c r="F161" s="30">
        <f t="shared" si="16"/>
        <v>280</v>
      </c>
      <c r="G161" s="30">
        <f t="shared" si="16"/>
        <v>280</v>
      </c>
      <c r="H161" s="30">
        <f t="shared" si="16"/>
        <v>280</v>
      </c>
      <c r="I161" s="30">
        <f t="shared" si="16"/>
        <v>280</v>
      </c>
      <c r="J161" s="30">
        <f t="shared" si="16"/>
        <v>280</v>
      </c>
      <c r="K161" s="30">
        <f t="shared" si="16"/>
        <v>280</v>
      </c>
      <c r="L161" s="30">
        <f t="shared" si="16"/>
        <v>280</v>
      </c>
      <c r="M161" s="30">
        <f t="shared" si="16"/>
        <v>280</v>
      </c>
      <c r="N161" s="30">
        <f t="shared" si="16"/>
        <v>280</v>
      </c>
      <c r="O161" s="30">
        <f t="shared" si="16"/>
        <v>280</v>
      </c>
      <c r="P161" s="30">
        <f t="shared" si="16"/>
        <v>280</v>
      </c>
      <c r="Q161" s="30">
        <f t="shared" si="16"/>
        <v>280</v>
      </c>
      <c r="R161" s="30">
        <f t="shared" si="16"/>
        <v>280</v>
      </c>
      <c r="S161" s="30">
        <f t="shared" si="16"/>
        <v>280</v>
      </c>
      <c r="T161" s="30">
        <f t="shared" si="16"/>
        <v>280</v>
      </c>
      <c r="U161" s="30">
        <f t="shared" si="16"/>
        <v>280</v>
      </c>
      <c r="V161" s="30">
        <f t="shared" si="16"/>
        <v>280</v>
      </c>
      <c r="W161" s="30">
        <f t="shared" si="16"/>
        <v>280</v>
      </c>
      <c r="X161" s="30">
        <f t="shared" si="16"/>
        <v>280</v>
      </c>
      <c r="Y161" s="30">
        <f t="shared" si="16"/>
        <v>280</v>
      </c>
      <c r="Z161" s="30">
        <f t="shared" si="16"/>
        <v>280</v>
      </c>
      <c r="AA161" s="30">
        <f t="shared" si="16"/>
        <v>280</v>
      </c>
      <c r="AB161" s="30">
        <f t="shared" si="16"/>
        <v>280</v>
      </c>
      <c r="AC161" s="30">
        <f t="shared" si="16"/>
        <v>280</v>
      </c>
      <c r="AD161" s="30">
        <f t="shared" si="16"/>
        <v>280</v>
      </c>
      <c r="AE161" s="30">
        <f t="shared" si="16"/>
        <v>280</v>
      </c>
      <c r="AF161" s="30">
        <f t="shared" si="16"/>
        <v>280</v>
      </c>
    </row>
    <row r="162" spans="1:32" x14ac:dyDescent="0.3">
      <c r="A162" s="57" t="s">
        <v>518</v>
      </c>
      <c r="B162" s="15">
        <f t="shared" ref="B162:AF162" si="17">SUM(B159:B161)</f>
        <v>-8400</v>
      </c>
      <c r="C162" s="15">
        <f t="shared" si="17"/>
        <v>1580</v>
      </c>
      <c r="D162" s="15">
        <f t="shared" si="17"/>
        <v>1580</v>
      </c>
      <c r="E162" s="15">
        <f t="shared" si="17"/>
        <v>1580</v>
      </c>
      <c r="F162" s="15">
        <f t="shared" si="17"/>
        <v>1580</v>
      </c>
      <c r="G162" s="15">
        <f t="shared" si="17"/>
        <v>1580</v>
      </c>
      <c r="H162" s="15">
        <f t="shared" si="17"/>
        <v>1580</v>
      </c>
      <c r="I162" s="15">
        <f t="shared" si="17"/>
        <v>1580</v>
      </c>
      <c r="J162" s="15">
        <f t="shared" si="17"/>
        <v>1580</v>
      </c>
      <c r="K162" s="15">
        <f t="shared" si="17"/>
        <v>1580</v>
      </c>
      <c r="L162" s="15">
        <f t="shared" si="17"/>
        <v>1580</v>
      </c>
      <c r="M162" s="15">
        <f t="shared" si="17"/>
        <v>1580</v>
      </c>
      <c r="N162" s="15">
        <f t="shared" si="17"/>
        <v>1580</v>
      </c>
      <c r="O162" s="15">
        <f t="shared" si="17"/>
        <v>1580</v>
      </c>
      <c r="P162" s="15">
        <f t="shared" si="17"/>
        <v>1580</v>
      </c>
      <c r="Q162" s="15">
        <f t="shared" si="17"/>
        <v>1580</v>
      </c>
      <c r="R162" s="15">
        <f t="shared" si="17"/>
        <v>1580</v>
      </c>
      <c r="S162" s="15">
        <f t="shared" si="17"/>
        <v>1580</v>
      </c>
      <c r="T162" s="15">
        <f t="shared" si="17"/>
        <v>1580</v>
      </c>
      <c r="U162" s="15">
        <f t="shared" si="17"/>
        <v>1580</v>
      </c>
      <c r="V162" s="15">
        <f t="shared" si="17"/>
        <v>1580</v>
      </c>
      <c r="W162" s="15">
        <f t="shared" si="17"/>
        <v>1580</v>
      </c>
      <c r="X162" s="15">
        <f t="shared" si="17"/>
        <v>1580</v>
      </c>
      <c r="Y162" s="15">
        <f t="shared" si="17"/>
        <v>1580</v>
      </c>
      <c r="Z162" s="15">
        <f t="shared" si="17"/>
        <v>1580</v>
      </c>
      <c r="AA162" s="15">
        <f t="shared" si="17"/>
        <v>1580</v>
      </c>
      <c r="AB162" s="15">
        <f t="shared" si="17"/>
        <v>1580</v>
      </c>
      <c r="AC162" s="15">
        <f t="shared" si="17"/>
        <v>1580</v>
      </c>
      <c r="AD162" s="15">
        <f t="shared" si="17"/>
        <v>1580</v>
      </c>
      <c r="AE162" s="15">
        <f t="shared" si="17"/>
        <v>1580</v>
      </c>
      <c r="AF162" s="15">
        <f t="shared" si="17"/>
        <v>1580</v>
      </c>
    </row>
    <row r="164" spans="1:32" x14ac:dyDescent="0.3">
      <c r="A164" s="161" t="s">
        <v>880</v>
      </c>
    </row>
    <row r="165" spans="1:32" x14ac:dyDescent="0.3">
      <c r="A165" t="s">
        <v>1221</v>
      </c>
      <c r="C165" s="15">
        <f>$B155</f>
        <v>1300</v>
      </c>
      <c r="D165" s="15">
        <f t="shared" ref="D165:AF165" si="18">$B155</f>
        <v>1300</v>
      </c>
      <c r="E165" s="15">
        <f t="shared" si="18"/>
        <v>1300</v>
      </c>
      <c r="F165" s="15">
        <f t="shared" si="18"/>
        <v>1300</v>
      </c>
      <c r="G165" s="15">
        <f t="shared" si="18"/>
        <v>1300</v>
      </c>
      <c r="H165" s="15">
        <f t="shared" si="18"/>
        <v>1300</v>
      </c>
      <c r="I165" s="15">
        <f t="shared" si="18"/>
        <v>1300</v>
      </c>
      <c r="J165" s="15">
        <f t="shared" si="18"/>
        <v>1300</v>
      </c>
      <c r="K165" s="15">
        <f t="shared" si="18"/>
        <v>1300</v>
      </c>
      <c r="L165" s="15">
        <f t="shared" si="18"/>
        <v>1300</v>
      </c>
      <c r="M165" s="15">
        <f t="shared" si="18"/>
        <v>1300</v>
      </c>
      <c r="N165" s="15">
        <f t="shared" si="18"/>
        <v>1300</v>
      </c>
      <c r="O165" s="15">
        <f t="shared" si="18"/>
        <v>1300</v>
      </c>
      <c r="P165" s="15">
        <f t="shared" si="18"/>
        <v>1300</v>
      </c>
      <c r="Q165" s="15">
        <f t="shared" si="18"/>
        <v>1300</v>
      </c>
      <c r="R165" s="15">
        <f t="shared" si="18"/>
        <v>1300</v>
      </c>
      <c r="S165" s="15">
        <f t="shared" si="18"/>
        <v>1300</v>
      </c>
      <c r="T165" s="15">
        <f t="shared" si="18"/>
        <v>1300</v>
      </c>
      <c r="U165" s="15">
        <f t="shared" si="18"/>
        <v>1300</v>
      </c>
      <c r="V165" s="15">
        <f t="shared" si="18"/>
        <v>1300</v>
      </c>
      <c r="W165" s="15">
        <f t="shared" si="18"/>
        <v>1300</v>
      </c>
      <c r="X165" s="15">
        <f t="shared" si="18"/>
        <v>1300</v>
      </c>
      <c r="Y165" s="15">
        <f t="shared" si="18"/>
        <v>1300</v>
      </c>
      <c r="Z165" s="15">
        <f t="shared" si="18"/>
        <v>1300</v>
      </c>
      <c r="AA165" s="15">
        <f t="shared" si="18"/>
        <v>1300</v>
      </c>
      <c r="AB165" s="15">
        <f t="shared" si="18"/>
        <v>1300</v>
      </c>
      <c r="AC165" s="15">
        <f t="shared" si="18"/>
        <v>1300</v>
      </c>
      <c r="AD165" s="15">
        <f t="shared" si="18"/>
        <v>1300</v>
      </c>
      <c r="AE165" s="15">
        <f t="shared" si="18"/>
        <v>1300</v>
      </c>
      <c r="AF165" s="15">
        <f t="shared" si="18"/>
        <v>1300</v>
      </c>
    </row>
    <row r="166" spans="1:32" x14ac:dyDescent="0.3">
      <c r="A166" t="s">
        <v>883</v>
      </c>
      <c r="C166" s="15">
        <f>$B145-(C158-1)*$B153</f>
        <v>8400</v>
      </c>
      <c r="D166" s="15">
        <f>$B145-(D158-1)*$B153</f>
        <v>8120</v>
      </c>
      <c r="E166" s="15">
        <f t="shared" ref="E166:AF166" si="19">$B145-(E158-1)*$B153</f>
        <v>7840</v>
      </c>
      <c r="F166" s="15">
        <f t="shared" si="19"/>
        <v>7560</v>
      </c>
      <c r="G166" s="15">
        <f t="shared" si="19"/>
        <v>7280</v>
      </c>
      <c r="H166" s="15">
        <f t="shared" si="19"/>
        <v>7000</v>
      </c>
      <c r="I166" s="15">
        <f t="shared" si="19"/>
        <v>6720</v>
      </c>
      <c r="J166" s="15">
        <f t="shared" si="19"/>
        <v>6440</v>
      </c>
      <c r="K166" s="15">
        <f t="shared" si="19"/>
        <v>6160</v>
      </c>
      <c r="L166" s="15">
        <f t="shared" si="19"/>
        <v>5880</v>
      </c>
      <c r="M166" s="15">
        <f t="shared" si="19"/>
        <v>5600</v>
      </c>
      <c r="N166" s="15">
        <f t="shared" si="19"/>
        <v>5320</v>
      </c>
      <c r="O166" s="15">
        <f t="shared" si="19"/>
        <v>5040</v>
      </c>
      <c r="P166" s="15">
        <f t="shared" si="19"/>
        <v>4760</v>
      </c>
      <c r="Q166" s="15">
        <f t="shared" si="19"/>
        <v>4480</v>
      </c>
      <c r="R166" s="15">
        <f t="shared" si="19"/>
        <v>4200</v>
      </c>
      <c r="S166" s="15">
        <f t="shared" si="19"/>
        <v>3920</v>
      </c>
      <c r="T166" s="15">
        <f t="shared" si="19"/>
        <v>3640</v>
      </c>
      <c r="U166" s="15">
        <f t="shared" si="19"/>
        <v>3360</v>
      </c>
      <c r="V166" s="15">
        <f t="shared" si="19"/>
        <v>3080</v>
      </c>
      <c r="W166" s="15">
        <f t="shared" si="19"/>
        <v>2800</v>
      </c>
      <c r="X166" s="15">
        <f t="shared" si="19"/>
        <v>2520</v>
      </c>
      <c r="Y166" s="15">
        <f t="shared" si="19"/>
        <v>2240</v>
      </c>
      <c r="Z166" s="15">
        <f t="shared" si="19"/>
        <v>1960</v>
      </c>
      <c r="AA166" s="15">
        <f t="shared" si="19"/>
        <v>1680</v>
      </c>
      <c r="AB166" s="15">
        <f t="shared" si="19"/>
        <v>1400</v>
      </c>
      <c r="AC166" s="15">
        <f t="shared" si="19"/>
        <v>1120</v>
      </c>
      <c r="AD166" s="15">
        <f t="shared" si="19"/>
        <v>840</v>
      </c>
      <c r="AE166" s="15">
        <f t="shared" si="19"/>
        <v>560</v>
      </c>
      <c r="AF166" s="15">
        <f t="shared" si="19"/>
        <v>280</v>
      </c>
    </row>
    <row r="167" spans="1:32" x14ac:dyDescent="0.3">
      <c r="A167" t="s">
        <v>884</v>
      </c>
      <c r="C167" s="40">
        <v>0</v>
      </c>
      <c r="D167" s="15">
        <f>C167</f>
        <v>0</v>
      </c>
      <c r="E167" s="15">
        <f t="shared" ref="E167:AF167" si="20">D167</f>
        <v>0</v>
      </c>
      <c r="F167" s="15">
        <f t="shared" si="20"/>
        <v>0</v>
      </c>
      <c r="G167" s="15">
        <f t="shared" si="20"/>
        <v>0</v>
      </c>
      <c r="H167" s="15">
        <f t="shared" si="20"/>
        <v>0</v>
      </c>
      <c r="I167" s="15">
        <f t="shared" si="20"/>
        <v>0</v>
      </c>
      <c r="J167" s="15">
        <f t="shared" si="20"/>
        <v>0</v>
      </c>
      <c r="K167" s="15">
        <f t="shared" si="20"/>
        <v>0</v>
      </c>
      <c r="L167" s="15">
        <f t="shared" si="20"/>
        <v>0</v>
      </c>
      <c r="M167" s="15">
        <f t="shared" si="20"/>
        <v>0</v>
      </c>
      <c r="N167" s="15">
        <f t="shared" si="20"/>
        <v>0</v>
      </c>
      <c r="O167" s="15">
        <f t="shared" si="20"/>
        <v>0</v>
      </c>
      <c r="P167" s="15">
        <f t="shared" si="20"/>
        <v>0</v>
      </c>
      <c r="Q167" s="15">
        <f t="shared" si="20"/>
        <v>0</v>
      </c>
      <c r="R167" s="15">
        <f t="shared" si="20"/>
        <v>0</v>
      </c>
      <c r="S167" s="15">
        <f t="shared" si="20"/>
        <v>0</v>
      </c>
      <c r="T167" s="15">
        <f t="shared" si="20"/>
        <v>0</v>
      </c>
      <c r="U167" s="15">
        <f t="shared" si="20"/>
        <v>0</v>
      </c>
      <c r="V167" s="15">
        <f t="shared" si="20"/>
        <v>0</v>
      </c>
      <c r="W167" s="15">
        <f t="shared" si="20"/>
        <v>0</v>
      </c>
      <c r="X167" s="15">
        <f t="shared" si="20"/>
        <v>0</v>
      </c>
      <c r="Y167" s="15">
        <f t="shared" si="20"/>
        <v>0</v>
      </c>
      <c r="Z167" s="15">
        <f t="shared" si="20"/>
        <v>0</v>
      </c>
      <c r="AA167" s="15">
        <f t="shared" si="20"/>
        <v>0</v>
      </c>
      <c r="AB167" s="15">
        <f t="shared" si="20"/>
        <v>0</v>
      </c>
      <c r="AC167" s="15">
        <f t="shared" si="20"/>
        <v>0</v>
      </c>
      <c r="AD167" s="15">
        <f t="shared" si="20"/>
        <v>0</v>
      </c>
      <c r="AE167" s="15">
        <f t="shared" si="20"/>
        <v>0</v>
      </c>
      <c r="AF167" s="15">
        <f t="shared" si="20"/>
        <v>0</v>
      </c>
    </row>
    <row r="168" spans="1:32" x14ac:dyDescent="0.3">
      <c r="A168" t="s">
        <v>247</v>
      </c>
      <c r="B168">
        <v>0</v>
      </c>
      <c r="C168" s="69">
        <f>C165/(C166+C167)</f>
        <v>0.15476190476190477</v>
      </c>
      <c r="D168" s="69">
        <f t="shared" ref="D168:AF168" si="21">D165/(D166+D167)</f>
        <v>0.16009852216748768</v>
      </c>
      <c r="E168" s="69">
        <f t="shared" si="21"/>
        <v>0.16581632653061223</v>
      </c>
      <c r="F168" s="69">
        <f t="shared" si="21"/>
        <v>0.17195767195767195</v>
      </c>
      <c r="G168" s="69">
        <f t="shared" si="21"/>
        <v>0.17857142857142858</v>
      </c>
      <c r="H168" s="69">
        <f t="shared" si="21"/>
        <v>0.18571428571428572</v>
      </c>
      <c r="I168" s="69">
        <f t="shared" si="21"/>
        <v>0.19345238095238096</v>
      </c>
      <c r="J168" s="69">
        <f t="shared" si="21"/>
        <v>0.20186335403726707</v>
      </c>
      <c r="K168" s="69">
        <f t="shared" si="21"/>
        <v>0.21103896103896103</v>
      </c>
      <c r="L168" s="69">
        <f t="shared" si="21"/>
        <v>0.22108843537414966</v>
      </c>
      <c r="M168" s="69">
        <f t="shared" si="21"/>
        <v>0.23214285714285715</v>
      </c>
      <c r="N168" s="69">
        <f t="shared" si="21"/>
        <v>0.24436090225563908</v>
      </c>
      <c r="O168" s="69">
        <f t="shared" si="21"/>
        <v>0.25793650793650796</v>
      </c>
      <c r="P168" s="69">
        <f t="shared" si="21"/>
        <v>0.27310924369747897</v>
      </c>
      <c r="Q168" s="69">
        <f t="shared" si="21"/>
        <v>0.29017857142857145</v>
      </c>
      <c r="R168" s="69">
        <f t="shared" si="21"/>
        <v>0.30952380952380953</v>
      </c>
      <c r="S168" s="69">
        <f t="shared" si="21"/>
        <v>0.33163265306122447</v>
      </c>
      <c r="T168" s="69">
        <f t="shared" si="21"/>
        <v>0.35714285714285715</v>
      </c>
      <c r="U168" s="69">
        <f t="shared" si="21"/>
        <v>0.38690476190476192</v>
      </c>
      <c r="V168" s="69">
        <f t="shared" si="21"/>
        <v>0.42207792207792205</v>
      </c>
      <c r="W168" s="69">
        <f t="shared" si="21"/>
        <v>0.4642857142857143</v>
      </c>
      <c r="X168" s="69">
        <f t="shared" si="21"/>
        <v>0.51587301587301593</v>
      </c>
      <c r="Y168" s="69">
        <f t="shared" si="21"/>
        <v>0.5803571428571429</v>
      </c>
      <c r="Z168" s="69">
        <f t="shared" si="21"/>
        <v>0.66326530612244894</v>
      </c>
      <c r="AA168" s="69">
        <f t="shared" si="21"/>
        <v>0.77380952380952384</v>
      </c>
      <c r="AB168" s="69">
        <f t="shared" si="21"/>
        <v>0.9285714285714286</v>
      </c>
      <c r="AC168" s="69">
        <f t="shared" si="21"/>
        <v>1.1607142857142858</v>
      </c>
      <c r="AD168" s="69">
        <f t="shared" si="21"/>
        <v>1.5476190476190477</v>
      </c>
      <c r="AE168" s="69">
        <f t="shared" si="21"/>
        <v>2.3214285714285716</v>
      </c>
      <c r="AF168" s="69">
        <f t="shared" si="21"/>
        <v>4.6428571428571432</v>
      </c>
    </row>
    <row r="169" spans="1:32" x14ac:dyDescent="0.3">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row>
    <row r="170" spans="1:32" x14ac:dyDescent="0.3">
      <c r="A170" s="1" t="s">
        <v>395</v>
      </c>
      <c r="B170" s="201">
        <f>C165/AVERAGE(0,B145)</f>
        <v>0.30952380952380953</v>
      </c>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row>
    <row r="171" spans="1:32" x14ac:dyDescent="0.3">
      <c r="A171" s="1" t="s">
        <v>1112</v>
      </c>
      <c r="B171" s="201">
        <f>AVERAGE(B168:AF168)</f>
        <v>0.598327565690842</v>
      </c>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row>
    <row r="173" spans="1:32" x14ac:dyDescent="0.3">
      <c r="A173" s="160" t="s">
        <v>881</v>
      </c>
    </row>
    <row r="174" spans="1:32" x14ac:dyDescent="0.3">
      <c r="A174" t="s">
        <v>487</v>
      </c>
      <c r="B174" s="37">
        <v>0.1</v>
      </c>
    </row>
    <row r="175" spans="1:32" x14ac:dyDescent="0.3">
      <c r="A175" s="130" t="s">
        <v>877</v>
      </c>
      <c r="B175" s="15">
        <f>SUMPRODUCT($B162:B162,POWER(1+$B174,-$B158:B158))</f>
        <v>-8400</v>
      </c>
      <c r="C175" s="15">
        <f>SUMPRODUCT($B162:C162,POWER(1+$B174,-$B158:C158))</f>
        <v>-6963.636363636364</v>
      </c>
      <c r="D175" s="15">
        <f>SUMPRODUCT($B162:D162,POWER(1+$B174,-$B158:D158))</f>
        <v>-5657.8512396694223</v>
      </c>
      <c r="E175" s="15">
        <f>SUMPRODUCT($B162:E162,POWER(1+$B174,-$B158:E158))</f>
        <v>-4470.7738542449297</v>
      </c>
      <c r="F175" s="15">
        <f>SUMPRODUCT($B162:F162,POWER(1+$B174,-$B158:F158))</f>
        <v>-3391.6125947681185</v>
      </c>
      <c r="G175" s="15">
        <f>SUMPRODUCT($B162:G162,POWER(1+$B174,-$B158:G158))</f>
        <v>-2410.5569043346536</v>
      </c>
      <c r="H175" s="15">
        <f>SUMPRODUCT($B162:H162,POWER(1+$B174,-$B158:H158))</f>
        <v>-1518.6880948496855</v>
      </c>
      <c r="I175" s="15">
        <f>SUMPRODUCT($B162:I162,POWER(1+$B174,-$B158:I158))</f>
        <v>-707.89826804516929</v>
      </c>
      <c r="J175" s="15">
        <f>SUMPRODUCT($B162:J162,POWER(1+$B174,-$B158:J158))</f>
        <v>29.183392686209118</v>
      </c>
      <c r="K175" s="15">
        <f>SUMPRODUCT($B162:K162,POWER(1+$B174,-$B158:K158))</f>
        <v>699.25762971473489</v>
      </c>
      <c r="L175" s="15">
        <f>SUMPRODUCT($B162:L162,POWER(1+$B174,-$B158:L158))</f>
        <v>1308.4160270133946</v>
      </c>
      <c r="M175" s="15">
        <f>SUMPRODUCT($B162:M162,POWER(1+$B174,-$B158:M158))</f>
        <v>1862.1963881939942</v>
      </c>
      <c r="N175" s="15">
        <f>SUMPRODUCT($B162:N162,POWER(1+$B174,-$B158:N158))</f>
        <v>2365.6330801763575</v>
      </c>
      <c r="O175" s="15">
        <f>SUMPRODUCT($B162:O162,POWER(1+$B174,-$B158:O158))</f>
        <v>2823.3028001603243</v>
      </c>
      <c r="P175" s="15">
        <f>SUMPRODUCT($B162:P162,POWER(1+$B174,-$B158:P158))</f>
        <v>3239.3661819639301</v>
      </c>
      <c r="Q175" s="15">
        <f>SUMPRODUCT($B162:Q162,POWER(1+$B174,-$B158:Q158))</f>
        <v>3617.6056199672084</v>
      </c>
      <c r="R175" s="15">
        <f>SUMPRODUCT($B162:R162,POWER(1+$B174,-$B158:R158))</f>
        <v>3961.4596545156433</v>
      </c>
      <c r="S175" s="15">
        <f>SUMPRODUCT($B162:S162,POWER(1+$B174,-$B158:S158))</f>
        <v>4274.0542313778569</v>
      </c>
      <c r="T175" s="15">
        <f>SUMPRODUCT($B162:T162,POWER(1+$B174,-$B158:T158))</f>
        <v>4558.2311194344147</v>
      </c>
      <c r="U175" s="15">
        <f>SUMPRODUCT($B162:U162,POWER(1+$B174,-$B158:U158))</f>
        <v>4816.5737449403759</v>
      </c>
      <c r="V175" s="15">
        <f>SUMPRODUCT($B162:V162,POWER(1+$B174,-$B158:V158))</f>
        <v>5051.4306772185228</v>
      </c>
      <c r="W175" s="15">
        <f>SUMPRODUCT($B162:W162,POWER(1+$B174,-$B158:W158))</f>
        <v>5264.936979289565</v>
      </c>
      <c r="X175" s="15">
        <f>SUMPRODUCT($B162:X162,POWER(1+$B174,-$B158:X158))</f>
        <v>5459.0336175359671</v>
      </c>
      <c r="Y175" s="15">
        <f>SUMPRODUCT($B162:Y162,POWER(1+$B174,-$B158:Y158))</f>
        <v>5635.4851068508779</v>
      </c>
      <c r="Z175" s="15">
        <f>SUMPRODUCT($B162:Z162,POWER(1+$B174,-$B158:Z158))</f>
        <v>5795.8955516826154</v>
      </c>
      <c r="AA175" s="15">
        <f>SUMPRODUCT($B162:AA162,POWER(1+$B174,-$B158:AA158))</f>
        <v>5941.723228802377</v>
      </c>
      <c r="AB175" s="15">
        <f>SUMPRODUCT($B162:AB162,POWER(1+$B174,-$B158:AB158))</f>
        <v>6074.2938443657958</v>
      </c>
      <c r="AC175" s="15">
        <f>SUMPRODUCT($B162:AC162,POWER(1+$B174,-$B158:AC158))</f>
        <v>6194.8125857870864</v>
      </c>
      <c r="AD175" s="15">
        <f>SUMPRODUCT($B162:AD162,POWER(1+$B174,-$B158:AD158))</f>
        <v>6304.3750779882594</v>
      </c>
      <c r="AE175" s="15">
        <f>SUMPRODUCT($B162:AE162,POWER(1+$B174,-$B158:AE158))</f>
        <v>6403.9773436256892</v>
      </c>
      <c r="AF175" s="15">
        <f>SUMPRODUCT($B162:AF162,POWER(1+$B174,-$B158:AF158))</f>
        <v>6494.5248578415349</v>
      </c>
    </row>
    <row r="176" spans="1:32" x14ac:dyDescent="0.3">
      <c r="B176" s="15"/>
    </row>
    <row r="189" spans="1:2" x14ac:dyDescent="0.3">
      <c r="A189" s="1" t="s">
        <v>878</v>
      </c>
      <c r="B189" s="149">
        <f>K158-K175/(L175-K175)</f>
        <v>7.8520922754810174</v>
      </c>
    </row>
    <row r="190" spans="1:2" x14ac:dyDescent="0.3">
      <c r="A190" s="1" t="s">
        <v>879</v>
      </c>
      <c r="B190" s="40">
        <f>AF175</f>
        <v>6494.5248578415349</v>
      </c>
    </row>
    <row r="192" spans="1:2" x14ac:dyDescent="0.3">
      <c r="A192" s="161" t="s">
        <v>882</v>
      </c>
    </row>
    <row r="193" spans="1:3" x14ac:dyDescent="0.3">
      <c r="A193" s="1" t="s">
        <v>830</v>
      </c>
      <c r="B193" s="147">
        <v>0.16024075736114751</v>
      </c>
    </row>
    <row r="194" spans="1:3" x14ac:dyDescent="0.3">
      <c r="A194" s="174" t="s">
        <v>519</v>
      </c>
      <c r="B194" s="40">
        <f>SUMPRODUCT(B162:AF162,POWER(1+B193,-B158:AF158))</f>
        <v>1346.0223709964146</v>
      </c>
    </row>
    <row r="195" spans="1:3" x14ac:dyDescent="0.3">
      <c r="A195" s="173"/>
      <c r="B195" s="32"/>
    </row>
    <row r="196" spans="1:3" x14ac:dyDescent="0.3">
      <c r="A196" s="12" t="s">
        <v>492</v>
      </c>
    </row>
    <row r="197" spans="1:3" x14ac:dyDescent="0.3">
      <c r="A197" s="3" t="s">
        <v>888</v>
      </c>
      <c r="B197" s="15">
        <v>8000</v>
      </c>
    </row>
    <row r="198" spans="1:3" x14ac:dyDescent="0.3">
      <c r="A198" s="3" t="s">
        <v>1209</v>
      </c>
      <c r="B198">
        <v>7</v>
      </c>
    </row>
    <row r="199" spans="1:3" x14ac:dyDescent="0.3">
      <c r="A199" s="3" t="s">
        <v>889</v>
      </c>
      <c r="B199">
        <v>8</v>
      </c>
    </row>
    <row r="200" spans="1:3" x14ac:dyDescent="0.3">
      <c r="A200" s="3" t="s">
        <v>396</v>
      </c>
      <c r="B200" s="15">
        <f>(B197*B198/B199)-B222</f>
        <v>2000</v>
      </c>
    </row>
    <row r="201" spans="1:3" x14ac:dyDescent="0.3">
      <c r="A201" s="3" t="s">
        <v>887</v>
      </c>
      <c r="B201" s="37">
        <v>0.4</v>
      </c>
    </row>
    <row r="202" spans="1:3" x14ac:dyDescent="0.3">
      <c r="A202" s="3" t="s">
        <v>890</v>
      </c>
      <c r="B202" s="15">
        <f>B200*B201</f>
        <v>800</v>
      </c>
    </row>
    <row r="203" spans="1:3" x14ac:dyDescent="0.3">
      <c r="A203" s="3"/>
    </row>
    <row r="204" spans="1:3" ht="27" x14ac:dyDescent="0.3">
      <c r="A204" s="3" t="s">
        <v>891</v>
      </c>
      <c r="B204" s="15">
        <v>10500</v>
      </c>
    </row>
    <row r="205" spans="1:3" x14ac:dyDescent="0.3">
      <c r="A205" s="3" t="s">
        <v>482</v>
      </c>
      <c r="B205">
        <v>7</v>
      </c>
    </row>
    <row r="206" spans="1:3" x14ac:dyDescent="0.3">
      <c r="A206" s="3" t="s">
        <v>900</v>
      </c>
      <c r="B206" s="15">
        <v>500</v>
      </c>
    </row>
    <row r="207" spans="1:3" x14ac:dyDescent="0.3">
      <c r="A207" s="3"/>
    </row>
    <row r="208" spans="1:3" x14ac:dyDescent="0.3">
      <c r="A208" s="3" t="s">
        <v>892</v>
      </c>
      <c r="B208" s="65">
        <v>100000</v>
      </c>
      <c r="C208" t="s">
        <v>918</v>
      </c>
    </row>
    <row r="209" spans="1:10" x14ac:dyDescent="0.3">
      <c r="A209" s="3" t="s">
        <v>894</v>
      </c>
      <c r="B209" s="15">
        <f>SUM(B210:B212)</f>
        <v>0.38</v>
      </c>
    </row>
    <row r="210" spans="1:10" x14ac:dyDescent="0.3">
      <c r="A210" s="6" t="s">
        <v>895</v>
      </c>
      <c r="B210" s="16">
        <v>0.14000000000000001</v>
      </c>
    </row>
    <row r="211" spans="1:10" x14ac:dyDescent="0.3">
      <c r="A211" s="6" t="s">
        <v>896</v>
      </c>
      <c r="B211" s="16">
        <v>0.1</v>
      </c>
    </row>
    <row r="212" spans="1:10" x14ac:dyDescent="0.3">
      <c r="A212" s="6" t="s">
        <v>897</v>
      </c>
      <c r="B212" s="16">
        <v>0.14000000000000001</v>
      </c>
    </row>
    <row r="213" spans="1:10" x14ac:dyDescent="0.3">
      <c r="A213" s="3" t="s">
        <v>893</v>
      </c>
      <c r="B213" s="15">
        <f>SUM(B214:B216)</f>
        <v>0.35</v>
      </c>
    </row>
    <row r="214" spans="1:10" x14ac:dyDescent="0.3">
      <c r="A214" s="6" t="s">
        <v>895</v>
      </c>
      <c r="B214" s="16">
        <v>0.12</v>
      </c>
    </row>
    <row r="215" spans="1:10" x14ac:dyDescent="0.3">
      <c r="A215" s="6" t="s">
        <v>896</v>
      </c>
      <c r="B215" s="16">
        <v>0.09</v>
      </c>
    </row>
    <row r="216" spans="1:10" x14ac:dyDescent="0.3">
      <c r="A216" s="6" t="s">
        <v>897</v>
      </c>
      <c r="B216" s="16">
        <f>B212</f>
        <v>0.14000000000000001</v>
      </c>
    </row>
    <row r="218" spans="1:10" x14ac:dyDescent="0.3">
      <c r="A218" s="160" t="s">
        <v>885</v>
      </c>
    </row>
    <row r="219" spans="1:10" x14ac:dyDescent="0.3">
      <c r="A219" s="181" t="s">
        <v>916</v>
      </c>
      <c r="B219" s="15"/>
      <c r="C219" s="40">
        <f t="shared" ref="C219:I219" si="22">$B204/$B205-$B197/$B199</f>
        <v>500</v>
      </c>
      <c r="D219" s="15">
        <f t="shared" si="22"/>
        <v>500</v>
      </c>
      <c r="E219" s="15">
        <f t="shared" si="22"/>
        <v>500</v>
      </c>
      <c r="F219" s="15">
        <f t="shared" si="22"/>
        <v>500</v>
      </c>
      <c r="G219" s="15">
        <f t="shared" si="22"/>
        <v>500</v>
      </c>
      <c r="H219" s="15">
        <f t="shared" si="22"/>
        <v>500</v>
      </c>
      <c r="I219" s="15">
        <f t="shared" si="22"/>
        <v>500</v>
      </c>
      <c r="J219" s="15"/>
    </row>
    <row r="220" spans="1:10" x14ac:dyDescent="0.3">
      <c r="A220" s="182"/>
      <c r="B220" s="54"/>
      <c r="C220" s="15"/>
      <c r="D220" s="15"/>
      <c r="E220" s="15"/>
      <c r="F220" s="15"/>
      <c r="G220" s="15"/>
      <c r="H220" s="15"/>
      <c r="I220" s="15"/>
      <c r="J220" s="15"/>
    </row>
    <row r="221" spans="1:10" x14ac:dyDescent="0.3">
      <c r="A221" s="44" t="s">
        <v>863</v>
      </c>
      <c r="B221" s="127">
        <v>0</v>
      </c>
      <c r="C221" s="127">
        <v>1</v>
      </c>
      <c r="D221" s="127">
        <f t="shared" ref="D221:I221" si="23">C221+1</f>
        <v>2</v>
      </c>
      <c r="E221" s="127">
        <f t="shared" si="23"/>
        <v>3</v>
      </c>
      <c r="F221" s="127">
        <f t="shared" si="23"/>
        <v>4</v>
      </c>
      <c r="G221" s="127">
        <f t="shared" si="23"/>
        <v>5</v>
      </c>
      <c r="H221" s="127">
        <f t="shared" si="23"/>
        <v>6</v>
      </c>
      <c r="I221" s="127">
        <f t="shared" si="23"/>
        <v>7</v>
      </c>
      <c r="J221" s="127">
        <v>8</v>
      </c>
    </row>
    <row r="222" spans="1:10" x14ac:dyDescent="0.3">
      <c r="A222" s="181" t="s">
        <v>886</v>
      </c>
      <c r="B222" s="15">
        <v>5000</v>
      </c>
      <c r="D222" s="15"/>
      <c r="E222" s="15"/>
      <c r="F222" s="15"/>
      <c r="G222" s="15"/>
      <c r="H222" s="15"/>
      <c r="I222" s="15"/>
    </row>
    <row r="223" spans="1:10" x14ac:dyDescent="0.3">
      <c r="A223" s="181" t="s">
        <v>831</v>
      </c>
      <c r="B223" s="15">
        <v>-11000</v>
      </c>
      <c r="D223" s="15"/>
      <c r="E223" s="15"/>
      <c r="F223" s="15"/>
      <c r="G223" s="15"/>
      <c r="H223" s="15"/>
      <c r="I223" s="15" t="s">
        <v>458</v>
      </c>
      <c r="J223" s="15">
        <f>B206</f>
        <v>500</v>
      </c>
    </row>
    <row r="224" spans="1:10" x14ac:dyDescent="0.3">
      <c r="A224" s="181" t="s">
        <v>901</v>
      </c>
      <c r="B224" s="15"/>
      <c r="C224" s="15">
        <f t="shared" ref="C224:I224" si="24">(SUM($B210:$B212)-SUM($B214:$B216))*$B208</f>
        <v>3000.0000000000027</v>
      </c>
      <c r="D224" s="15">
        <f t="shared" si="24"/>
        <v>3000.0000000000027</v>
      </c>
      <c r="E224" s="15">
        <f t="shared" si="24"/>
        <v>3000.0000000000027</v>
      </c>
      <c r="F224" s="15">
        <f t="shared" si="24"/>
        <v>3000.0000000000027</v>
      </c>
      <c r="G224" s="15">
        <f t="shared" si="24"/>
        <v>3000.0000000000027</v>
      </c>
      <c r="H224" s="15">
        <f t="shared" si="24"/>
        <v>3000.0000000000027</v>
      </c>
      <c r="I224" s="15">
        <f t="shared" si="24"/>
        <v>3000.0000000000027</v>
      </c>
    </row>
    <row r="225" spans="1:10" x14ac:dyDescent="0.3">
      <c r="A225" s="181" t="s">
        <v>899</v>
      </c>
      <c r="B225" s="15"/>
      <c r="C225" s="15">
        <f t="shared" ref="C225:I225" si="25">-(C224-C219)*$B201</f>
        <v>-1000.0000000000011</v>
      </c>
      <c r="D225" s="15">
        <f t="shared" si="25"/>
        <v>-1000.0000000000011</v>
      </c>
      <c r="E225" s="15">
        <f t="shared" si="25"/>
        <v>-1000.0000000000011</v>
      </c>
      <c r="F225" s="15">
        <f t="shared" si="25"/>
        <v>-1000.0000000000011</v>
      </c>
      <c r="G225" s="15">
        <f t="shared" si="25"/>
        <v>-1000.0000000000011</v>
      </c>
      <c r="H225" s="15">
        <f t="shared" si="25"/>
        <v>-1000.0000000000011</v>
      </c>
      <c r="I225" s="15">
        <f t="shared" si="25"/>
        <v>-1000.0000000000011</v>
      </c>
    </row>
    <row r="226" spans="1:10" x14ac:dyDescent="0.3">
      <c r="A226" s="180" t="s">
        <v>890</v>
      </c>
      <c r="B226" s="30">
        <f>B202</f>
        <v>800</v>
      </c>
      <c r="C226" s="25"/>
      <c r="D226" s="30"/>
      <c r="E226" s="30"/>
      <c r="F226" s="30"/>
      <c r="G226" s="30"/>
      <c r="H226" s="30"/>
      <c r="I226" s="30"/>
      <c r="J226" s="25"/>
    </row>
    <row r="227" spans="1:10" x14ac:dyDescent="0.3">
      <c r="A227" s="181" t="s">
        <v>518</v>
      </c>
      <c r="B227" s="15">
        <f>SUM(B222:B226)</f>
        <v>-5200</v>
      </c>
      <c r="C227" s="15">
        <f>SUM(C222:C226)</f>
        <v>2000.0000000000016</v>
      </c>
      <c r="D227" s="15">
        <f t="shared" ref="D227:J227" si="26">SUM(D222:D226)</f>
        <v>2000.0000000000016</v>
      </c>
      <c r="E227" s="15">
        <f t="shared" si="26"/>
        <v>2000.0000000000016</v>
      </c>
      <c r="F227" s="15">
        <f t="shared" si="26"/>
        <v>2000.0000000000016</v>
      </c>
      <c r="G227" s="15">
        <f t="shared" si="26"/>
        <v>2000.0000000000016</v>
      </c>
      <c r="H227" s="15">
        <f t="shared" si="26"/>
        <v>2000.0000000000016</v>
      </c>
      <c r="I227" s="15">
        <f t="shared" si="26"/>
        <v>2000.0000000000016</v>
      </c>
      <c r="J227" s="15">
        <f t="shared" si="26"/>
        <v>500</v>
      </c>
    </row>
    <row r="228" spans="1:10" x14ac:dyDescent="0.3">
      <c r="A228" s="182"/>
      <c r="B228" s="5"/>
      <c r="C228" s="5"/>
      <c r="D228" s="5"/>
      <c r="E228" s="5"/>
      <c r="F228" s="5"/>
      <c r="G228" s="5"/>
      <c r="H228" s="5"/>
      <c r="I228" s="5"/>
    </row>
    <row r="229" spans="1:10" x14ac:dyDescent="0.3">
      <c r="A229" s="3" t="s">
        <v>514</v>
      </c>
      <c r="B229" s="37">
        <v>0.1</v>
      </c>
    </row>
    <row r="230" spans="1:10" x14ac:dyDescent="0.3">
      <c r="A230" s="3" t="s">
        <v>519</v>
      </c>
      <c r="B230" s="15">
        <f>NPV(B229,C227:J227)</f>
        <v>9970.0913254907355</v>
      </c>
    </row>
    <row r="231" spans="1:10" x14ac:dyDescent="0.3">
      <c r="A231" s="3"/>
      <c r="B231" s="15"/>
    </row>
    <row r="232" spans="1:10" x14ac:dyDescent="0.3">
      <c r="A232" s="129" t="s">
        <v>641</v>
      </c>
      <c r="B232" s="30">
        <f>B227</f>
        <v>-5200</v>
      </c>
      <c r="C232" s="223">
        <f>C227/(1+$B$229)^C221</f>
        <v>1818.1818181818194</v>
      </c>
      <c r="D232" s="223">
        <f t="shared" ref="D232:J232" si="27">D227/(1+$B$229)^D221</f>
        <v>1652.8925619834722</v>
      </c>
      <c r="E232" s="223">
        <f t="shared" si="27"/>
        <v>1502.6296018031562</v>
      </c>
      <c r="F232" s="223">
        <f t="shared" si="27"/>
        <v>1366.0269107301422</v>
      </c>
      <c r="G232" s="223">
        <f t="shared" si="27"/>
        <v>1241.842646118311</v>
      </c>
      <c r="H232" s="223">
        <f t="shared" si="27"/>
        <v>1128.9478601075552</v>
      </c>
      <c r="I232" s="223">
        <f t="shared" si="27"/>
        <v>1026.3162364614136</v>
      </c>
      <c r="J232" s="223">
        <f t="shared" si="27"/>
        <v>233.25369010486659</v>
      </c>
    </row>
    <row r="233" spans="1:10" x14ac:dyDescent="0.3">
      <c r="A233" s="181" t="s">
        <v>877</v>
      </c>
      <c r="B233" s="15">
        <f>B232</f>
        <v>-5200</v>
      </c>
      <c r="C233" s="15">
        <f>SUMPRODUCT($B227:C227,POWER(1+$B229,-$B221:C221))</f>
        <v>-3381.8181818181802</v>
      </c>
      <c r="D233" s="15">
        <f>SUMPRODUCT($B227:D227,POWER(1+$B229,-$B221:D221))</f>
        <v>-1728.925619834708</v>
      </c>
      <c r="E233" s="15">
        <f>SUMPRODUCT($B227:E227,POWER(1+$B229,-$B221:E221))</f>
        <v>-226.29601803155174</v>
      </c>
      <c r="F233" s="15">
        <f>SUMPRODUCT($B227:F227,POWER(1+$B229,-$B221:F221))</f>
        <v>1139.7308926985904</v>
      </c>
      <c r="G233" s="15">
        <f>SUMPRODUCT($B227:G227,POWER(1+$B229,-$B221:G221))</f>
        <v>2381.5735388169014</v>
      </c>
      <c r="H233" s="15">
        <f>SUMPRODUCT($B227:H227,POWER(1+$B229,-$B221:H221))</f>
        <v>3510.5213989244567</v>
      </c>
      <c r="I233" s="15">
        <f>SUMPRODUCT($B227:I227,POWER(1+$B229,-$B221:I221))</f>
        <v>4536.8376353858703</v>
      </c>
    </row>
    <row r="248" spans="1:3" x14ac:dyDescent="0.3">
      <c r="A248" s="1" t="s">
        <v>878</v>
      </c>
      <c r="B248" s="179">
        <f>C221-C233/(D233-C233)</f>
        <v>3.0459999999999976</v>
      </c>
      <c r="C248" t="s">
        <v>638</v>
      </c>
    </row>
    <row r="249" spans="1:3" x14ac:dyDescent="0.3">
      <c r="A249" s="1"/>
      <c r="B249" s="179"/>
    </row>
    <row r="251" spans="1:3" x14ac:dyDescent="0.3">
      <c r="A251" s="33" t="s">
        <v>497</v>
      </c>
    </row>
    <row r="253" spans="1:3" x14ac:dyDescent="0.3">
      <c r="A253" t="s">
        <v>1100</v>
      </c>
      <c r="B253">
        <v>500</v>
      </c>
    </row>
    <row r="254" spans="1:3" x14ac:dyDescent="0.3">
      <c r="A254" t="s">
        <v>1385</v>
      </c>
      <c r="B254">
        <v>433</v>
      </c>
    </row>
    <row r="255" spans="1:3" x14ac:dyDescent="0.3">
      <c r="A255" t="s">
        <v>1143</v>
      </c>
      <c r="B255">
        <v>500</v>
      </c>
    </row>
    <row r="256" spans="1:3" x14ac:dyDescent="0.3">
      <c r="A256" t="s">
        <v>1144</v>
      </c>
      <c r="B256" s="37">
        <v>0.4</v>
      </c>
    </row>
    <row r="258" spans="1:8" x14ac:dyDescent="0.3">
      <c r="A258" s="1" t="s">
        <v>1145</v>
      </c>
    </row>
    <row r="259" spans="1:8" x14ac:dyDescent="0.3">
      <c r="A259" t="s">
        <v>1146</v>
      </c>
      <c r="B259">
        <v>5</v>
      </c>
    </row>
    <row r="261" spans="1:8" x14ac:dyDescent="0.3">
      <c r="A261" s="1" t="s">
        <v>1147</v>
      </c>
      <c r="B261" s="1">
        <v>0</v>
      </c>
      <c r="C261" s="1">
        <v>1</v>
      </c>
      <c r="D261" s="1">
        <f>C261+1</f>
        <v>2</v>
      </c>
      <c r="E261" s="1">
        <f>D261+1</f>
        <v>3</v>
      </c>
      <c r="F261" s="1">
        <f>E261+1</f>
        <v>4</v>
      </c>
      <c r="G261" s="1">
        <f>F261+1</f>
        <v>5</v>
      </c>
    </row>
    <row r="262" spans="1:8" x14ac:dyDescent="0.3">
      <c r="A262" t="s">
        <v>1100</v>
      </c>
      <c r="B262">
        <f>-B253</f>
        <v>-500</v>
      </c>
    </row>
    <row r="263" spans="1:8" x14ac:dyDescent="0.3">
      <c r="A263" t="s">
        <v>1143</v>
      </c>
      <c r="B263">
        <f>-B255</f>
        <v>-500</v>
      </c>
      <c r="G263">
        <f>+B255</f>
        <v>500</v>
      </c>
    </row>
    <row r="264" spans="1:8" x14ac:dyDescent="0.3">
      <c r="A264" t="s">
        <v>105</v>
      </c>
      <c r="B264">
        <v>0</v>
      </c>
      <c r="C264">
        <f>$B254</f>
        <v>433</v>
      </c>
      <c r="D264">
        <f>$B254</f>
        <v>433</v>
      </c>
      <c r="E264">
        <f>$B254</f>
        <v>433</v>
      </c>
      <c r="F264">
        <f>$B254</f>
        <v>433</v>
      </c>
      <c r="G264">
        <f>$B254</f>
        <v>433</v>
      </c>
    </row>
    <row r="265" spans="1:8" x14ac:dyDescent="0.3">
      <c r="A265" t="s">
        <v>1148</v>
      </c>
      <c r="B265">
        <v>0</v>
      </c>
      <c r="C265">
        <f>$B253/$B259</f>
        <v>100</v>
      </c>
      <c r="D265">
        <f>$B253/$B259</f>
        <v>100</v>
      </c>
      <c r="E265">
        <f>$B253/$B259</f>
        <v>100</v>
      </c>
      <c r="F265">
        <f>$B253/$B259</f>
        <v>100</v>
      </c>
      <c r="G265">
        <f>$B253/$B259</f>
        <v>100</v>
      </c>
    </row>
    <row r="266" spans="1:8" x14ac:dyDescent="0.3">
      <c r="A266" t="s">
        <v>1184</v>
      </c>
      <c r="B266">
        <v>0</v>
      </c>
      <c r="C266">
        <f>C264-C265</f>
        <v>333</v>
      </c>
      <c r="D266">
        <f>D264-D265</f>
        <v>333</v>
      </c>
      <c r="E266">
        <f>E264-E265</f>
        <v>333</v>
      </c>
      <c r="F266">
        <f>F264-F265</f>
        <v>333</v>
      </c>
      <c r="G266">
        <f>G264-G265</f>
        <v>333</v>
      </c>
    </row>
    <row r="267" spans="1:8" x14ac:dyDescent="0.3">
      <c r="A267" t="s">
        <v>761</v>
      </c>
      <c r="B267">
        <v>0</v>
      </c>
      <c r="C267" s="107">
        <f>C266*$B256</f>
        <v>133.20000000000002</v>
      </c>
      <c r="D267" s="107">
        <f>D266*$B256</f>
        <v>133.20000000000002</v>
      </c>
      <c r="E267" s="107">
        <f>E266*$B256</f>
        <v>133.20000000000002</v>
      </c>
      <c r="F267" s="107">
        <f>F266*$B256</f>
        <v>133.20000000000002</v>
      </c>
      <c r="G267" s="107">
        <f>G266*$B256</f>
        <v>133.20000000000002</v>
      </c>
    </row>
    <row r="268" spans="1:8" x14ac:dyDescent="0.3">
      <c r="A268" t="s">
        <v>1149</v>
      </c>
      <c r="B268">
        <f t="shared" ref="B268:G268" si="28">B262+B263+B264-B267</f>
        <v>-1000</v>
      </c>
      <c r="C268" s="107">
        <f t="shared" si="28"/>
        <v>299.79999999999995</v>
      </c>
      <c r="D268" s="107">
        <f t="shared" si="28"/>
        <v>299.79999999999995</v>
      </c>
      <c r="E268" s="107">
        <f t="shared" si="28"/>
        <v>299.79999999999995</v>
      </c>
      <c r="F268" s="107">
        <f t="shared" si="28"/>
        <v>299.79999999999995</v>
      </c>
      <c r="G268" s="107">
        <f t="shared" si="28"/>
        <v>799.8</v>
      </c>
    </row>
    <row r="270" spans="1:8" x14ac:dyDescent="0.3">
      <c r="A270" s="1" t="s">
        <v>830</v>
      </c>
      <c r="B270" s="86">
        <f>IRR(B268:G268)</f>
        <v>0.23735421365815323</v>
      </c>
    </row>
    <row r="271" spans="1:8" x14ac:dyDescent="0.3">
      <c r="A271" t="s">
        <v>1579</v>
      </c>
      <c r="B271">
        <f>-B262-$B$263</f>
        <v>1000</v>
      </c>
      <c r="C271">
        <f>B271-C265</f>
        <v>900</v>
      </c>
      <c r="D271">
        <f>C271-D265</f>
        <v>800</v>
      </c>
      <c r="E271">
        <f>D271-E265</f>
        <v>700</v>
      </c>
      <c r="F271">
        <f>E271-F265</f>
        <v>600</v>
      </c>
      <c r="G271">
        <f>F271-G265</f>
        <v>500</v>
      </c>
    </row>
    <row r="272" spans="1:8" x14ac:dyDescent="0.3">
      <c r="A272" t="s">
        <v>1580</v>
      </c>
      <c r="C272" s="17">
        <f>(C266-C267)/((B271+C271)/2)</f>
        <v>0.21031578947368421</v>
      </c>
      <c r="D272" s="17">
        <f>(D266-D267)/((C271+D271)/2)</f>
        <v>0.23505882352941174</v>
      </c>
      <c r="E272" s="17">
        <f>(E266-E267)/((D271+E271)/2)</f>
        <v>0.26639999999999997</v>
      </c>
      <c r="F272" s="17">
        <f>(F266-F267)/((E271+F271)/2)</f>
        <v>0.30738461538461537</v>
      </c>
      <c r="G272" s="17">
        <f>(G266-G267)/((F271+G271)/2)</f>
        <v>0.36327272727272725</v>
      </c>
      <c r="H272" s="412">
        <f>AVERAGE(C272:G272)</f>
        <v>0.27648639113208773</v>
      </c>
    </row>
    <row r="274" spans="1:8" x14ac:dyDescent="0.3">
      <c r="A274" s="1" t="s">
        <v>1145</v>
      </c>
    </row>
    <row r="275" spans="1:8" x14ac:dyDescent="0.3">
      <c r="A275" t="s">
        <v>1150</v>
      </c>
      <c r="B275">
        <v>5</v>
      </c>
    </row>
    <row r="277" spans="1:8" x14ac:dyDescent="0.3">
      <c r="A277" s="1" t="s">
        <v>1147</v>
      </c>
      <c r="B277" s="1">
        <v>0</v>
      </c>
      <c r="C277" s="1">
        <v>1</v>
      </c>
      <c r="D277" s="1">
        <f>C277+1</f>
        <v>2</v>
      </c>
      <c r="E277" s="1">
        <f>D277+1</f>
        <v>3</v>
      </c>
      <c r="F277" s="1">
        <f>E277+1</f>
        <v>4</v>
      </c>
      <c r="G277" s="1">
        <f>F277+1</f>
        <v>5</v>
      </c>
    </row>
    <row r="278" spans="1:8" x14ac:dyDescent="0.3">
      <c r="A278" t="s">
        <v>1100</v>
      </c>
      <c r="B278">
        <f>-B253</f>
        <v>-500</v>
      </c>
    </row>
    <row r="279" spans="1:8" x14ac:dyDescent="0.3">
      <c r="A279" t="s">
        <v>1143</v>
      </c>
      <c r="B279">
        <f>-B255</f>
        <v>-500</v>
      </c>
      <c r="G279">
        <f>B255</f>
        <v>500</v>
      </c>
    </row>
    <row r="280" spans="1:8" x14ac:dyDescent="0.3">
      <c r="A280" t="s">
        <v>105</v>
      </c>
      <c r="B280">
        <v>0</v>
      </c>
      <c r="C280">
        <f>$B254</f>
        <v>433</v>
      </c>
      <c r="D280">
        <f>$B254</f>
        <v>433</v>
      </c>
      <c r="E280">
        <f>$B254</f>
        <v>433</v>
      </c>
      <c r="F280">
        <f>$B254</f>
        <v>433</v>
      </c>
      <c r="G280">
        <f>$B254</f>
        <v>433</v>
      </c>
    </row>
    <row r="281" spans="1:8" x14ac:dyDescent="0.3">
      <c r="A281" t="s">
        <v>1148</v>
      </c>
      <c r="B281">
        <v>0</v>
      </c>
      <c r="C281">
        <f>B253*0.4</f>
        <v>200</v>
      </c>
      <c r="D281">
        <f>B253*0.3</f>
        <v>150</v>
      </c>
      <c r="E281">
        <f>B253*0.2</f>
        <v>100</v>
      </c>
      <c r="F281">
        <f>B253*0.05</f>
        <v>25</v>
      </c>
      <c r="G281">
        <f>B253*0.05</f>
        <v>25</v>
      </c>
    </row>
    <row r="282" spans="1:8" x14ac:dyDescent="0.3">
      <c r="A282" t="s">
        <v>1184</v>
      </c>
      <c r="B282">
        <v>0</v>
      </c>
      <c r="C282">
        <f>C280-C281</f>
        <v>233</v>
      </c>
      <c r="D282">
        <f>D280-D281</f>
        <v>283</v>
      </c>
      <c r="E282">
        <f>E280-E281</f>
        <v>333</v>
      </c>
      <c r="F282">
        <f>F280-F281</f>
        <v>408</v>
      </c>
      <c r="G282">
        <f>G280-G281</f>
        <v>408</v>
      </c>
    </row>
    <row r="283" spans="1:8" x14ac:dyDescent="0.3">
      <c r="A283" t="s">
        <v>761</v>
      </c>
      <c r="B283">
        <v>0</v>
      </c>
      <c r="C283" s="107">
        <f>C282*$B256</f>
        <v>93.2</v>
      </c>
      <c r="D283" s="107">
        <f>D282*$B256</f>
        <v>113.2</v>
      </c>
      <c r="E283" s="107">
        <f>E282*$B256</f>
        <v>133.20000000000002</v>
      </c>
      <c r="F283" s="107">
        <f>F282*$B256</f>
        <v>163.20000000000002</v>
      </c>
      <c r="G283" s="107">
        <f>G282*$B256</f>
        <v>163.20000000000002</v>
      </c>
    </row>
    <row r="284" spans="1:8" x14ac:dyDescent="0.3">
      <c r="A284" t="s">
        <v>1149</v>
      </c>
      <c r="B284">
        <f t="shared" ref="B284:G284" si="29">B278+B279+B280-B283</f>
        <v>-1000</v>
      </c>
      <c r="C284" s="107">
        <f t="shared" si="29"/>
        <v>339.8</v>
      </c>
      <c r="D284" s="107">
        <f t="shared" si="29"/>
        <v>319.8</v>
      </c>
      <c r="E284" s="107">
        <f t="shared" si="29"/>
        <v>299.79999999999995</v>
      </c>
      <c r="F284" s="107">
        <f t="shared" si="29"/>
        <v>269.79999999999995</v>
      </c>
      <c r="G284" s="107">
        <f t="shared" si="29"/>
        <v>769.8</v>
      </c>
    </row>
    <row r="285" spans="1:8" x14ac:dyDescent="0.3">
      <c r="A285" t="s">
        <v>247</v>
      </c>
      <c r="C285" s="107"/>
      <c r="D285" s="107"/>
      <c r="E285" s="107"/>
      <c r="F285" s="107"/>
      <c r="G285" s="107"/>
    </row>
    <row r="286" spans="1:8" x14ac:dyDescent="0.3">
      <c r="A286" s="1" t="s">
        <v>830</v>
      </c>
      <c r="B286" s="86">
        <f>IRR(B284:G284)</f>
        <v>0.24684121946490123</v>
      </c>
    </row>
    <row r="287" spans="1:8" x14ac:dyDescent="0.3">
      <c r="A287" t="s">
        <v>1579</v>
      </c>
      <c r="B287">
        <f>-B278-$B$263</f>
        <v>1000</v>
      </c>
      <c r="C287">
        <f>B287-C281</f>
        <v>800</v>
      </c>
      <c r="D287">
        <f>C287-D281</f>
        <v>650</v>
      </c>
      <c r="E287">
        <f>D287-E281</f>
        <v>550</v>
      </c>
      <c r="F287">
        <f>E287-F281</f>
        <v>525</v>
      </c>
      <c r="G287">
        <f>F287-G281</f>
        <v>500</v>
      </c>
    </row>
    <row r="288" spans="1:8" x14ac:dyDescent="0.3">
      <c r="A288" t="s">
        <v>1580</v>
      </c>
      <c r="C288" s="17">
        <f>(C282-C283)/((B287+C287)/2)</f>
        <v>0.15533333333333335</v>
      </c>
      <c r="D288" s="17">
        <f>(D282-D283)/((C287+D287)/2)</f>
        <v>0.23420689655172416</v>
      </c>
      <c r="E288" s="17">
        <f>(E282-E283)/((D287+E287)/2)</f>
        <v>0.33299999999999996</v>
      </c>
      <c r="F288" s="17">
        <f>(F282-F283)/((E287+F287)/2)</f>
        <v>0.45544186046511625</v>
      </c>
      <c r="G288" s="17">
        <f>(G282-G283)/((F287+G287)/2)</f>
        <v>0.47765853658536583</v>
      </c>
      <c r="H288" s="412">
        <f>AVERAGE(C288:G288)</f>
        <v>0.3311281253871079</v>
      </c>
    </row>
    <row r="289" spans="1:1" x14ac:dyDescent="0.3">
      <c r="A289" t="s">
        <v>1151</v>
      </c>
    </row>
    <row r="334" spans="1:1" x14ac:dyDescent="0.3">
      <c r="A334" s="1"/>
    </row>
    <row r="341" spans="1:3" x14ac:dyDescent="0.3">
      <c r="C341" s="37"/>
    </row>
    <row r="342" spans="1:3" x14ac:dyDescent="0.3">
      <c r="A342" s="298"/>
      <c r="C342" s="37"/>
    </row>
    <row r="343" spans="1:3" x14ac:dyDescent="0.3">
      <c r="A343" s="298"/>
    </row>
    <row r="346" spans="1:3" x14ac:dyDescent="0.3">
      <c r="B346" s="220"/>
    </row>
    <row r="349" spans="1:3" x14ac:dyDescent="0.3">
      <c r="B349" s="107"/>
    </row>
    <row r="350" spans="1:3" x14ac:dyDescent="0.3">
      <c r="B350" s="107"/>
    </row>
    <row r="351" spans="1:3" x14ac:dyDescent="0.3">
      <c r="B351" s="107"/>
    </row>
  </sheetData>
  <phoneticPr fontId="4" type="noConversion"/>
  <pageMargins left="0.78740157480314965" right="0.78740157480314965" top="0.98425196850393704" bottom="0.98425196850393704" header="0.51181102362204722" footer="0.51181102362204722"/>
  <pageSetup paperSize="9" scale="90" fitToHeight="10"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IV94"/>
  <sheetViews>
    <sheetView showGridLines="0" workbookViewId="0"/>
  </sheetViews>
  <sheetFormatPr baseColWidth="10" defaultRowHeight="13.5" x14ac:dyDescent="0.3"/>
  <cols>
    <col min="1" max="1" width="15.61328125" customWidth="1"/>
    <col min="2" max="2" width="13.15234375" bestFit="1" customWidth="1"/>
    <col min="3" max="3" width="17.15234375" customWidth="1"/>
  </cols>
  <sheetData>
    <row r="1" spans="1:256" x14ac:dyDescent="0.3">
      <c r="A1" s="12" t="s">
        <v>1418</v>
      </c>
    </row>
    <row r="2" spans="1:256" ht="27" x14ac:dyDescent="0.3">
      <c r="A2" s="184" t="s">
        <v>928</v>
      </c>
      <c r="B2">
        <v>30.2</v>
      </c>
    </row>
    <row r="3" spans="1:256" x14ac:dyDescent="0.3">
      <c r="A3" t="s">
        <v>929</v>
      </c>
      <c r="B3">
        <v>5</v>
      </c>
    </row>
    <row r="4" spans="1:256" x14ac:dyDescent="0.3">
      <c r="A4" t="s">
        <v>930</v>
      </c>
      <c r="B4">
        <v>6</v>
      </c>
    </row>
    <row r="6" spans="1:256" x14ac:dyDescent="0.3">
      <c r="A6" s="161" t="s">
        <v>911</v>
      </c>
      <c r="J6" s="226" t="s">
        <v>458</v>
      </c>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c r="II6" s="226"/>
      <c r="IJ6" s="226"/>
      <c r="IK6" s="226"/>
      <c r="IL6" s="226"/>
      <c r="IM6" s="226"/>
      <c r="IN6" s="226"/>
      <c r="IO6" s="226"/>
      <c r="IP6" s="226"/>
      <c r="IQ6" s="226"/>
      <c r="IR6" s="226"/>
      <c r="IS6" s="226"/>
      <c r="IT6" s="226"/>
      <c r="IU6" s="226"/>
      <c r="IV6" s="226"/>
    </row>
    <row r="7" spans="1:256" s="226" customFormat="1" x14ac:dyDescent="0.3">
      <c r="A7" t="s">
        <v>863</v>
      </c>
      <c r="B7" s="226">
        <v>0</v>
      </c>
      <c r="C7" s="226">
        <v>1</v>
      </c>
      <c r="D7" s="226">
        <v>2</v>
      </c>
      <c r="E7" s="226">
        <v>3</v>
      </c>
      <c r="F7" s="226">
        <v>4</v>
      </c>
      <c r="G7" s="226">
        <v>5</v>
      </c>
      <c r="H7" s="226">
        <v>6</v>
      </c>
      <c r="I7" s="226">
        <f>H7+1</f>
        <v>7</v>
      </c>
      <c r="J7" s="226">
        <f t="shared" ref="J7:BU7" si="0">I7+1</f>
        <v>8</v>
      </c>
      <c r="K7" s="226">
        <f t="shared" si="0"/>
        <v>9</v>
      </c>
      <c r="L7" s="226">
        <f t="shared" si="0"/>
        <v>10</v>
      </c>
      <c r="M7" s="226">
        <f t="shared" si="0"/>
        <v>11</v>
      </c>
      <c r="N7" s="226">
        <f t="shared" si="0"/>
        <v>12</v>
      </c>
      <c r="O7" s="226">
        <f t="shared" si="0"/>
        <v>13</v>
      </c>
      <c r="P7" s="226">
        <f t="shared" si="0"/>
        <v>14</v>
      </c>
      <c r="Q7" s="226">
        <f t="shared" si="0"/>
        <v>15</v>
      </c>
      <c r="R7" s="226">
        <f t="shared" si="0"/>
        <v>16</v>
      </c>
      <c r="S7" s="226">
        <f t="shared" si="0"/>
        <v>17</v>
      </c>
      <c r="T7" s="226">
        <f t="shared" si="0"/>
        <v>18</v>
      </c>
      <c r="U7" s="226">
        <f t="shared" si="0"/>
        <v>19</v>
      </c>
      <c r="V7" s="226">
        <f t="shared" si="0"/>
        <v>20</v>
      </c>
      <c r="W7" s="226">
        <f t="shared" si="0"/>
        <v>21</v>
      </c>
      <c r="X7" s="226">
        <f t="shared" si="0"/>
        <v>22</v>
      </c>
      <c r="Y7" s="226">
        <f t="shared" si="0"/>
        <v>23</v>
      </c>
      <c r="Z7" s="226">
        <f t="shared" si="0"/>
        <v>24</v>
      </c>
      <c r="AA7" s="226">
        <f t="shared" si="0"/>
        <v>25</v>
      </c>
      <c r="AB7" s="226">
        <f t="shared" si="0"/>
        <v>26</v>
      </c>
      <c r="AC7" s="226">
        <f t="shared" si="0"/>
        <v>27</v>
      </c>
      <c r="AD7" s="226">
        <f t="shared" si="0"/>
        <v>28</v>
      </c>
      <c r="AE7" s="226">
        <f t="shared" si="0"/>
        <v>29</v>
      </c>
      <c r="AF7" s="226">
        <f t="shared" si="0"/>
        <v>30</v>
      </c>
      <c r="AG7" s="226">
        <f t="shared" si="0"/>
        <v>31</v>
      </c>
      <c r="AH7" s="226">
        <f t="shared" si="0"/>
        <v>32</v>
      </c>
      <c r="AI7" s="226">
        <f t="shared" si="0"/>
        <v>33</v>
      </c>
      <c r="AJ7" s="226">
        <f t="shared" si="0"/>
        <v>34</v>
      </c>
      <c r="AK7" s="226">
        <f t="shared" si="0"/>
        <v>35</v>
      </c>
      <c r="AL7" s="226">
        <f t="shared" si="0"/>
        <v>36</v>
      </c>
      <c r="AM7" s="226">
        <f t="shared" si="0"/>
        <v>37</v>
      </c>
      <c r="AN7" s="226">
        <f t="shared" si="0"/>
        <v>38</v>
      </c>
      <c r="AO7" s="226">
        <f t="shared" si="0"/>
        <v>39</v>
      </c>
      <c r="AP7" s="226">
        <f t="shared" si="0"/>
        <v>40</v>
      </c>
      <c r="AQ7" s="226">
        <f t="shared" si="0"/>
        <v>41</v>
      </c>
      <c r="AR7" s="226">
        <f t="shared" si="0"/>
        <v>42</v>
      </c>
      <c r="AS7" s="226">
        <f t="shared" si="0"/>
        <v>43</v>
      </c>
      <c r="AT7" s="226">
        <f t="shared" si="0"/>
        <v>44</v>
      </c>
      <c r="AU7" s="226">
        <f t="shared" si="0"/>
        <v>45</v>
      </c>
      <c r="AV7" s="226">
        <f t="shared" si="0"/>
        <v>46</v>
      </c>
      <c r="AW7" s="226">
        <f t="shared" si="0"/>
        <v>47</v>
      </c>
      <c r="AX7" s="226">
        <f t="shared" si="0"/>
        <v>48</v>
      </c>
      <c r="AY7" s="226">
        <f t="shared" si="0"/>
        <v>49</v>
      </c>
      <c r="AZ7" s="226">
        <f t="shared" si="0"/>
        <v>50</v>
      </c>
      <c r="BA7" s="226">
        <f t="shared" si="0"/>
        <v>51</v>
      </c>
      <c r="BB7" s="226">
        <f t="shared" si="0"/>
        <v>52</v>
      </c>
      <c r="BC7" s="226">
        <f t="shared" si="0"/>
        <v>53</v>
      </c>
      <c r="BD7" s="226">
        <f t="shared" si="0"/>
        <v>54</v>
      </c>
      <c r="BE7" s="226">
        <f t="shared" si="0"/>
        <v>55</v>
      </c>
      <c r="BF7" s="226">
        <f t="shared" si="0"/>
        <v>56</v>
      </c>
      <c r="BG7" s="226">
        <f t="shared" si="0"/>
        <v>57</v>
      </c>
      <c r="BH7" s="226">
        <f t="shared" si="0"/>
        <v>58</v>
      </c>
      <c r="BI7" s="226">
        <f t="shared" si="0"/>
        <v>59</v>
      </c>
      <c r="BJ7" s="226">
        <f t="shared" si="0"/>
        <v>60</v>
      </c>
      <c r="BK7" s="226">
        <f t="shared" si="0"/>
        <v>61</v>
      </c>
      <c r="BL7" s="226">
        <f t="shared" si="0"/>
        <v>62</v>
      </c>
      <c r="BM7" s="226">
        <f t="shared" si="0"/>
        <v>63</v>
      </c>
      <c r="BN7" s="226">
        <f t="shared" si="0"/>
        <v>64</v>
      </c>
      <c r="BO7" s="226">
        <f t="shared" si="0"/>
        <v>65</v>
      </c>
      <c r="BP7" s="226">
        <f t="shared" si="0"/>
        <v>66</v>
      </c>
      <c r="BQ7" s="226">
        <f t="shared" si="0"/>
        <v>67</v>
      </c>
      <c r="BR7" s="226">
        <f t="shared" si="0"/>
        <v>68</v>
      </c>
      <c r="BS7" s="226">
        <f t="shared" si="0"/>
        <v>69</v>
      </c>
      <c r="BT7" s="226">
        <f t="shared" si="0"/>
        <v>70</v>
      </c>
      <c r="BU7" s="226">
        <f t="shared" si="0"/>
        <v>71</v>
      </c>
      <c r="BV7" s="226">
        <f t="shared" ref="BV7:EG7" si="1">BU7+1</f>
        <v>72</v>
      </c>
      <c r="BW7" s="226">
        <f t="shared" si="1"/>
        <v>73</v>
      </c>
      <c r="BX7" s="226">
        <f t="shared" si="1"/>
        <v>74</v>
      </c>
      <c r="BY7" s="226">
        <f t="shared" si="1"/>
        <v>75</v>
      </c>
      <c r="BZ7" s="226">
        <f t="shared" si="1"/>
        <v>76</v>
      </c>
      <c r="CA7" s="226">
        <f t="shared" si="1"/>
        <v>77</v>
      </c>
      <c r="CB7" s="226">
        <f t="shared" si="1"/>
        <v>78</v>
      </c>
      <c r="CC7" s="226">
        <f t="shared" si="1"/>
        <v>79</v>
      </c>
      <c r="CD7" s="226">
        <f t="shared" si="1"/>
        <v>80</v>
      </c>
      <c r="CE7" s="226">
        <f t="shared" si="1"/>
        <v>81</v>
      </c>
      <c r="CF7" s="226">
        <f t="shared" si="1"/>
        <v>82</v>
      </c>
      <c r="CG7" s="226">
        <f t="shared" si="1"/>
        <v>83</v>
      </c>
      <c r="CH7" s="226">
        <f t="shared" si="1"/>
        <v>84</v>
      </c>
      <c r="CI7" s="226">
        <f t="shared" si="1"/>
        <v>85</v>
      </c>
      <c r="CJ7" s="226">
        <f t="shared" si="1"/>
        <v>86</v>
      </c>
      <c r="CK7" s="226">
        <f t="shared" si="1"/>
        <v>87</v>
      </c>
      <c r="CL7" s="226">
        <f t="shared" si="1"/>
        <v>88</v>
      </c>
      <c r="CM7" s="226">
        <f t="shared" si="1"/>
        <v>89</v>
      </c>
      <c r="CN7" s="226">
        <f t="shared" si="1"/>
        <v>90</v>
      </c>
      <c r="CO7" s="226">
        <f t="shared" si="1"/>
        <v>91</v>
      </c>
      <c r="CP7" s="226">
        <f t="shared" si="1"/>
        <v>92</v>
      </c>
      <c r="CQ7" s="226">
        <f t="shared" si="1"/>
        <v>93</v>
      </c>
      <c r="CR7" s="226">
        <f t="shared" si="1"/>
        <v>94</v>
      </c>
      <c r="CS7" s="226">
        <f t="shared" si="1"/>
        <v>95</v>
      </c>
      <c r="CT7" s="226">
        <f t="shared" si="1"/>
        <v>96</v>
      </c>
      <c r="CU7" s="226">
        <f t="shared" si="1"/>
        <v>97</v>
      </c>
      <c r="CV7" s="226">
        <f t="shared" si="1"/>
        <v>98</v>
      </c>
      <c r="CW7" s="226">
        <f t="shared" si="1"/>
        <v>99</v>
      </c>
      <c r="CX7" s="226">
        <f t="shared" si="1"/>
        <v>100</v>
      </c>
      <c r="CY7" s="226">
        <f t="shared" si="1"/>
        <v>101</v>
      </c>
      <c r="CZ7" s="226">
        <f t="shared" si="1"/>
        <v>102</v>
      </c>
      <c r="DA7" s="226">
        <f t="shared" si="1"/>
        <v>103</v>
      </c>
      <c r="DB7" s="226">
        <f t="shared" si="1"/>
        <v>104</v>
      </c>
      <c r="DC7" s="226">
        <f t="shared" si="1"/>
        <v>105</v>
      </c>
      <c r="DD7" s="226">
        <f t="shared" si="1"/>
        <v>106</v>
      </c>
      <c r="DE7" s="226">
        <f t="shared" si="1"/>
        <v>107</v>
      </c>
      <c r="DF7" s="226">
        <f t="shared" si="1"/>
        <v>108</v>
      </c>
      <c r="DG7" s="226">
        <f t="shared" si="1"/>
        <v>109</v>
      </c>
      <c r="DH7" s="226">
        <f t="shared" si="1"/>
        <v>110</v>
      </c>
      <c r="DI7" s="226">
        <f t="shared" si="1"/>
        <v>111</v>
      </c>
      <c r="DJ7" s="226">
        <f t="shared" si="1"/>
        <v>112</v>
      </c>
      <c r="DK7" s="226">
        <f t="shared" si="1"/>
        <v>113</v>
      </c>
      <c r="DL7" s="226">
        <f t="shared" si="1"/>
        <v>114</v>
      </c>
      <c r="DM7" s="226">
        <f t="shared" si="1"/>
        <v>115</v>
      </c>
      <c r="DN7" s="226">
        <f t="shared" si="1"/>
        <v>116</v>
      </c>
      <c r="DO7" s="226">
        <f t="shared" si="1"/>
        <v>117</v>
      </c>
      <c r="DP7" s="226">
        <f t="shared" si="1"/>
        <v>118</v>
      </c>
      <c r="DQ7" s="226">
        <f t="shared" si="1"/>
        <v>119</v>
      </c>
      <c r="DR7" s="226">
        <f t="shared" si="1"/>
        <v>120</v>
      </c>
      <c r="DS7" s="226">
        <f t="shared" si="1"/>
        <v>121</v>
      </c>
      <c r="DT7" s="226">
        <f t="shared" si="1"/>
        <v>122</v>
      </c>
      <c r="DU7" s="226">
        <f t="shared" si="1"/>
        <v>123</v>
      </c>
      <c r="DV7" s="226">
        <f t="shared" si="1"/>
        <v>124</v>
      </c>
      <c r="DW7" s="226">
        <f t="shared" si="1"/>
        <v>125</v>
      </c>
      <c r="DX7" s="226">
        <f t="shared" si="1"/>
        <v>126</v>
      </c>
      <c r="DY7" s="226">
        <f t="shared" si="1"/>
        <v>127</v>
      </c>
      <c r="DZ7" s="226">
        <f t="shared" si="1"/>
        <v>128</v>
      </c>
      <c r="EA7" s="226">
        <f t="shared" si="1"/>
        <v>129</v>
      </c>
      <c r="EB7" s="226">
        <f t="shared" si="1"/>
        <v>130</v>
      </c>
      <c r="EC7" s="226">
        <f t="shared" si="1"/>
        <v>131</v>
      </c>
      <c r="ED7" s="226">
        <f t="shared" si="1"/>
        <v>132</v>
      </c>
      <c r="EE7" s="226">
        <f t="shared" si="1"/>
        <v>133</v>
      </c>
      <c r="EF7" s="226">
        <f t="shared" si="1"/>
        <v>134</v>
      </c>
      <c r="EG7" s="226">
        <f t="shared" si="1"/>
        <v>135</v>
      </c>
      <c r="EH7" s="226">
        <f t="shared" ref="EH7:GS7" si="2">EG7+1</f>
        <v>136</v>
      </c>
      <c r="EI7" s="226">
        <f t="shared" si="2"/>
        <v>137</v>
      </c>
      <c r="EJ7" s="226">
        <f t="shared" si="2"/>
        <v>138</v>
      </c>
      <c r="EK7" s="226">
        <f t="shared" si="2"/>
        <v>139</v>
      </c>
      <c r="EL7" s="226">
        <f t="shared" si="2"/>
        <v>140</v>
      </c>
      <c r="EM7" s="226">
        <f t="shared" si="2"/>
        <v>141</v>
      </c>
      <c r="EN7" s="226">
        <f t="shared" si="2"/>
        <v>142</v>
      </c>
      <c r="EO7" s="226">
        <f t="shared" si="2"/>
        <v>143</v>
      </c>
      <c r="EP7" s="226">
        <f t="shared" si="2"/>
        <v>144</v>
      </c>
      <c r="EQ7" s="226">
        <f t="shared" si="2"/>
        <v>145</v>
      </c>
      <c r="ER7" s="226">
        <f t="shared" si="2"/>
        <v>146</v>
      </c>
      <c r="ES7" s="226">
        <f t="shared" si="2"/>
        <v>147</v>
      </c>
      <c r="ET7" s="226">
        <f t="shared" si="2"/>
        <v>148</v>
      </c>
      <c r="EU7" s="226">
        <f t="shared" si="2"/>
        <v>149</v>
      </c>
      <c r="EV7" s="226">
        <f t="shared" si="2"/>
        <v>150</v>
      </c>
      <c r="EW7" s="226">
        <f t="shared" si="2"/>
        <v>151</v>
      </c>
      <c r="EX7" s="226">
        <f t="shared" si="2"/>
        <v>152</v>
      </c>
      <c r="EY7" s="226">
        <f t="shared" si="2"/>
        <v>153</v>
      </c>
      <c r="EZ7" s="226">
        <f t="shared" si="2"/>
        <v>154</v>
      </c>
      <c r="FA7" s="226">
        <f t="shared" si="2"/>
        <v>155</v>
      </c>
      <c r="FB7" s="226">
        <f t="shared" si="2"/>
        <v>156</v>
      </c>
      <c r="FC7" s="226">
        <f t="shared" si="2"/>
        <v>157</v>
      </c>
      <c r="FD7" s="226">
        <f t="shared" si="2"/>
        <v>158</v>
      </c>
      <c r="FE7" s="226">
        <f t="shared" si="2"/>
        <v>159</v>
      </c>
      <c r="FF7" s="226">
        <f t="shared" si="2"/>
        <v>160</v>
      </c>
      <c r="FG7" s="226">
        <f t="shared" si="2"/>
        <v>161</v>
      </c>
      <c r="FH7" s="226">
        <f t="shared" si="2"/>
        <v>162</v>
      </c>
      <c r="FI7" s="226">
        <f t="shared" si="2"/>
        <v>163</v>
      </c>
      <c r="FJ7" s="226">
        <f t="shared" si="2"/>
        <v>164</v>
      </c>
      <c r="FK7" s="226">
        <f t="shared" si="2"/>
        <v>165</v>
      </c>
      <c r="FL7" s="226">
        <f t="shared" si="2"/>
        <v>166</v>
      </c>
      <c r="FM7" s="226">
        <f t="shared" si="2"/>
        <v>167</v>
      </c>
      <c r="FN7" s="226">
        <f t="shared" si="2"/>
        <v>168</v>
      </c>
      <c r="FO7" s="226">
        <f t="shared" si="2"/>
        <v>169</v>
      </c>
      <c r="FP7" s="226">
        <f t="shared" si="2"/>
        <v>170</v>
      </c>
      <c r="FQ7" s="226">
        <f t="shared" si="2"/>
        <v>171</v>
      </c>
      <c r="FR7" s="226">
        <f t="shared" si="2"/>
        <v>172</v>
      </c>
      <c r="FS7" s="226">
        <f t="shared" si="2"/>
        <v>173</v>
      </c>
      <c r="FT7" s="226">
        <f t="shared" si="2"/>
        <v>174</v>
      </c>
      <c r="FU7" s="226">
        <f t="shared" si="2"/>
        <v>175</v>
      </c>
      <c r="FV7" s="226">
        <f t="shared" si="2"/>
        <v>176</v>
      </c>
      <c r="FW7" s="226">
        <f t="shared" si="2"/>
        <v>177</v>
      </c>
      <c r="FX7" s="226">
        <f t="shared" si="2"/>
        <v>178</v>
      </c>
      <c r="FY7" s="226">
        <f t="shared" si="2"/>
        <v>179</v>
      </c>
      <c r="FZ7" s="226">
        <f t="shared" si="2"/>
        <v>180</v>
      </c>
      <c r="GA7" s="226">
        <f t="shared" si="2"/>
        <v>181</v>
      </c>
      <c r="GB7" s="226">
        <f t="shared" si="2"/>
        <v>182</v>
      </c>
      <c r="GC7" s="226">
        <f t="shared" si="2"/>
        <v>183</v>
      </c>
      <c r="GD7" s="226">
        <f t="shared" si="2"/>
        <v>184</v>
      </c>
      <c r="GE7" s="226">
        <f t="shared" si="2"/>
        <v>185</v>
      </c>
      <c r="GF7" s="226">
        <f t="shared" si="2"/>
        <v>186</v>
      </c>
      <c r="GG7" s="226">
        <f t="shared" si="2"/>
        <v>187</v>
      </c>
      <c r="GH7" s="226">
        <f t="shared" si="2"/>
        <v>188</v>
      </c>
      <c r="GI7" s="226">
        <f t="shared" si="2"/>
        <v>189</v>
      </c>
      <c r="GJ7" s="226">
        <f t="shared" si="2"/>
        <v>190</v>
      </c>
      <c r="GK7" s="226">
        <f t="shared" si="2"/>
        <v>191</v>
      </c>
      <c r="GL7" s="226">
        <f t="shared" si="2"/>
        <v>192</v>
      </c>
      <c r="GM7" s="226">
        <f t="shared" si="2"/>
        <v>193</v>
      </c>
      <c r="GN7" s="226">
        <f t="shared" si="2"/>
        <v>194</v>
      </c>
      <c r="GO7" s="226">
        <f t="shared" si="2"/>
        <v>195</v>
      </c>
      <c r="GP7" s="226">
        <f t="shared" si="2"/>
        <v>196</v>
      </c>
      <c r="GQ7" s="226">
        <f t="shared" si="2"/>
        <v>197</v>
      </c>
      <c r="GR7" s="226">
        <f t="shared" si="2"/>
        <v>198</v>
      </c>
      <c r="GS7" s="226">
        <f t="shared" si="2"/>
        <v>199</v>
      </c>
      <c r="GT7" s="226">
        <f t="shared" ref="GT7:IV7" si="3">GS7+1</f>
        <v>200</v>
      </c>
      <c r="GU7" s="226">
        <f t="shared" si="3"/>
        <v>201</v>
      </c>
      <c r="GV7" s="226">
        <f t="shared" si="3"/>
        <v>202</v>
      </c>
      <c r="GW7" s="226">
        <f t="shared" si="3"/>
        <v>203</v>
      </c>
      <c r="GX7" s="226">
        <f t="shared" si="3"/>
        <v>204</v>
      </c>
      <c r="GY7" s="226">
        <f t="shared" si="3"/>
        <v>205</v>
      </c>
      <c r="GZ7" s="226">
        <f t="shared" si="3"/>
        <v>206</v>
      </c>
      <c r="HA7" s="226">
        <f t="shared" si="3"/>
        <v>207</v>
      </c>
      <c r="HB7" s="226">
        <f t="shared" si="3"/>
        <v>208</v>
      </c>
      <c r="HC7" s="226">
        <f t="shared" si="3"/>
        <v>209</v>
      </c>
      <c r="HD7" s="226">
        <f t="shared" si="3"/>
        <v>210</v>
      </c>
      <c r="HE7" s="226">
        <f t="shared" si="3"/>
        <v>211</v>
      </c>
      <c r="HF7" s="226">
        <f t="shared" si="3"/>
        <v>212</v>
      </c>
      <c r="HG7" s="226">
        <f t="shared" si="3"/>
        <v>213</v>
      </c>
      <c r="HH7" s="226">
        <f t="shared" si="3"/>
        <v>214</v>
      </c>
      <c r="HI7" s="226">
        <f t="shared" si="3"/>
        <v>215</v>
      </c>
      <c r="HJ7" s="226">
        <f t="shared" si="3"/>
        <v>216</v>
      </c>
      <c r="HK7" s="226">
        <f t="shared" si="3"/>
        <v>217</v>
      </c>
      <c r="HL7" s="226">
        <f t="shared" si="3"/>
        <v>218</v>
      </c>
      <c r="HM7" s="226">
        <f t="shared" si="3"/>
        <v>219</v>
      </c>
      <c r="HN7" s="226">
        <f t="shared" si="3"/>
        <v>220</v>
      </c>
      <c r="HO7" s="226">
        <f t="shared" si="3"/>
        <v>221</v>
      </c>
      <c r="HP7" s="226">
        <f t="shared" si="3"/>
        <v>222</v>
      </c>
      <c r="HQ7" s="226">
        <f t="shared" si="3"/>
        <v>223</v>
      </c>
      <c r="HR7" s="226">
        <f t="shared" si="3"/>
        <v>224</v>
      </c>
      <c r="HS7" s="226">
        <f t="shared" si="3"/>
        <v>225</v>
      </c>
      <c r="HT7" s="226">
        <f t="shared" si="3"/>
        <v>226</v>
      </c>
      <c r="HU7" s="226">
        <f t="shared" si="3"/>
        <v>227</v>
      </c>
      <c r="HV7" s="226">
        <f t="shared" si="3"/>
        <v>228</v>
      </c>
      <c r="HW7" s="226">
        <f t="shared" si="3"/>
        <v>229</v>
      </c>
      <c r="HX7" s="226">
        <f t="shared" si="3"/>
        <v>230</v>
      </c>
      <c r="HY7" s="226">
        <f t="shared" si="3"/>
        <v>231</v>
      </c>
      <c r="HZ7" s="226">
        <f t="shared" si="3"/>
        <v>232</v>
      </c>
      <c r="IA7" s="226">
        <f t="shared" si="3"/>
        <v>233</v>
      </c>
      <c r="IB7" s="226">
        <f t="shared" si="3"/>
        <v>234</v>
      </c>
      <c r="IC7" s="226">
        <f t="shared" si="3"/>
        <v>235</v>
      </c>
      <c r="ID7" s="226">
        <f t="shared" si="3"/>
        <v>236</v>
      </c>
      <c r="IE7" s="226">
        <f t="shared" si="3"/>
        <v>237</v>
      </c>
      <c r="IF7" s="226">
        <f t="shared" si="3"/>
        <v>238</v>
      </c>
      <c r="IG7" s="226">
        <f t="shared" si="3"/>
        <v>239</v>
      </c>
      <c r="IH7" s="226">
        <f t="shared" si="3"/>
        <v>240</v>
      </c>
      <c r="II7" s="226">
        <f t="shared" si="3"/>
        <v>241</v>
      </c>
      <c r="IJ7" s="226">
        <f t="shared" si="3"/>
        <v>242</v>
      </c>
      <c r="IK7" s="226">
        <f t="shared" si="3"/>
        <v>243</v>
      </c>
      <c r="IL7" s="226">
        <f t="shared" si="3"/>
        <v>244</v>
      </c>
      <c r="IM7" s="226">
        <f t="shared" si="3"/>
        <v>245</v>
      </c>
      <c r="IN7" s="226">
        <f t="shared" si="3"/>
        <v>246</v>
      </c>
      <c r="IO7" s="226">
        <f t="shared" si="3"/>
        <v>247</v>
      </c>
      <c r="IP7" s="226">
        <f t="shared" si="3"/>
        <v>248</v>
      </c>
      <c r="IQ7" s="226">
        <f t="shared" si="3"/>
        <v>249</v>
      </c>
      <c r="IR7" s="226">
        <f t="shared" si="3"/>
        <v>250</v>
      </c>
      <c r="IS7" s="226">
        <f t="shared" si="3"/>
        <v>251</v>
      </c>
      <c r="IT7" s="226">
        <f t="shared" si="3"/>
        <v>252</v>
      </c>
      <c r="IU7" s="226">
        <f t="shared" si="3"/>
        <v>253</v>
      </c>
      <c r="IV7" s="226">
        <f t="shared" si="3"/>
        <v>254</v>
      </c>
    </row>
    <row r="8" spans="1:256" s="226" customFormat="1" x14ac:dyDescent="0.3">
      <c r="A8" t="s">
        <v>647</v>
      </c>
      <c r="B8" s="226">
        <v>-30.2</v>
      </c>
      <c r="C8" s="226">
        <v>5</v>
      </c>
      <c r="D8" s="226">
        <v>5</v>
      </c>
      <c r="E8" s="226">
        <v>5</v>
      </c>
      <c r="F8" s="226">
        <v>5</v>
      </c>
      <c r="G8" s="226">
        <v>5</v>
      </c>
      <c r="H8" s="226">
        <v>6</v>
      </c>
      <c r="I8" s="226">
        <v>6</v>
      </c>
      <c r="J8" s="226">
        <v>6</v>
      </c>
      <c r="K8" s="226">
        <v>6</v>
      </c>
      <c r="L8" s="226">
        <v>6</v>
      </c>
      <c r="M8" s="226">
        <v>6</v>
      </c>
      <c r="N8" s="226">
        <v>6</v>
      </c>
      <c r="O8" s="226">
        <v>6</v>
      </c>
      <c r="P8" s="226">
        <v>6</v>
      </c>
      <c r="Q8" s="226">
        <v>6</v>
      </c>
      <c r="R8" s="226">
        <v>6</v>
      </c>
      <c r="S8" s="226">
        <v>6</v>
      </c>
      <c r="T8" s="226">
        <v>6</v>
      </c>
      <c r="U8" s="226">
        <v>6</v>
      </c>
      <c r="V8" s="226">
        <v>6</v>
      </c>
      <c r="W8" s="226">
        <v>6</v>
      </c>
      <c r="X8" s="226">
        <v>6</v>
      </c>
      <c r="Y8" s="226">
        <v>6</v>
      </c>
      <c r="Z8" s="226">
        <v>6</v>
      </c>
      <c r="AA8" s="226">
        <v>6</v>
      </c>
      <c r="AB8" s="226">
        <v>6</v>
      </c>
      <c r="AC8" s="226">
        <v>6</v>
      </c>
      <c r="AD8" s="226">
        <v>6</v>
      </c>
      <c r="AE8" s="226">
        <v>6</v>
      </c>
      <c r="AF8" s="226">
        <v>6</v>
      </c>
      <c r="AG8" s="226">
        <v>6</v>
      </c>
      <c r="AH8" s="226">
        <v>6</v>
      </c>
      <c r="AI8" s="226">
        <v>6</v>
      </c>
      <c r="AJ8" s="226">
        <v>6</v>
      </c>
      <c r="AK8" s="226">
        <v>6</v>
      </c>
      <c r="AL8" s="226">
        <v>6</v>
      </c>
      <c r="AM8" s="226">
        <v>6</v>
      </c>
      <c r="AN8" s="226">
        <v>6</v>
      </c>
      <c r="AO8" s="226">
        <v>6</v>
      </c>
      <c r="AP8" s="226">
        <v>6</v>
      </c>
      <c r="AQ8" s="226">
        <v>6</v>
      </c>
      <c r="AR8" s="226">
        <v>6</v>
      </c>
      <c r="AS8" s="226">
        <v>6</v>
      </c>
      <c r="AT8" s="226">
        <v>6</v>
      </c>
      <c r="AU8" s="226">
        <v>6</v>
      </c>
      <c r="AV8" s="226">
        <v>6</v>
      </c>
      <c r="AW8" s="226">
        <v>6</v>
      </c>
      <c r="AX8" s="226">
        <v>6</v>
      </c>
      <c r="AY8" s="226">
        <v>6</v>
      </c>
      <c r="AZ8" s="226">
        <v>6</v>
      </c>
      <c r="BA8" s="226">
        <v>6</v>
      </c>
      <c r="BB8" s="226">
        <v>6</v>
      </c>
      <c r="BC8" s="226">
        <v>6</v>
      </c>
      <c r="BD8" s="226">
        <v>6</v>
      </c>
      <c r="BE8" s="226">
        <v>6</v>
      </c>
      <c r="BF8" s="226">
        <v>6</v>
      </c>
      <c r="BG8" s="226">
        <v>6</v>
      </c>
      <c r="BH8" s="226">
        <v>6</v>
      </c>
      <c r="BI8" s="226">
        <v>6</v>
      </c>
      <c r="BJ8" s="226">
        <v>6</v>
      </c>
      <c r="BK8" s="226">
        <v>6</v>
      </c>
      <c r="BL8" s="226">
        <v>6</v>
      </c>
      <c r="BM8" s="226">
        <v>6</v>
      </c>
      <c r="BN8" s="226">
        <v>6</v>
      </c>
      <c r="BO8" s="226">
        <v>6</v>
      </c>
      <c r="BP8" s="226">
        <v>6</v>
      </c>
      <c r="BQ8" s="226">
        <v>6</v>
      </c>
      <c r="BR8" s="226">
        <v>6</v>
      </c>
      <c r="BS8" s="226">
        <v>6</v>
      </c>
      <c r="BT8" s="226">
        <v>6</v>
      </c>
      <c r="BU8" s="226">
        <v>6</v>
      </c>
      <c r="BV8" s="226">
        <v>6</v>
      </c>
      <c r="BW8" s="226">
        <v>6</v>
      </c>
      <c r="BX8" s="226">
        <v>6</v>
      </c>
      <c r="BY8" s="226">
        <v>6</v>
      </c>
      <c r="BZ8" s="226">
        <v>6</v>
      </c>
      <c r="CA8" s="226">
        <v>6</v>
      </c>
      <c r="CB8" s="226">
        <v>6</v>
      </c>
      <c r="CC8" s="226">
        <v>6</v>
      </c>
      <c r="CD8" s="226">
        <v>6</v>
      </c>
      <c r="CE8" s="226">
        <v>6</v>
      </c>
      <c r="CF8" s="226">
        <v>6</v>
      </c>
      <c r="CG8" s="226">
        <v>6</v>
      </c>
      <c r="CH8" s="226">
        <v>6</v>
      </c>
      <c r="CI8" s="226">
        <v>6</v>
      </c>
      <c r="CJ8" s="226">
        <v>6</v>
      </c>
      <c r="CK8" s="226">
        <v>6</v>
      </c>
      <c r="CL8" s="226">
        <v>6</v>
      </c>
      <c r="CM8" s="226">
        <v>6</v>
      </c>
      <c r="CN8" s="226">
        <v>6</v>
      </c>
      <c r="CO8" s="226">
        <v>6</v>
      </c>
      <c r="CP8" s="226">
        <v>6</v>
      </c>
      <c r="CQ8" s="226">
        <v>6</v>
      </c>
      <c r="CR8" s="226">
        <v>6</v>
      </c>
      <c r="CS8" s="226">
        <v>6</v>
      </c>
      <c r="CT8" s="226">
        <v>6</v>
      </c>
      <c r="CU8" s="226">
        <v>6</v>
      </c>
      <c r="CV8" s="226">
        <v>6</v>
      </c>
      <c r="CW8" s="226">
        <v>6</v>
      </c>
      <c r="CX8" s="226">
        <v>6</v>
      </c>
      <c r="CY8" s="226">
        <v>6</v>
      </c>
      <c r="CZ8" s="226">
        <v>6</v>
      </c>
      <c r="DA8" s="226">
        <v>6</v>
      </c>
      <c r="DB8" s="226">
        <v>6</v>
      </c>
      <c r="DC8" s="226">
        <v>6</v>
      </c>
      <c r="DD8" s="226">
        <v>6</v>
      </c>
      <c r="DE8" s="226">
        <v>6</v>
      </c>
      <c r="DF8" s="226">
        <v>6</v>
      </c>
      <c r="DG8" s="226">
        <v>6</v>
      </c>
      <c r="DH8" s="226">
        <v>6</v>
      </c>
      <c r="DI8" s="226">
        <v>6</v>
      </c>
      <c r="DJ8" s="226">
        <v>6</v>
      </c>
      <c r="DK8" s="226">
        <v>6</v>
      </c>
      <c r="DL8" s="226">
        <v>6</v>
      </c>
      <c r="DM8" s="226">
        <v>6</v>
      </c>
      <c r="DN8" s="226">
        <v>6</v>
      </c>
      <c r="DO8" s="226">
        <v>6</v>
      </c>
      <c r="DP8" s="226">
        <v>6</v>
      </c>
      <c r="DQ8" s="226">
        <v>6</v>
      </c>
      <c r="DR8" s="226">
        <v>6</v>
      </c>
      <c r="DS8" s="226">
        <v>6</v>
      </c>
      <c r="DT8" s="226">
        <v>6</v>
      </c>
      <c r="DU8" s="226">
        <v>6</v>
      </c>
      <c r="DV8" s="226">
        <v>6</v>
      </c>
      <c r="DW8" s="226">
        <v>6</v>
      </c>
      <c r="DX8" s="226">
        <v>6</v>
      </c>
      <c r="DY8" s="226">
        <v>6</v>
      </c>
      <c r="DZ8" s="226">
        <v>6</v>
      </c>
      <c r="EA8" s="226">
        <v>6</v>
      </c>
      <c r="EB8" s="226">
        <v>6</v>
      </c>
      <c r="EC8" s="226">
        <v>6</v>
      </c>
      <c r="ED8" s="226">
        <v>6</v>
      </c>
      <c r="EE8" s="226">
        <v>6</v>
      </c>
      <c r="EF8" s="226">
        <v>6</v>
      </c>
      <c r="EG8" s="226">
        <v>6</v>
      </c>
      <c r="EH8" s="226">
        <v>6</v>
      </c>
      <c r="EI8" s="226">
        <v>6</v>
      </c>
      <c r="EJ8" s="226">
        <v>6</v>
      </c>
      <c r="EK8" s="226">
        <v>6</v>
      </c>
      <c r="EL8" s="226">
        <v>6</v>
      </c>
      <c r="EM8" s="226">
        <v>6</v>
      </c>
      <c r="EN8" s="226">
        <v>6</v>
      </c>
      <c r="EO8" s="226">
        <v>6</v>
      </c>
      <c r="EP8" s="226">
        <v>6</v>
      </c>
      <c r="EQ8" s="226">
        <v>6</v>
      </c>
      <c r="ER8" s="226">
        <v>6</v>
      </c>
      <c r="ES8" s="226">
        <v>6</v>
      </c>
      <c r="ET8" s="226">
        <v>6</v>
      </c>
      <c r="EU8" s="226">
        <v>6</v>
      </c>
      <c r="EV8" s="226">
        <v>6</v>
      </c>
      <c r="EW8" s="226">
        <v>6</v>
      </c>
      <c r="EX8" s="226">
        <v>6</v>
      </c>
      <c r="EY8" s="226">
        <v>6</v>
      </c>
      <c r="EZ8" s="226">
        <v>6</v>
      </c>
      <c r="FA8" s="226">
        <v>6</v>
      </c>
      <c r="FB8" s="226">
        <v>6</v>
      </c>
      <c r="FC8" s="226">
        <v>6</v>
      </c>
      <c r="FD8" s="226">
        <v>6</v>
      </c>
      <c r="FE8" s="226">
        <v>6</v>
      </c>
      <c r="FF8" s="226">
        <v>6</v>
      </c>
      <c r="FG8" s="226">
        <v>6</v>
      </c>
      <c r="FH8" s="226">
        <v>6</v>
      </c>
      <c r="FI8" s="226">
        <v>6</v>
      </c>
      <c r="FJ8" s="226">
        <v>6</v>
      </c>
      <c r="FK8" s="226">
        <v>6</v>
      </c>
      <c r="FL8" s="226">
        <v>6</v>
      </c>
      <c r="FM8" s="226">
        <v>6</v>
      </c>
      <c r="FN8" s="226">
        <v>6</v>
      </c>
      <c r="FO8" s="226">
        <v>6</v>
      </c>
      <c r="FP8" s="226">
        <v>6</v>
      </c>
      <c r="FQ8" s="226">
        <v>6</v>
      </c>
      <c r="FR8" s="226">
        <v>6</v>
      </c>
      <c r="FS8" s="226">
        <v>6</v>
      </c>
      <c r="FT8" s="226">
        <v>6</v>
      </c>
      <c r="FU8" s="226">
        <v>6</v>
      </c>
      <c r="FV8" s="226">
        <v>6</v>
      </c>
      <c r="FW8" s="226">
        <v>6</v>
      </c>
      <c r="FX8" s="226">
        <v>6</v>
      </c>
      <c r="FY8" s="226">
        <v>6</v>
      </c>
      <c r="FZ8" s="226">
        <v>6</v>
      </c>
      <c r="GA8" s="226">
        <v>6</v>
      </c>
      <c r="GB8" s="226">
        <v>6</v>
      </c>
      <c r="GC8" s="226">
        <v>6</v>
      </c>
      <c r="GD8" s="226">
        <v>6</v>
      </c>
      <c r="GE8" s="226">
        <v>6</v>
      </c>
      <c r="GF8" s="226">
        <v>6</v>
      </c>
      <c r="GG8" s="226">
        <v>6</v>
      </c>
      <c r="GH8" s="226">
        <v>6</v>
      </c>
      <c r="GI8" s="226">
        <v>6</v>
      </c>
      <c r="GJ8" s="226">
        <v>6</v>
      </c>
      <c r="GK8" s="226">
        <v>6</v>
      </c>
      <c r="GL8" s="226">
        <v>6</v>
      </c>
      <c r="GM8" s="226">
        <v>6</v>
      </c>
      <c r="GN8" s="226">
        <v>6</v>
      </c>
      <c r="GO8" s="226">
        <v>6</v>
      </c>
      <c r="GP8" s="226">
        <v>6</v>
      </c>
      <c r="GQ8" s="226">
        <v>6</v>
      </c>
      <c r="GR8" s="226">
        <v>6</v>
      </c>
      <c r="GS8" s="226">
        <v>6</v>
      </c>
      <c r="GT8" s="226">
        <v>6</v>
      </c>
      <c r="GU8" s="226">
        <v>6</v>
      </c>
      <c r="GV8" s="226">
        <v>6</v>
      </c>
      <c r="GW8" s="226">
        <v>6</v>
      </c>
      <c r="GX8" s="226">
        <v>6</v>
      </c>
      <c r="GY8" s="226">
        <v>6</v>
      </c>
      <c r="GZ8" s="226">
        <v>6</v>
      </c>
      <c r="HA8" s="226">
        <v>6</v>
      </c>
      <c r="HB8" s="226">
        <v>6</v>
      </c>
      <c r="HC8" s="226">
        <v>6</v>
      </c>
      <c r="HD8" s="226">
        <v>6</v>
      </c>
      <c r="HE8" s="226">
        <v>6</v>
      </c>
      <c r="HF8" s="226">
        <v>6</v>
      </c>
      <c r="HG8" s="226">
        <v>6</v>
      </c>
      <c r="HH8" s="226">
        <v>6</v>
      </c>
      <c r="HI8" s="226">
        <v>6</v>
      </c>
      <c r="HJ8" s="226">
        <v>6</v>
      </c>
      <c r="HK8" s="226">
        <v>6</v>
      </c>
      <c r="HL8" s="226">
        <v>6</v>
      </c>
      <c r="HM8" s="226">
        <v>6</v>
      </c>
      <c r="HN8" s="226">
        <v>6</v>
      </c>
      <c r="HO8" s="226">
        <v>6</v>
      </c>
      <c r="HP8" s="226">
        <v>6</v>
      </c>
      <c r="HQ8" s="226">
        <v>6</v>
      </c>
      <c r="HR8" s="226">
        <v>6</v>
      </c>
      <c r="HS8" s="226">
        <v>6</v>
      </c>
      <c r="HT8" s="226">
        <v>6</v>
      </c>
      <c r="HU8" s="226">
        <v>6</v>
      </c>
      <c r="HV8" s="226">
        <v>6</v>
      </c>
      <c r="HW8" s="226">
        <v>6</v>
      </c>
      <c r="HX8" s="226">
        <v>6</v>
      </c>
      <c r="HY8" s="226">
        <v>6</v>
      </c>
      <c r="HZ8" s="226">
        <v>6</v>
      </c>
      <c r="IA8" s="226">
        <v>6</v>
      </c>
      <c r="IB8" s="226">
        <v>6</v>
      </c>
      <c r="IC8" s="226">
        <v>6</v>
      </c>
      <c r="ID8" s="226">
        <v>6</v>
      </c>
      <c r="IE8" s="226">
        <v>6</v>
      </c>
      <c r="IF8" s="226">
        <v>6</v>
      </c>
      <c r="IG8" s="226">
        <v>6</v>
      </c>
      <c r="IH8" s="226">
        <v>6</v>
      </c>
      <c r="II8" s="226">
        <v>6</v>
      </c>
      <c r="IJ8" s="226">
        <v>6</v>
      </c>
      <c r="IK8" s="226">
        <v>6</v>
      </c>
      <c r="IL8" s="226">
        <v>6</v>
      </c>
      <c r="IM8" s="226">
        <v>6</v>
      </c>
      <c r="IN8" s="226">
        <v>6</v>
      </c>
      <c r="IO8" s="226">
        <v>6</v>
      </c>
      <c r="IP8" s="226">
        <v>6</v>
      </c>
      <c r="IQ8" s="226">
        <v>6</v>
      </c>
      <c r="IR8" s="226">
        <v>6</v>
      </c>
      <c r="IS8" s="226">
        <v>6</v>
      </c>
      <c r="IT8" s="226">
        <v>6</v>
      </c>
      <c r="IU8" s="226">
        <v>6</v>
      </c>
      <c r="IV8" s="226">
        <v>6</v>
      </c>
    </row>
    <row r="9" spans="1:256" x14ac:dyDescent="0.3">
      <c r="A9" t="s">
        <v>458</v>
      </c>
      <c r="B9" s="15" t="s">
        <v>458</v>
      </c>
      <c r="C9" s="15" t="s">
        <v>458</v>
      </c>
      <c r="D9" s="15" t="s">
        <v>458</v>
      </c>
      <c r="E9" s="15" t="s">
        <v>458</v>
      </c>
      <c r="F9" s="15" t="s">
        <v>458</v>
      </c>
      <c r="G9" s="15" t="s">
        <v>458</v>
      </c>
      <c r="H9" s="15" t="s">
        <v>458</v>
      </c>
    </row>
    <row r="10" spans="1:256" x14ac:dyDescent="0.3">
      <c r="A10" s="1" t="s">
        <v>727</v>
      </c>
      <c r="B10" s="143">
        <f>IRR(B8:IS8)</f>
        <v>0.18003460677684546</v>
      </c>
    </row>
    <row r="11" spans="1:256" x14ac:dyDescent="0.3">
      <c r="A11" t="s">
        <v>458</v>
      </c>
      <c r="B11" s="108" t="s">
        <v>458</v>
      </c>
    </row>
    <row r="13" spans="1:256" x14ac:dyDescent="0.3">
      <c r="A13" s="12" t="s">
        <v>1420</v>
      </c>
    </row>
    <row r="14" spans="1:256" ht="27" x14ac:dyDescent="0.3">
      <c r="A14" s="184" t="s">
        <v>932</v>
      </c>
      <c r="B14" s="15">
        <v>1000</v>
      </c>
    </row>
    <row r="15" spans="1:256" ht="27" x14ac:dyDescent="0.3">
      <c r="A15" s="184" t="s">
        <v>933</v>
      </c>
      <c r="B15" s="15">
        <v>1037.9000000000001</v>
      </c>
    </row>
    <row r="16" spans="1:256" x14ac:dyDescent="0.3">
      <c r="A16" s="184" t="s">
        <v>934</v>
      </c>
      <c r="B16" s="86">
        <v>0.11</v>
      </c>
    </row>
    <row r="18" spans="1:7" x14ac:dyDescent="0.3">
      <c r="A18" s="161" t="s">
        <v>911</v>
      </c>
    </row>
    <row r="19" spans="1:7" x14ac:dyDescent="0.3">
      <c r="A19" s="184" t="s">
        <v>863</v>
      </c>
      <c r="B19">
        <v>0</v>
      </c>
      <c r="C19">
        <v>1</v>
      </c>
      <c r="D19">
        <v>2</v>
      </c>
      <c r="E19">
        <v>3</v>
      </c>
      <c r="F19">
        <v>4</v>
      </c>
      <c r="G19">
        <v>5</v>
      </c>
    </row>
    <row r="20" spans="1:7" x14ac:dyDescent="0.3">
      <c r="A20" s="184" t="s">
        <v>931</v>
      </c>
      <c r="B20" s="15">
        <f>-B15</f>
        <v>-1037.9000000000001</v>
      </c>
      <c r="C20" s="15">
        <v>110</v>
      </c>
      <c r="D20">
        <v>110</v>
      </c>
      <c r="E20">
        <v>110</v>
      </c>
      <c r="F20">
        <v>110</v>
      </c>
      <c r="G20">
        <v>1110</v>
      </c>
    </row>
    <row r="21" spans="1:7" x14ac:dyDescent="0.3">
      <c r="A21" s="184" t="s">
        <v>935</v>
      </c>
      <c r="B21" s="15" t="s">
        <v>458</v>
      </c>
      <c r="C21" s="15" t="s">
        <v>458</v>
      </c>
    </row>
    <row r="22" spans="1:7" x14ac:dyDescent="0.3">
      <c r="A22" s="186" t="s">
        <v>729</v>
      </c>
      <c r="B22" s="115">
        <f>IRR(B20:G20)</f>
        <v>0.10000202377975009</v>
      </c>
    </row>
    <row r="23" spans="1:7" x14ac:dyDescent="0.3">
      <c r="A23" s="185" t="s">
        <v>458</v>
      </c>
      <c r="B23" s="15" t="s">
        <v>458</v>
      </c>
    </row>
    <row r="25" spans="1:7" x14ac:dyDescent="0.3">
      <c r="A25" s="12" t="s">
        <v>244</v>
      </c>
    </row>
    <row r="26" spans="1:7" ht="27" x14ac:dyDescent="0.3">
      <c r="A26" s="184" t="s">
        <v>936</v>
      </c>
      <c r="B26">
        <v>1000</v>
      </c>
    </row>
    <row r="28" spans="1:7" x14ac:dyDescent="0.3">
      <c r="A28" t="s">
        <v>727</v>
      </c>
      <c r="B28" s="86">
        <f>B10</f>
        <v>0.18003460677684546</v>
      </c>
    </row>
    <row r="29" spans="1:7" x14ac:dyDescent="0.3">
      <c r="A29" t="s">
        <v>733</v>
      </c>
      <c r="B29" s="15">
        <f>B26*B2</f>
        <v>30200</v>
      </c>
    </row>
    <row r="30" spans="1:7" x14ac:dyDescent="0.3">
      <c r="A30" t="s">
        <v>729</v>
      </c>
      <c r="B30" s="86">
        <f>B22</f>
        <v>0.10000202377975009</v>
      </c>
    </row>
    <row r="31" spans="1:7" x14ac:dyDescent="0.3">
      <c r="A31" t="s">
        <v>734</v>
      </c>
      <c r="B31" s="15">
        <f>B15</f>
        <v>1037.9000000000001</v>
      </c>
    </row>
    <row r="32" spans="1:7" x14ac:dyDescent="0.3">
      <c r="A32" t="s">
        <v>1073</v>
      </c>
      <c r="B32" s="37">
        <v>0.34</v>
      </c>
    </row>
    <row r="33" spans="1:4" x14ac:dyDescent="0.3">
      <c r="A33" s="1" t="s">
        <v>730</v>
      </c>
      <c r="B33" s="115">
        <f>(B28*B29+B30*(1-B32)*B31)/(B29+B31)</f>
        <v>0.17624577551558185</v>
      </c>
      <c r="C33" s="85"/>
    </row>
    <row r="35" spans="1:4" x14ac:dyDescent="0.3">
      <c r="A35" s="12" t="s">
        <v>208</v>
      </c>
    </row>
    <row r="36" spans="1:4" x14ac:dyDescent="0.3">
      <c r="B36" s="105" t="s">
        <v>938</v>
      </c>
      <c r="C36" s="105" t="s">
        <v>111</v>
      </c>
    </row>
    <row r="37" spans="1:4" ht="27" x14ac:dyDescent="0.3">
      <c r="A37" s="184" t="s">
        <v>937</v>
      </c>
      <c r="B37" s="15">
        <v>10000</v>
      </c>
      <c r="C37" s="15">
        <v>1000</v>
      </c>
    </row>
    <row r="38" spans="1:4" x14ac:dyDescent="0.3">
      <c r="A38" s="184" t="s">
        <v>590</v>
      </c>
      <c r="B38" s="15">
        <v>12000</v>
      </c>
      <c r="C38" s="15">
        <v>1000</v>
      </c>
    </row>
    <row r="39" spans="1:4" ht="27" x14ac:dyDescent="0.3">
      <c r="A39" s="184" t="s">
        <v>941</v>
      </c>
      <c r="B39" s="15">
        <v>1800</v>
      </c>
      <c r="C39" s="15">
        <v>100</v>
      </c>
    </row>
    <row r="41" spans="1:4" x14ac:dyDescent="0.3">
      <c r="A41" s="161" t="s">
        <v>942</v>
      </c>
      <c r="D41" s="1" t="s">
        <v>1107</v>
      </c>
    </row>
    <row r="42" spans="1:4" x14ac:dyDescent="0.3">
      <c r="B42" s="86">
        <f>B39/B38</f>
        <v>0.15</v>
      </c>
      <c r="C42" s="86">
        <f>C39/C38</f>
        <v>0.1</v>
      </c>
      <c r="D42" s="87">
        <f>SUM(B39:C39)/SUM(B38:C38)</f>
        <v>0.14615384615384616</v>
      </c>
    </row>
    <row r="44" spans="1:4" x14ac:dyDescent="0.3">
      <c r="A44" s="12" t="s">
        <v>222</v>
      </c>
    </row>
    <row r="45" spans="1:4" x14ac:dyDescent="0.3">
      <c r="A45" t="s">
        <v>943</v>
      </c>
      <c r="B45">
        <v>100</v>
      </c>
    </row>
    <row r="46" spans="1:4" x14ac:dyDescent="0.3">
      <c r="A46" t="s">
        <v>944</v>
      </c>
      <c r="B46">
        <v>26</v>
      </c>
    </row>
    <row r="47" spans="1:4" x14ac:dyDescent="0.3">
      <c r="A47" t="s">
        <v>237</v>
      </c>
      <c r="B47" s="37">
        <v>0.5</v>
      </c>
    </row>
    <row r="48" spans="1:4" x14ac:dyDescent="0.3">
      <c r="A48" s="161" t="s">
        <v>945</v>
      </c>
    </row>
    <row r="49" spans="1:4" ht="20" x14ac:dyDescent="0.3">
      <c r="B49" s="66" t="s">
        <v>946</v>
      </c>
      <c r="C49" s="66" t="s">
        <v>947</v>
      </c>
      <c r="D49" s="66" t="s">
        <v>948</v>
      </c>
    </row>
    <row r="50" spans="1:4" x14ac:dyDescent="0.3">
      <c r="A50" t="s">
        <v>938</v>
      </c>
      <c r="B50" s="37">
        <v>0.6</v>
      </c>
      <c r="C50" s="37">
        <v>0.24</v>
      </c>
      <c r="D50" s="37">
        <v>0.24</v>
      </c>
    </row>
    <row r="51" spans="1:4" x14ac:dyDescent="0.3">
      <c r="A51" t="s">
        <v>111</v>
      </c>
      <c r="B51" s="37">
        <v>0.4</v>
      </c>
      <c r="C51" s="37">
        <v>0.16</v>
      </c>
      <c r="D51" s="37">
        <v>0.08</v>
      </c>
    </row>
    <row r="52" spans="1:4" x14ac:dyDescent="0.3">
      <c r="B52" s="37"/>
      <c r="C52" s="37"/>
      <c r="D52" s="37"/>
    </row>
    <row r="53" spans="1:4" x14ac:dyDescent="0.3">
      <c r="A53" t="s">
        <v>938</v>
      </c>
      <c r="B53" s="15"/>
      <c r="C53" s="15">
        <f>B46-C54</f>
        <v>19.600000000000001</v>
      </c>
      <c r="D53" s="15">
        <f>C53*(1-B47)</f>
        <v>9.8000000000000007</v>
      </c>
    </row>
    <row r="54" spans="1:4" x14ac:dyDescent="0.3">
      <c r="A54" t="s">
        <v>111</v>
      </c>
      <c r="B54" s="15">
        <f>B45*B51</f>
        <v>40</v>
      </c>
      <c r="C54" s="15">
        <f>B54*C51</f>
        <v>6.4</v>
      </c>
      <c r="D54" s="15">
        <f>C54</f>
        <v>6.4</v>
      </c>
    </row>
    <row r="55" spans="1:4" x14ac:dyDescent="0.3">
      <c r="A55" t="s">
        <v>518</v>
      </c>
      <c r="B55" s="37"/>
      <c r="C55" s="15">
        <f>SUM(C53:C54)</f>
        <v>26</v>
      </c>
      <c r="D55" s="15">
        <f>SUM(D53:D54)</f>
        <v>16.200000000000003</v>
      </c>
    </row>
    <row r="57" spans="1:4" x14ac:dyDescent="0.3">
      <c r="A57" s="161" t="s">
        <v>640</v>
      </c>
    </row>
    <row r="58" spans="1:4" x14ac:dyDescent="0.3">
      <c r="A58" t="s">
        <v>863</v>
      </c>
      <c r="B58">
        <v>0</v>
      </c>
      <c r="C58">
        <v>0</v>
      </c>
    </row>
    <row r="59" spans="1:4" x14ac:dyDescent="0.3">
      <c r="A59" t="s">
        <v>949</v>
      </c>
      <c r="B59" s="15">
        <f>-B$45</f>
        <v>-100</v>
      </c>
      <c r="C59" s="15">
        <f>SUM($C53:$C54)/B60</f>
        <v>125</v>
      </c>
    </row>
    <row r="60" spans="1:4" x14ac:dyDescent="0.3">
      <c r="A60" s="1" t="s">
        <v>730</v>
      </c>
      <c r="B60" s="143">
        <f>B50*C50+B51*C51</f>
        <v>0.20799999999999999</v>
      </c>
      <c r="C60" s="158"/>
    </row>
    <row r="61" spans="1:4" x14ac:dyDescent="0.3">
      <c r="A61" s="1" t="s">
        <v>924</v>
      </c>
      <c r="B61" s="90">
        <f>SUMPRODUCT(B59:C59,POWER(1+B60,-B58:C58))</f>
        <v>25</v>
      </c>
      <c r="C61" s="158"/>
    </row>
    <row r="62" spans="1:4" x14ac:dyDescent="0.3">
      <c r="C62" s="158"/>
    </row>
    <row r="63" spans="1:4" x14ac:dyDescent="0.3">
      <c r="A63" t="s">
        <v>950</v>
      </c>
      <c r="B63" s="15">
        <f>-B$45</f>
        <v>-100</v>
      </c>
      <c r="C63" s="15">
        <f>B46*(1-B47)/B64</f>
        <v>73.863636363636374</v>
      </c>
    </row>
    <row r="64" spans="1:4" x14ac:dyDescent="0.3">
      <c r="A64" s="1" t="s">
        <v>730</v>
      </c>
      <c r="B64" s="143">
        <f>B50*D50+B51*D51</f>
        <v>0.17599999999999999</v>
      </c>
    </row>
    <row r="65" spans="1:4" x14ac:dyDescent="0.3">
      <c r="A65" s="1" t="s">
        <v>925</v>
      </c>
      <c r="B65" s="90">
        <f>B63+C63</f>
        <v>-26.136363636363626</v>
      </c>
    </row>
    <row r="67" spans="1:4" x14ac:dyDescent="0.3">
      <c r="A67" s="12" t="s">
        <v>951</v>
      </c>
    </row>
    <row r="68" spans="1:4" ht="20" x14ac:dyDescent="0.3">
      <c r="A68" s="473"/>
      <c r="B68" s="494" t="s">
        <v>1618</v>
      </c>
      <c r="C68" s="494" t="s">
        <v>952</v>
      </c>
      <c r="D68" s="494" t="s">
        <v>953</v>
      </c>
    </row>
    <row r="69" spans="1:4" ht="27" x14ac:dyDescent="0.3">
      <c r="A69" s="184" t="s">
        <v>954</v>
      </c>
      <c r="B69" s="15">
        <v>2160</v>
      </c>
      <c r="C69" s="15">
        <v>18500</v>
      </c>
      <c r="D69" s="15">
        <v>632</v>
      </c>
    </row>
    <row r="70" spans="1:4" x14ac:dyDescent="0.3">
      <c r="A70" s="184" t="s">
        <v>938</v>
      </c>
      <c r="B70" s="15">
        <v>1580</v>
      </c>
      <c r="C70" s="15">
        <v>10512</v>
      </c>
      <c r="D70" s="15">
        <v>824</v>
      </c>
    </row>
    <row r="71" spans="1:4" x14ac:dyDescent="0.3">
      <c r="A71" s="192" t="s">
        <v>111</v>
      </c>
      <c r="B71" s="30">
        <v>812</v>
      </c>
      <c r="C71" s="30">
        <v>-12</v>
      </c>
      <c r="D71" s="30">
        <v>1356</v>
      </c>
    </row>
    <row r="72" spans="1:4" x14ac:dyDescent="0.3">
      <c r="A72" s="184" t="s">
        <v>910</v>
      </c>
      <c r="B72" s="15">
        <v>22210</v>
      </c>
      <c r="C72" s="15">
        <v>23724</v>
      </c>
      <c r="D72" s="15">
        <v>701</v>
      </c>
    </row>
    <row r="73" spans="1:4" x14ac:dyDescent="0.3">
      <c r="A73" s="184" t="s">
        <v>955</v>
      </c>
      <c r="B73" s="15">
        <v>405</v>
      </c>
      <c r="C73" s="15">
        <v>1625</v>
      </c>
      <c r="D73" s="15">
        <v>82</v>
      </c>
    </row>
    <row r="74" spans="1:4" x14ac:dyDescent="0.3">
      <c r="A74" s="192" t="s">
        <v>1221</v>
      </c>
      <c r="B74" s="30">
        <v>226</v>
      </c>
      <c r="C74" s="30">
        <v>1057</v>
      </c>
      <c r="D74" s="30">
        <v>-24</v>
      </c>
    </row>
    <row r="75" spans="1:4" x14ac:dyDescent="0.3">
      <c r="A75" s="184" t="s">
        <v>957</v>
      </c>
      <c r="B75">
        <v>0.8</v>
      </c>
      <c r="C75">
        <v>0.5</v>
      </c>
      <c r="D75">
        <v>1.2</v>
      </c>
    </row>
    <row r="76" spans="1:4" x14ac:dyDescent="0.3">
      <c r="A76" s="192" t="s">
        <v>956</v>
      </c>
      <c r="B76" s="25">
        <v>0.1</v>
      </c>
      <c r="C76" s="25">
        <v>0</v>
      </c>
      <c r="D76" s="25">
        <v>0.3</v>
      </c>
    </row>
    <row r="77" spans="1:4" x14ac:dyDescent="0.3">
      <c r="A77" s="184" t="s">
        <v>237</v>
      </c>
      <c r="B77" s="37">
        <v>0.35</v>
      </c>
      <c r="C77" s="37">
        <v>0.35</v>
      </c>
      <c r="D77" s="37">
        <v>0.35</v>
      </c>
    </row>
    <row r="79" spans="1:4" x14ac:dyDescent="0.3">
      <c r="A79" s="184" t="s">
        <v>958</v>
      </c>
      <c r="B79" s="83">
        <v>6.5000000000000002E-2</v>
      </c>
    </row>
    <row r="80" spans="1:4" x14ac:dyDescent="0.3">
      <c r="A80" s="184" t="s">
        <v>959</v>
      </c>
      <c r="B80" s="83">
        <v>0.11</v>
      </c>
    </row>
    <row r="82" spans="1:5" x14ac:dyDescent="0.3">
      <c r="A82" s="25"/>
      <c r="B82" s="25"/>
      <c r="C82" s="25"/>
      <c r="D82" s="25"/>
      <c r="E82" s="121" t="s">
        <v>960</v>
      </c>
    </row>
    <row r="83" spans="1:5" x14ac:dyDescent="0.3">
      <c r="A83" t="s">
        <v>727</v>
      </c>
      <c r="B83" s="84">
        <f>$B79+B75*($B80-$B79)</f>
        <v>0.10100000000000001</v>
      </c>
      <c r="C83" s="84">
        <f>$B79+C75*($B80-$B79)</f>
        <v>8.7499999999999994E-2</v>
      </c>
      <c r="D83" s="84">
        <f>$B79+D75*($B80-$B79)</f>
        <v>0.11899999999999999</v>
      </c>
      <c r="E83" s="195">
        <f>SUMPRODUCT(B83:D83,B69:D69)/SUM(B69:D69)</f>
        <v>8.9804527522074032E-2</v>
      </c>
    </row>
    <row r="84" spans="1:5" x14ac:dyDescent="0.3">
      <c r="A84" t="s">
        <v>729</v>
      </c>
      <c r="B84" s="84">
        <f>($B79+B76*($B80-$B79))*(1-B77)</f>
        <v>4.5175000000000007E-2</v>
      </c>
      <c r="C84" s="84">
        <f>($B79+C76*($B80-$B79))*(1-C77)</f>
        <v>4.2250000000000003E-2</v>
      </c>
      <c r="D84" s="84">
        <f>($B79+D76*($B80-$B79))*(1-D77)</f>
        <v>5.1025000000000001E-2</v>
      </c>
      <c r="E84" s="196">
        <f>SUMPRODUCT(B84:D84,B71:D71)/SUM(B71:D71)</f>
        <v>4.887059369202227E-2</v>
      </c>
    </row>
    <row r="85" spans="1:5" x14ac:dyDescent="0.3">
      <c r="A85" s="1" t="s">
        <v>730</v>
      </c>
      <c r="B85" s="84">
        <f>(B83*B69+B84*B71)/(B69+B71)</f>
        <v>8.5747678331090177E-2</v>
      </c>
      <c r="C85" s="84">
        <f>(C83*C69+C84*C71)/(C69+C71)</f>
        <v>8.7529370402423187E-2</v>
      </c>
      <c r="D85" s="84">
        <f>(D83*D69+D84*D71)/(D69+D71)</f>
        <v>7.263475855130784E-2</v>
      </c>
      <c r="E85" s="197">
        <f>SUMPRODUCT(B85:D85,B69:D69+B71:D71)/SUM(B69:D69,B71:D71)</f>
        <v>8.6040728420334361E-2</v>
      </c>
    </row>
    <row r="90" spans="1:5" x14ac:dyDescent="0.3">
      <c r="A90" s="193"/>
    </row>
    <row r="91" spans="1:5" x14ac:dyDescent="0.3">
      <c r="A91" s="191"/>
      <c r="B91" s="84"/>
      <c r="C91" s="84"/>
      <c r="D91" s="84"/>
    </row>
    <row r="93" spans="1:5" x14ac:dyDescent="0.3">
      <c r="A93" s="191"/>
    </row>
    <row r="94" spans="1:5" x14ac:dyDescent="0.3">
      <c r="A94" s="194"/>
      <c r="B94" s="93"/>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headerFooter alignWithMargins="0">
    <oddFooter>&amp;L&amp;"Verdana,Italique"&amp;9&amp;F - &amp;A&amp;C&amp;P / &amp;N&amp;R&amp;"Verdana,Italique"&amp;9&amp;D - &amp;T</oddFooter>
  </headerFooter>
  <ignoredErrors>
    <ignoredError sqref="B10" formulaRange="1"/>
  </ignoredErrors>
  <drawing r:id="rId1"/>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dimension ref="A1:D16"/>
  <sheetViews>
    <sheetView showGridLines="0" workbookViewId="0">
      <selection activeCell="K27" sqref="K27"/>
    </sheetView>
  </sheetViews>
  <sheetFormatPr baseColWidth="10" defaultRowHeight="13.5" x14ac:dyDescent="0.3"/>
  <cols>
    <col min="1" max="1" width="16.61328125" customWidth="1"/>
  </cols>
  <sheetData>
    <row r="1" spans="1:4" x14ac:dyDescent="0.3">
      <c r="A1" s="33" t="s">
        <v>1165</v>
      </c>
    </row>
    <row r="2" spans="1:4" x14ac:dyDescent="0.3">
      <c r="A2" s="184" t="s">
        <v>961</v>
      </c>
      <c r="B2" s="5">
        <v>-2.5</v>
      </c>
      <c r="C2" t="s">
        <v>819</v>
      </c>
    </row>
    <row r="3" spans="1:4" x14ac:dyDescent="0.3">
      <c r="A3" s="184" t="s">
        <v>962</v>
      </c>
      <c r="B3" s="5">
        <v>5</v>
      </c>
      <c r="C3" t="s">
        <v>819</v>
      </c>
    </row>
    <row r="4" spans="1:4" x14ac:dyDescent="0.3">
      <c r="A4" s="184"/>
    </row>
    <row r="5" spans="1:4" x14ac:dyDescent="0.3">
      <c r="A5" s="186" t="s">
        <v>569</v>
      </c>
      <c r="B5" s="93">
        <v>0.14869806393960094</v>
      </c>
    </row>
    <row r="6" spans="1:4" x14ac:dyDescent="0.3">
      <c r="A6" s="184" t="s">
        <v>519</v>
      </c>
      <c r="B6" s="5">
        <f>B2+B3*POWER(1+B5,-5)</f>
        <v>3.1672550715455827E-6</v>
      </c>
    </row>
    <row r="7" spans="1:4" x14ac:dyDescent="0.3">
      <c r="A7" s="184"/>
    </row>
    <row r="8" spans="1:4" x14ac:dyDescent="0.3">
      <c r="A8" s="184" t="s">
        <v>962</v>
      </c>
      <c r="B8" s="5">
        <v>5</v>
      </c>
      <c r="C8" t="s">
        <v>819</v>
      </c>
    </row>
    <row r="9" spans="1:4" x14ac:dyDescent="0.3">
      <c r="A9" s="184" t="s">
        <v>569</v>
      </c>
      <c r="B9" s="198">
        <v>0.2</v>
      </c>
    </row>
    <row r="10" spans="1:4" x14ac:dyDescent="0.3">
      <c r="A10" s="184" t="s">
        <v>519</v>
      </c>
      <c r="B10" s="5">
        <f>B12+B8*POWER(1+B9,-5)</f>
        <v>0</v>
      </c>
    </row>
    <row r="11" spans="1:4" x14ac:dyDescent="0.3">
      <c r="A11" s="184"/>
    </row>
    <row r="12" spans="1:4" ht="27" x14ac:dyDescent="0.3">
      <c r="A12" s="186" t="s">
        <v>964</v>
      </c>
      <c r="B12" s="141">
        <v>-2.0093878600823043</v>
      </c>
      <c r="C12" s="1" t="s">
        <v>819</v>
      </c>
      <c r="D12" t="s">
        <v>963</v>
      </c>
    </row>
    <row r="15" spans="1:4" x14ac:dyDescent="0.3">
      <c r="A15" s="33" t="s">
        <v>43</v>
      </c>
    </row>
    <row r="16" spans="1:4" x14ac:dyDescent="0.3">
      <c r="A16" s="33" t="s">
        <v>1166</v>
      </c>
    </row>
  </sheetData>
  <phoneticPr fontId="4" type="noConversion"/>
  <pageMargins left="0.78740157480314965" right="0.78740157480314965" top="0.98425196850393704" bottom="0.98425196850393704" header="0.51181102362204722" footer="0.51181102362204722"/>
  <pageSetup paperSize="9"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dimension ref="A1:H85"/>
  <sheetViews>
    <sheetView showGridLines="0" workbookViewId="0"/>
  </sheetViews>
  <sheetFormatPr baseColWidth="10" defaultRowHeight="13.5" x14ac:dyDescent="0.3"/>
  <cols>
    <col min="1" max="1" width="29.15234375" bestFit="1" customWidth="1"/>
    <col min="2" max="2" width="11.15234375" bestFit="1" customWidth="1"/>
  </cols>
  <sheetData>
    <row r="1" spans="1:8" x14ac:dyDescent="0.3">
      <c r="A1" s="33" t="s">
        <v>1243</v>
      </c>
    </row>
    <row r="2" spans="1:8" s="207" customFormat="1" ht="11.5" x14ac:dyDescent="0.3"/>
    <row r="3" spans="1:8" x14ac:dyDescent="0.3">
      <c r="A3" t="s">
        <v>684</v>
      </c>
      <c r="B3" s="361">
        <v>120</v>
      </c>
      <c r="C3" s="361">
        <v>120</v>
      </c>
      <c r="D3" s="291"/>
      <c r="E3" s="291"/>
      <c r="F3" s="291"/>
      <c r="G3" s="291"/>
      <c r="H3" s="291"/>
    </row>
    <row r="5" spans="1:8" x14ac:dyDescent="0.3">
      <c r="A5" t="s">
        <v>1043</v>
      </c>
      <c r="B5">
        <v>21</v>
      </c>
      <c r="C5">
        <v>14</v>
      </c>
    </row>
    <row r="6" spans="1:8" x14ac:dyDescent="0.3">
      <c r="A6" t="s">
        <v>666</v>
      </c>
      <c r="B6" s="605">
        <v>30</v>
      </c>
      <c r="C6" s="605"/>
    </row>
    <row r="7" spans="1:8" x14ac:dyDescent="0.3">
      <c r="A7" t="s">
        <v>1077</v>
      </c>
      <c r="B7">
        <f>+B5*B6</f>
        <v>630</v>
      </c>
      <c r="C7">
        <f>+C5*B6</f>
        <v>420</v>
      </c>
    </row>
    <row r="8" spans="1:8" x14ac:dyDescent="0.3">
      <c r="A8" t="s">
        <v>1092</v>
      </c>
      <c r="B8">
        <v>5</v>
      </c>
      <c r="C8">
        <v>5</v>
      </c>
    </row>
    <row r="10" spans="1:8" x14ac:dyDescent="0.3">
      <c r="A10" t="s">
        <v>487</v>
      </c>
      <c r="B10" s="37">
        <v>0.25</v>
      </c>
      <c r="C10" s="37">
        <v>0.25</v>
      </c>
    </row>
    <row r="12" spans="1:8" x14ac:dyDescent="0.3">
      <c r="A12" s="1" t="s">
        <v>491</v>
      </c>
      <c r="B12" s="125">
        <f>-B3+(B7)*POWER(1+B10,-B8)</f>
        <v>86.43840000000003</v>
      </c>
      <c r="C12" s="125">
        <f>-C3+(C7)*POWER(1+C10,-C8)</f>
        <v>17.62560000000002</v>
      </c>
    </row>
    <row r="15" spans="1:8" x14ac:dyDescent="0.3">
      <c r="A15" s="33" t="s">
        <v>674</v>
      </c>
    </row>
    <row r="16" spans="1:8" x14ac:dyDescent="0.3">
      <c r="A16" t="s">
        <v>531</v>
      </c>
      <c r="B16" s="127">
        <v>1</v>
      </c>
      <c r="C16" s="127">
        <v>2</v>
      </c>
      <c r="D16" s="127">
        <v>3</v>
      </c>
      <c r="E16" s="127">
        <v>4</v>
      </c>
      <c r="F16" s="127">
        <v>5</v>
      </c>
      <c r="G16" s="127"/>
    </row>
    <row r="17" spans="1:6" x14ac:dyDescent="0.3">
      <c r="A17" t="s">
        <v>910</v>
      </c>
      <c r="B17">
        <v>3960</v>
      </c>
      <c r="C17">
        <v>4080</v>
      </c>
      <c r="D17">
        <v>4200</v>
      </c>
      <c r="E17">
        <v>4326</v>
      </c>
      <c r="F17">
        <v>4458</v>
      </c>
    </row>
    <row r="18" spans="1:6" x14ac:dyDescent="0.3">
      <c r="A18" t="s">
        <v>1093</v>
      </c>
      <c r="B18">
        <v>1782</v>
      </c>
      <c r="C18">
        <v>1794</v>
      </c>
      <c r="D18">
        <v>1806</v>
      </c>
      <c r="E18">
        <v>1860</v>
      </c>
      <c r="F18">
        <v>1917</v>
      </c>
    </row>
    <row r="19" spans="1:6" x14ac:dyDescent="0.3">
      <c r="A19" t="s">
        <v>1105</v>
      </c>
      <c r="B19">
        <v>870</v>
      </c>
      <c r="C19">
        <v>897</v>
      </c>
      <c r="D19">
        <v>924</v>
      </c>
      <c r="E19">
        <v>996</v>
      </c>
      <c r="F19">
        <v>1026</v>
      </c>
    </row>
    <row r="20" spans="1:6" x14ac:dyDescent="0.3">
      <c r="A20" t="s">
        <v>1362</v>
      </c>
      <c r="B20">
        <v>396</v>
      </c>
      <c r="C20">
        <v>408</v>
      </c>
      <c r="D20">
        <v>420</v>
      </c>
      <c r="E20">
        <v>432</v>
      </c>
      <c r="F20">
        <v>447</v>
      </c>
    </row>
    <row r="21" spans="1:6" x14ac:dyDescent="0.3">
      <c r="A21" t="s">
        <v>105</v>
      </c>
      <c r="B21">
        <v>912</v>
      </c>
      <c r="C21">
        <v>981</v>
      </c>
      <c r="D21">
        <v>1050</v>
      </c>
      <c r="E21">
        <v>1038</v>
      </c>
      <c r="F21">
        <v>1068</v>
      </c>
    </row>
    <row r="22" spans="1:6" x14ac:dyDescent="0.3">
      <c r="A22" t="s">
        <v>1156</v>
      </c>
      <c r="B22">
        <v>330</v>
      </c>
      <c r="C22">
        <v>315</v>
      </c>
      <c r="D22">
        <v>300</v>
      </c>
      <c r="E22">
        <v>300</v>
      </c>
      <c r="F22">
        <v>300</v>
      </c>
    </row>
    <row r="23" spans="1:6" x14ac:dyDescent="0.3">
      <c r="A23" t="s">
        <v>1184</v>
      </c>
      <c r="B23">
        <f>B21-B22</f>
        <v>582</v>
      </c>
      <c r="C23">
        <f>C21-C22</f>
        <v>666</v>
      </c>
      <c r="D23">
        <f>D21-D22</f>
        <v>750</v>
      </c>
      <c r="E23">
        <f>E21-E22</f>
        <v>738</v>
      </c>
      <c r="F23">
        <f>F21-F22</f>
        <v>768</v>
      </c>
    </row>
    <row r="25" spans="1:6" x14ac:dyDescent="0.3">
      <c r="A25" t="s">
        <v>287</v>
      </c>
      <c r="B25">
        <v>300</v>
      </c>
      <c r="C25">
        <v>300</v>
      </c>
      <c r="D25">
        <v>300</v>
      </c>
      <c r="E25">
        <v>300</v>
      </c>
      <c r="F25">
        <v>300</v>
      </c>
    </row>
    <row r="26" spans="1:6" x14ac:dyDescent="0.3">
      <c r="A26" s="10" t="s">
        <v>234</v>
      </c>
      <c r="B26">
        <v>50</v>
      </c>
      <c r="C26">
        <v>50</v>
      </c>
    </row>
    <row r="27" spans="1:6" x14ac:dyDescent="0.3">
      <c r="A27" s="10"/>
    </row>
    <row r="28" spans="1:6" x14ac:dyDescent="0.3">
      <c r="A28" s="10" t="s">
        <v>147</v>
      </c>
    </row>
    <row r="29" spans="1:6" x14ac:dyDescent="0.3">
      <c r="A29" s="10" t="s">
        <v>938</v>
      </c>
      <c r="B29" s="37">
        <f>2/3</f>
        <v>0.66666666666666663</v>
      </c>
    </row>
    <row r="30" spans="1:6" x14ac:dyDescent="0.3">
      <c r="A30" s="10" t="s">
        <v>111</v>
      </c>
      <c r="B30" s="37">
        <f>1-B29</f>
        <v>0.33333333333333337</v>
      </c>
    </row>
    <row r="31" spans="1:6" x14ac:dyDescent="0.3">
      <c r="A31" t="s">
        <v>727</v>
      </c>
      <c r="B31" s="37">
        <v>0.1</v>
      </c>
      <c r="C31" s="37"/>
      <c r="D31" s="37"/>
      <c r="E31" s="37"/>
      <c r="F31" s="37"/>
    </row>
    <row r="32" spans="1:6" x14ac:dyDescent="0.3">
      <c r="A32" t="s">
        <v>729</v>
      </c>
      <c r="B32" s="37">
        <v>0.06</v>
      </c>
      <c r="C32" s="37"/>
      <c r="D32" s="37"/>
      <c r="E32" s="37"/>
      <c r="F32" s="37"/>
    </row>
    <row r="33" spans="1:7" x14ac:dyDescent="0.3">
      <c r="A33" s="1" t="s">
        <v>730</v>
      </c>
      <c r="B33" s="143">
        <f>B31*B29+B32*(1-B35)*B30</f>
        <v>7.9266666666666666E-2</v>
      </c>
      <c r="C33" s="83"/>
      <c r="D33" s="83"/>
      <c r="E33" s="83"/>
      <c r="F33" s="83"/>
    </row>
    <row r="35" spans="1:7" x14ac:dyDescent="0.3">
      <c r="A35" t="s">
        <v>1044</v>
      </c>
      <c r="B35" s="37">
        <v>0.37</v>
      </c>
      <c r="C35" s="37"/>
      <c r="D35" s="37"/>
      <c r="E35" s="37"/>
      <c r="F35" s="37"/>
    </row>
    <row r="36" spans="1:7" x14ac:dyDescent="0.3">
      <c r="A36" t="s">
        <v>148</v>
      </c>
      <c r="B36" s="37">
        <v>0.02</v>
      </c>
    </row>
    <row r="37" spans="1:7" x14ac:dyDescent="0.3">
      <c r="B37" s="37"/>
    </row>
    <row r="38" spans="1:7" x14ac:dyDescent="0.3">
      <c r="B38" s="127">
        <v>1</v>
      </c>
      <c r="C38" s="127">
        <v>2</v>
      </c>
      <c r="D38" s="127">
        <v>3</v>
      </c>
      <c r="E38" s="127">
        <v>4</v>
      </c>
      <c r="F38" s="127">
        <v>5</v>
      </c>
      <c r="G38" s="127" t="s">
        <v>155</v>
      </c>
    </row>
    <row r="39" spans="1:7" x14ac:dyDescent="0.3">
      <c r="B39" s="83"/>
      <c r="C39" s="83"/>
      <c r="D39" s="83"/>
      <c r="E39" s="83"/>
      <c r="F39" s="83"/>
    </row>
    <row r="40" spans="1:7" x14ac:dyDescent="0.3">
      <c r="A40" t="s">
        <v>105</v>
      </c>
      <c r="B40" s="77">
        <f>B21</f>
        <v>912</v>
      </c>
      <c r="C40" s="77">
        <f>C21</f>
        <v>981</v>
      </c>
      <c r="D40" s="77">
        <f>D21</f>
        <v>1050</v>
      </c>
      <c r="E40" s="77">
        <f>E21</f>
        <v>1038</v>
      </c>
      <c r="F40" s="77">
        <f>F21</f>
        <v>1068</v>
      </c>
    </row>
    <row r="41" spans="1:7" x14ac:dyDescent="0.3">
      <c r="A41" s="22" t="s">
        <v>146</v>
      </c>
      <c r="B41" s="77">
        <f>$B$35*B23</f>
        <v>215.34</v>
      </c>
      <c r="C41" s="77">
        <f>$B$35*C23</f>
        <v>246.42</v>
      </c>
      <c r="D41" s="77">
        <f>$B$35*D23</f>
        <v>277.5</v>
      </c>
      <c r="E41" s="77">
        <f>$B$35*E23</f>
        <v>273.06</v>
      </c>
      <c r="F41" s="77">
        <f>$B$35*F23</f>
        <v>284.15999999999997</v>
      </c>
    </row>
    <row r="42" spans="1:7" x14ac:dyDescent="0.3">
      <c r="A42" s="22" t="s">
        <v>851</v>
      </c>
      <c r="B42" s="77">
        <f t="shared" ref="B42:F43" si="0">B25</f>
        <v>300</v>
      </c>
      <c r="C42" s="77">
        <f t="shared" si="0"/>
        <v>300</v>
      </c>
      <c r="D42" s="77">
        <f t="shared" si="0"/>
        <v>300</v>
      </c>
      <c r="E42" s="77">
        <f t="shared" si="0"/>
        <v>300</v>
      </c>
      <c r="F42" s="77">
        <f t="shared" si="0"/>
        <v>300</v>
      </c>
    </row>
    <row r="43" spans="1:7" x14ac:dyDescent="0.3">
      <c r="A43" s="216" t="s">
        <v>1071</v>
      </c>
      <c r="B43" s="77">
        <f t="shared" si="0"/>
        <v>50</v>
      </c>
      <c r="C43" s="77">
        <f t="shared" si="0"/>
        <v>50</v>
      </c>
      <c r="D43" s="77">
        <f t="shared" si="0"/>
        <v>0</v>
      </c>
      <c r="E43" s="77">
        <f t="shared" si="0"/>
        <v>0</v>
      </c>
      <c r="F43" s="77">
        <f t="shared" si="0"/>
        <v>0</v>
      </c>
    </row>
    <row r="44" spans="1:7" x14ac:dyDescent="0.3">
      <c r="B44" s="25"/>
      <c r="C44" s="25"/>
      <c r="D44" s="25"/>
      <c r="E44" s="25"/>
      <c r="F44" s="25"/>
      <c r="G44" s="25"/>
    </row>
    <row r="45" spans="1:7" x14ac:dyDescent="0.3">
      <c r="A45" t="s">
        <v>253</v>
      </c>
      <c r="B45" s="107">
        <f>B40-B41-B42-B43</f>
        <v>346.65999999999997</v>
      </c>
      <c r="C45" s="107">
        <f>C40-C41-C42-C43</f>
        <v>384.58000000000004</v>
      </c>
      <c r="D45" s="107">
        <f>D40-D41-D42-D43</f>
        <v>472.5</v>
      </c>
      <c r="E45" s="107">
        <f>E40-E41-E42-E43</f>
        <v>464.94000000000005</v>
      </c>
      <c r="F45" s="107">
        <f>F40-F41-F42-F43</f>
        <v>483.84000000000003</v>
      </c>
      <c r="G45" s="107">
        <f>F45*(1+B36)</f>
        <v>493.51680000000005</v>
      </c>
    </row>
    <row r="46" spans="1:7" x14ac:dyDescent="0.3">
      <c r="A46" t="s">
        <v>149</v>
      </c>
      <c r="B46" s="77"/>
      <c r="C46" s="77"/>
      <c r="D46" s="77"/>
      <c r="E46" s="77"/>
      <c r="F46" s="107">
        <f>G45/(B33-B36)</f>
        <v>8327.0551181102383</v>
      </c>
      <c r="G46" s="77"/>
    </row>
    <row r="47" spans="1:7" x14ac:dyDescent="0.3">
      <c r="B47" s="77"/>
      <c r="C47" s="77"/>
      <c r="D47" s="77"/>
      <c r="E47" s="77"/>
      <c r="F47" s="77"/>
      <c r="G47" s="77"/>
    </row>
    <row r="48" spans="1:7" x14ac:dyDescent="0.3">
      <c r="A48" t="s">
        <v>480</v>
      </c>
      <c r="B48" s="77"/>
      <c r="C48" s="77"/>
      <c r="D48" s="77"/>
      <c r="E48" s="77"/>
      <c r="F48" s="77"/>
      <c r="G48" s="77"/>
    </row>
    <row r="49" spans="1:6" x14ac:dyDescent="0.3">
      <c r="A49" s="22" t="s">
        <v>152</v>
      </c>
      <c r="B49" s="107">
        <f>B45*POWER(1+$B$33,-B38)</f>
        <v>321.1995799617024</v>
      </c>
      <c r="C49" s="107">
        <f>C45*POWER(1+$B$33,-C38)</f>
        <v>330.16358158315376</v>
      </c>
      <c r="D49" s="107">
        <f>D45*POWER(1+$B$33,-D38)</f>
        <v>375.85083620660959</v>
      </c>
      <c r="E49" s="107">
        <f>E45*POWER(1+$B$33,-E38)</f>
        <v>342.6745532404446</v>
      </c>
      <c r="F49" s="107">
        <f>F45*POWER(1+$B$33,-F38)</f>
        <v>330.4136263465324</v>
      </c>
    </row>
    <row r="50" spans="1:6" x14ac:dyDescent="0.3">
      <c r="A50" s="22" t="s">
        <v>153</v>
      </c>
      <c r="B50" s="107">
        <f>F46*POWER(1+B33,-F38)</f>
        <v>5686.5337267738432</v>
      </c>
      <c r="C50" s="77"/>
      <c r="D50" s="77"/>
      <c r="E50" s="77"/>
      <c r="F50" s="77"/>
    </row>
    <row r="51" spans="1:6" x14ac:dyDescent="0.3">
      <c r="B51" s="107"/>
      <c r="C51" s="77"/>
      <c r="D51" s="77"/>
      <c r="E51" s="77"/>
      <c r="F51" s="77"/>
    </row>
    <row r="52" spans="1:6" x14ac:dyDescent="0.3">
      <c r="A52" s="1" t="s">
        <v>383</v>
      </c>
      <c r="B52" s="292">
        <f>SUM(B49:F49)+B50</f>
        <v>7386.8359041122858</v>
      </c>
    </row>
    <row r="53" spans="1:6" x14ac:dyDescent="0.3">
      <c r="A53" t="s">
        <v>150</v>
      </c>
      <c r="B53" s="107">
        <v>2250</v>
      </c>
    </row>
    <row r="54" spans="1:6" x14ac:dyDescent="0.3">
      <c r="A54" s="1" t="s">
        <v>151</v>
      </c>
      <c r="B54" s="292">
        <f>B52-B53</f>
        <v>5136.8359041122858</v>
      </c>
    </row>
    <row r="56" spans="1:6" x14ac:dyDescent="0.3">
      <c r="A56" s="33" t="s">
        <v>1244</v>
      </c>
    </row>
    <row r="58" spans="1:6" x14ac:dyDescent="0.3">
      <c r="A58" t="s">
        <v>154</v>
      </c>
      <c r="B58">
        <v>10</v>
      </c>
    </row>
    <row r="59" spans="1:6" x14ac:dyDescent="0.3">
      <c r="A59" t="s">
        <v>1095</v>
      </c>
      <c r="B59">
        <v>15</v>
      </c>
    </row>
    <row r="61" spans="1:6" x14ac:dyDescent="0.3">
      <c r="A61" t="s">
        <v>1696</v>
      </c>
      <c r="B61">
        <v>100</v>
      </c>
    </row>
    <row r="62" spans="1:6" x14ac:dyDescent="0.3">
      <c r="A62" t="s">
        <v>1697</v>
      </c>
      <c r="B62">
        <v>60</v>
      </c>
    </row>
    <row r="63" spans="1:6" x14ac:dyDescent="0.3">
      <c r="A63" t="s">
        <v>1698</v>
      </c>
      <c r="B63">
        <v>32</v>
      </c>
    </row>
    <row r="65" spans="1:3" x14ac:dyDescent="0.3">
      <c r="A65" s="1" t="s">
        <v>795</v>
      </c>
      <c r="B65" s="1">
        <f>B58*B62</f>
        <v>600</v>
      </c>
    </row>
    <row r="66" spans="1:3" x14ac:dyDescent="0.3">
      <c r="A66" s="1" t="s">
        <v>734</v>
      </c>
      <c r="B66" s="1">
        <f>B61</f>
        <v>100</v>
      </c>
    </row>
    <row r="67" spans="1:3" x14ac:dyDescent="0.3">
      <c r="A67" s="1" t="s">
        <v>733</v>
      </c>
      <c r="B67" s="1">
        <f>B65-B66</f>
        <v>500</v>
      </c>
    </row>
    <row r="68" spans="1:3" x14ac:dyDescent="0.3">
      <c r="A68" s="1"/>
      <c r="B68" s="1"/>
    </row>
    <row r="69" spans="1:3" x14ac:dyDescent="0.3">
      <c r="A69" s="1" t="s">
        <v>360</v>
      </c>
      <c r="B69" s="1"/>
    </row>
    <row r="70" spans="1:3" x14ac:dyDescent="0.3">
      <c r="A70" s="1" t="s">
        <v>733</v>
      </c>
      <c r="B70" s="1">
        <f>B59*B63</f>
        <v>480</v>
      </c>
    </row>
    <row r="72" spans="1:3" x14ac:dyDescent="0.3">
      <c r="A72" s="33" t="s">
        <v>1245</v>
      </c>
    </row>
    <row r="73" spans="1:3" x14ac:dyDescent="0.3">
      <c r="B73" s="105" t="s">
        <v>1249</v>
      </c>
    </row>
    <row r="74" spans="1:3" x14ac:dyDescent="0.3">
      <c r="A74" t="s">
        <v>1699</v>
      </c>
      <c r="B74" s="77">
        <v>14.8</v>
      </c>
    </row>
    <row r="75" spans="1:3" x14ac:dyDescent="0.3">
      <c r="A75" t="s">
        <v>1696</v>
      </c>
      <c r="B75" s="77">
        <v>12.3</v>
      </c>
    </row>
    <row r="77" spans="1:3" x14ac:dyDescent="0.3">
      <c r="A77" t="s">
        <v>1248</v>
      </c>
    </row>
    <row r="78" spans="1:3" x14ac:dyDescent="0.3">
      <c r="A78" t="s">
        <v>1246</v>
      </c>
      <c r="B78" s="86">
        <v>0.23300000000000001</v>
      </c>
      <c r="C78" t="s">
        <v>1247</v>
      </c>
    </row>
    <row r="79" spans="1:3" x14ac:dyDescent="0.3">
      <c r="A79" t="s">
        <v>954</v>
      </c>
      <c r="B79">
        <v>87.2</v>
      </c>
    </row>
    <row r="81" spans="1:3" x14ac:dyDescent="0.3">
      <c r="A81" t="s">
        <v>1700</v>
      </c>
      <c r="B81">
        <v>15</v>
      </c>
      <c r="C81" s="291" t="s">
        <v>458</v>
      </c>
    </row>
    <row r="83" spans="1:3" x14ac:dyDescent="0.3">
      <c r="A83" t="s">
        <v>458</v>
      </c>
      <c r="B83" t="s">
        <v>458</v>
      </c>
    </row>
    <row r="85" spans="1:3" x14ac:dyDescent="0.3">
      <c r="A85" s="1" t="s">
        <v>1250</v>
      </c>
      <c r="B85" s="125">
        <f>B81*B74-B75+B79*B78</f>
        <v>230.01759999999999</v>
      </c>
      <c r="C85" s="291" t="s">
        <v>458</v>
      </c>
    </row>
  </sheetData>
  <mergeCells count="1">
    <mergeCell ref="B6:C6"/>
  </mergeCells>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Z48"/>
  <sheetViews>
    <sheetView showGridLines="0" topLeftCell="A28" zoomScale="115" workbookViewId="0">
      <selection activeCell="B56" sqref="B56"/>
    </sheetView>
  </sheetViews>
  <sheetFormatPr baseColWidth="10" defaultRowHeight="13.5" x14ac:dyDescent="0.3"/>
  <cols>
    <col min="1" max="1" width="60.23046875" customWidth="1"/>
  </cols>
  <sheetData>
    <row r="1" spans="1:78" x14ac:dyDescent="0.3">
      <c r="A1" s="33" t="s">
        <v>1067</v>
      </c>
    </row>
    <row r="2" spans="1:78" x14ac:dyDescent="0.3">
      <c r="A2" s="2" t="s">
        <v>1110</v>
      </c>
      <c r="B2" s="4" t="s">
        <v>1342</v>
      </c>
      <c r="C2" s="4" t="s">
        <v>1343</v>
      </c>
      <c r="D2" s="4" t="s">
        <v>1344</v>
      </c>
      <c r="E2" s="4" t="s">
        <v>1354</v>
      </c>
    </row>
    <row r="3" spans="1:78" x14ac:dyDescent="0.3">
      <c r="A3" s="24" t="s">
        <v>1222</v>
      </c>
      <c r="B3" s="155">
        <v>0</v>
      </c>
      <c r="C3" s="155">
        <f>-'Chapitre 2'!F20-' Chapitre 3'!B74</f>
        <v>24</v>
      </c>
      <c r="D3" s="155">
        <f>C3-' Chapitre 3'!C74</f>
        <v>18</v>
      </c>
      <c r="E3" s="155">
        <f>D3-' Chapitre 3'!D74</f>
        <v>12</v>
      </c>
    </row>
    <row r="4" spans="1:78" x14ac:dyDescent="0.3">
      <c r="A4" s="26" t="s">
        <v>1104</v>
      </c>
      <c r="B4" s="65">
        <f>B5+B6</f>
        <v>0</v>
      </c>
      <c r="C4" s="65">
        <f>C5+C6</f>
        <v>14</v>
      </c>
      <c r="D4" s="65">
        <f>D5+D6</f>
        <v>14</v>
      </c>
      <c r="E4" s="65">
        <f>E5+E6</f>
        <v>14</v>
      </c>
    </row>
    <row r="5" spans="1:78" s="8" customFormat="1" ht="10" x14ac:dyDescent="0.3">
      <c r="A5" s="6" t="s">
        <v>1345</v>
      </c>
      <c r="B5" s="447">
        <v>0</v>
      </c>
      <c r="C5" s="152">
        <f>' Chapitre 3'!B68</f>
        <v>10</v>
      </c>
      <c r="D5" s="152">
        <f>C5</f>
        <v>10</v>
      </c>
      <c r="E5" s="152">
        <f>D5</f>
        <v>10</v>
      </c>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row>
    <row r="6" spans="1:78" s="8" customFormat="1" ht="10" x14ac:dyDescent="0.3">
      <c r="A6" s="6" t="s">
        <v>1346</v>
      </c>
      <c r="B6" s="447">
        <v>0</v>
      </c>
      <c r="C6" s="152">
        <v>4</v>
      </c>
      <c r="D6" s="152">
        <v>4</v>
      </c>
      <c r="E6" s="152">
        <v>4</v>
      </c>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row>
    <row r="7" spans="1:78" x14ac:dyDescent="0.3">
      <c r="A7" s="26" t="s">
        <v>1308</v>
      </c>
      <c r="B7" s="65">
        <v>0</v>
      </c>
      <c r="C7" s="65">
        <v>36</v>
      </c>
      <c r="D7" s="65">
        <f>C7</f>
        <v>36</v>
      </c>
      <c r="E7" s="65">
        <f>D7</f>
        <v>36</v>
      </c>
    </row>
    <row r="8" spans="1:78" x14ac:dyDescent="0.3">
      <c r="A8" s="26" t="s">
        <v>1309</v>
      </c>
      <c r="B8" s="65">
        <v>0</v>
      </c>
      <c r="C8" s="65">
        <f>52-'Chapitre 2'!C30+'Chapitre 2'!G17</f>
        <v>14</v>
      </c>
      <c r="D8" s="65">
        <f>C8</f>
        <v>14</v>
      </c>
      <c r="E8" s="65">
        <f>D8</f>
        <v>14</v>
      </c>
    </row>
    <row r="9" spans="1:78" x14ac:dyDescent="0.3">
      <c r="A9" s="27" t="s">
        <v>1310</v>
      </c>
      <c r="B9" s="65">
        <f>B4-B7+B8</f>
        <v>0</v>
      </c>
      <c r="C9" s="65">
        <f>C4+C7-C8</f>
        <v>36</v>
      </c>
      <c r="D9" s="65">
        <f>D4+D7-D8</f>
        <v>36</v>
      </c>
      <c r="E9" s="65">
        <f>E4+E7-E8</f>
        <v>36</v>
      </c>
    </row>
    <row r="10" spans="1:78" x14ac:dyDescent="0.3">
      <c r="A10" s="26" t="s">
        <v>1311</v>
      </c>
      <c r="B10" s="65">
        <v>0</v>
      </c>
      <c r="C10" s="65">
        <v>0</v>
      </c>
      <c r="D10" s="65">
        <v>0</v>
      </c>
      <c r="E10" s="65">
        <v>0</v>
      </c>
    </row>
    <row r="11" spans="1:78" x14ac:dyDescent="0.3">
      <c r="A11" s="28" t="s">
        <v>1312</v>
      </c>
      <c r="B11" s="155">
        <f>B9+B10</f>
        <v>0</v>
      </c>
      <c r="C11" s="155">
        <f>C9+C10</f>
        <v>36</v>
      </c>
      <c r="D11" s="155">
        <f>D9+D10</f>
        <v>36</v>
      </c>
      <c r="E11" s="155">
        <f>E9+E10</f>
        <v>36</v>
      </c>
    </row>
    <row r="12" spans="1:78" x14ac:dyDescent="0.3">
      <c r="A12" s="21" t="s">
        <v>1223</v>
      </c>
      <c r="B12" s="65">
        <f>B3+B11</f>
        <v>0</v>
      </c>
      <c r="C12" s="65">
        <f>C3+C11</f>
        <v>60</v>
      </c>
      <c r="D12" s="65">
        <f>D3+D11</f>
        <v>54</v>
      </c>
      <c r="E12" s="65">
        <f>E3+E11</f>
        <v>48</v>
      </c>
    </row>
    <row r="13" spans="1:78" x14ac:dyDescent="0.3">
      <c r="A13" s="3"/>
      <c r="B13" s="65"/>
      <c r="C13" s="70"/>
      <c r="D13" s="70"/>
      <c r="E13" s="70"/>
    </row>
    <row r="14" spans="1:78" x14ac:dyDescent="0.3">
      <c r="A14" s="1" t="s">
        <v>1224</v>
      </c>
      <c r="B14" s="65">
        <v>40</v>
      </c>
      <c r="C14" s="70">
        <f>B14+' Chapitre 3'!B79</f>
        <v>54.1</v>
      </c>
      <c r="D14" s="70">
        <f>C14+' Chapitre 3'!C79</f>
        <v>70.599999999999994</v>
      </c>
      <c r="E14" s="70">
        <f>D14+' Chapitre 3'!D79</f>
        <v>87.5</v>
      </c>
    </row>
    <row r="15" spans="1:78" x14ac:dyDescent="0.3">
      <c r="A15" s="25" t="s">
        <v>1225</v>
      </c>
      <c r="B15" s="155">
        <v>0</v>
      </c>
      <c r="C15" s="74"/>
      <c r="D15" s="74"/>
      <c r="E15" s="74"/>
    </row>
    <row r="16" spans="1:78" x14ac:dyDescent="0.3">
      <c r="A16" t="s">
        <v>1304</v>
      </c>
      <c r="B16" s="65">
        <v>0</v>
      </c>
      <c r="C16" s="65">
        <f>-SUM('Chapitre 2'!$C37:C37)</f>
        <v>16</v>
      </c>
      <c r="D16" s="65">
        <f>-SUM('Chapitre 2'!$C37:D37)</f>
        <v>12</v>
      </c>
      <c r="E16" s="65">
        <f>-SUM('Chapitre 2'!$C37:E37)</f>
        <v>8</v>
      </c>
    </row>
    <row r="17" spans="1:5" x14ac:dyDescent="0.3">
      <c r="A17" s="22" t="s">
        <v>1306</v>
      </c>
      <c r="B17" s="65">
        <v>0</v>
      </c>
      <c r="C17" s="65">
        <v>0</v>
      </c>
      <c r="D17" s="65">
        <v>0</v>
      </c>
      <c r="E17" s="65">
        <v>0</v>
      </c>
    </row>
    <row r="18" spans="1:5" x14ac:dyDescent="0.3">
      <c r="A18" s="22" t="s">
        <v>1305</v>
      </c>
      <c r="B18" s="65">
        <v>40</v>
      </c>
      <c r="C18" s="70">
        <f>B18+'Chapitre 2'!C39</f>
        <v>10.100000000000001</v>
      </c>
      <c r="D18" s="70">
        <f>C18+'Chapitre 2'!D39</f>
        <v>28.6</v>
      </c>
      <c r="E18" s="70">
        <f>D18+'Chapitre 2'!E39</f>
        <v>47.5</v>
      </c>
    </row>
    <row r="19" spans="1:5" x14ac:dyDescent="0.3">
      <c r="A19" s="29" t="s">
        <v>1313</v>
      </c>
      <c r="B19" s="155">
        <f>B16-B17-B18</f>
        <v>-40</v>
      </c>
      <c r="C19" s="74">
        <f>C16-C17-C18</f>
        <v>5.8999999999999986</v>
      </c>
      <c r="D19" s="74">
        <f>D16-D17-D18</f>
        <v>-16.600000000000001</v>
      </c>
      <c r="E19" s="74">
        <f>E16-E17-E18</f>
        <v>-39.5</v>
      </c>
    </row>
    <row r="20" spans="1:5" x14ac:dyDescent="0.3">
      <c r="A20" s="23" t="s">
        <v>1307</v>
      </c>
      <c r="B20" s="65">
        <f>B14+B19</f>
        <v>0</v>
      </c>
      <c r="C20" s="65">
        <f>C14+C19</f>
        <v>60</v>
      </c>
      <c r="D20" s="65">
        <f>D14+D19</f>
        <v>53.999999999999993</v>
      </c>
      <c r="E20" s="65">
        <f>E14+E19</f>
        <v>48</v>
      </c>
    </row>
    <row r="25" spans="1:5" x14ac:dyDescent="0.3">
      <c r="A25" s="33" t="s">
        <v>1484</v>
      </c>
    </row>
    <row r="26" spans="1:5" x14ac:dyDescent="0.3">
      <c r="A26" s="85" t="s">
        <v>1485</v>
      </c>
    </row>
    <row r="27" spans="1:5" x14ac:dyDescent="0.3">
      <c r="B27" s="85">
        <v>2015</v>
      </c>
      <c r="C27" s="448"/>
    </row>
    <row r="28" spans="1:5" x14ac:dyDescent="0.3">
      <c r="A28" s="538" t="s">
        <v>1486</v>
      </c>
      <c r="B28" s="310">
        <f>27309-1337</f>
        <v>25972</v>
      </c>
      <c r="C28" s="449"/>
    </row>
    <row r="29" spans="1:5" x14ac:dyDescent="0.3">
      <c r="A29" t="s">
        <v>1487</v>
      </c>
      <c r="B29" s="308">
        <v>5715</v>
      </c>
      <c r="C29" s="450"/>
    </row>
    <row r="30" spans="1:5" x14ac:dyDescent="0.3">
      <c r="A30" s="22" t="s">
        <v>1488</v>
      </c>
      <c r="B30" s="308">
        <v>4751</v>
      </c>
      <c r="C30" s="450"/>
    </row>
    <row r="31" spans="1:5" x14ac:dyDescent="0.3">
      <c r="A31" s="22" t="s">
        <v>1476</v>
      </c>
      <c r="B31" s="308">
        <f>296</f>
        <v>296</v>
      </c>
      <c r="C31" s="450"/>
    </row>
    <row r="32" spans="1:5" x14ac:dyDescent="0.3">
      <c r="A32" s="311" t="s">
        <v>1489</v>
      </c>
      <c r="B32" s="312">
        <f>SUM(B29:B31)</f>
        <v>10762</v>
      </c>
      <c r="C32" s="450"/>
    </row>
    <row r="33" spans="1:3" x14ac:dyDescent="0.3">
      <c r="A33" t="s">
        <v>1490</v>
      </c>
      <c r="B33" s="308">
        <v>5716</v>
      </c>
      <c r="C33" s="450"/>
    </row>
    <row r="34" spans="1:3" x14ac:dyDescent="0.3">
      <c r="A34" s="22" t="s">
        <v>1480</v>
      </c>
      <c r="B34" s="308">
        <f>454+150</f>
        <v>604</v>
      </c>
      <c r="C34" s="450"/>
    </row>
    <row r="35" spans="1:3" x14ac:dyDescent="0.3">
      <c r="A35" s="311" t="s">
        <v>1491</v>
      </c>
      <c r="B35" s="312">
        <f>SUM(B33:B34)</f>
        <v>6320</v>
      </c>
      <c r="C35" s="450"/>
    </row>
    <row r="36" spans="1:3" ht="27" x14ac:dyDescent="0.3">
      <c r="A36" s="27" t="s">
        <v>1492</v>
      </c>
      <c r="B36" s="309">
        <f>B32-B35</f>
        <v>4442</v>
      </c>
      <c r="C36" s="450"/>
    </row>
    <row r="37" spans="1:3" x14ac:dyDescent="0.3">
      <c r="A37" s="61" t="s">
        <v>1493</v>
      </c>
      <c r="B37" s="313" t="s">
        <v>290</v>
      </c>
      <c r="C37" s="451"/>
    </row>
    <row r="38" spans="1:3" x14ac:dyDescent="0.3">
      <c r="A38" s="89" t="s">
        <v>1494</v>
      </c>
      <c r="B38" s="310">
        <f>B36+B28</f>
        <v>30414</v>
      </c>
      <c r="C38" s="450"/>
    </row>
    <row r="39" spans="1:3" x14ac:dyDescent="0.3">
      <c r="B39" s="308"/>
      <c r="C39" s="450"/>
    </row>
    <row r="40" spans="1:3" x14ac:dyDescent="0.3">
      <c r="A40" s="538" t="s">
        <v>1495</v>
      </c>
      <c r="B40" s="310">
        <f>19320+466-1337</f>
        <v>18449</v>
      </c>
      <c r="C40" s="450"/>
    </row>
    <row r="41" spans="1:3" x14ac:dyDescent="0.3">
      <c r="A41" t="s">
        <v>1496</v>
      </c>
      <c r="B41" s="308">
        <v>7330</v>
      </c>
      <c r="C41" s="450"/>
    </row>
    <row r="42" spans="1:3" x14ac:dyDescent="0.3">
      <c r="A42" s="22" t="s">
        <v>1497</v>
      </c>
      <c r="B42" s="308">
        <f>2231+616</f>
        <v>2847</v>
      </c>
      <c r="C42" s="450"/>
    </row>
    <row r="43" spans="1:3" x14ac:dyDescent="0.3">
      <c r="A43" s="22" t="s">
        <v>1498</v>
      </c>
      <c r="B43" s="308">
        <v>5380</v>
      </c>
      <c r="C43" s="450"/>
    </row>
    <row r="44" spans="1:3" x14ac:dyDescent="0.3">
      <c r="A44" s="22" t="s">
        <v>1605</v>
      </c>
      <c r="B44" s="308">
        <f>1405-3448</f>
        <v>-2043</v>
      </c>
      <c r="C44" s="450"/>
    </row>
    <row r="45" spans="1:3" x14ac:dyDescent="0.3">
      <c r="A45" s="22" t="s">
        <v>1513</v>
      </c>
      <c r="B45" s="308">
        <f>3849+1276</f>
        <v>5125</v>
      </c>
      <c r="C45" s="450"/>
    </row>
    <row r="46" spans="1:3" x14ac:dyDescent="0.3">
      <c r="A46" s="36" t="s">
        <v>1499</v>
      </c>
      <c r="B46" s="309">
        <f>B41+B42+B45-B43-B44</f>
        <v>11965</v>
      </c>
      <c r="C46" s="450"/>
    </row>
    <row r="47" spans="1:3" x14ac:dyDescent="0.3">
      <c r="A47" s="537" t="s">
        <v>1666</v>
      </c>
      <c r="B47" s="310">
        <f>B46+B40</f>
        <v>30414</v>
      </c>
      <c r="C47" s="450"/>
    </row>
    <row r="48" spans="1:3" x14ac:dyDescent="0.3">
      <c r="B48" s="519"/>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F133"/>
  <sheetViews>
    <sheetView showGridLines="0" workbookViewId="0"/>
  </sheetViews>
  <sheetFormatPr baseColWidth="10" defaultRowHeight="13.5" x14ac:dyDescent="0.3"/>
  <cols>
    <col min="1" max="1" width="21.84375" customWidth="1"/>
    <col min="2" max="2" width="9.84375" bestFit="1" customWidth="1"/>
    <col min="3" max="3" width="10" bestFit="1" customWidth="1"/>
    <col min="5" max="5" width="12.3828125" bestFit="1" customWidth="1"/>
  </cols>
  <sheetData>
    <row r="1" spans="1:3" x14ac:dyDescent="0.3">
      <c r="A1" s="12" t="s">
        <v>1418</v>
      </c>
    </row>
    <row r="2" spans="1:3" x14ac:dyDescent="0.3">
      <c r="A2" s="33" t="s">
        <v>1158</v>
      </c>
    </row>
    <row r="3" spans="1:3" x14ac:dyDescent="0.3">
      <c r="A3" t="s">
        <v>726</v>
      </c>
      <c r="B3" s="37">
        <v>0.6</v>
      </c>
    </row>
    <row r="4" spans="1:3" x14ac:dyDescent="0.3">
      <c r="A4" t="s">
        <v>727</v>
      </c>
      <c r="B4" s="86">
        <v>0.09</v>
      </c>
    </row>
    <row r="5" spans="1:3" x14ac:dyDescent="0.3">
      <c r="A5" t="s">
        <v>728</v>
      </c>
      <c r="B5" s="37">
        <f>1-B3</f>
        <v>0.4</v>
      </c>
    </row>
    <row r="6" spans="1:3" x14ac:dyDescent="0.3">
      <c r="A6" t="s">
        <v>729</v>
      </c>
      <c r="B6" s="86">
        <v>0.05</v>
      </c>
    </row>
    <row r="8" spans="1:3" x14ac:dyDescent="0.3">
      <c r="A8" s="1" t="s">
        <v>730</v>
      </c>
      <c r="B8" s="143">
        <f>B3*B4+B5*B6</f>
        <v>7.400000000000001E-2</v>
      </c>
    </row>
    <row r="10" spans="1:3" x14ac:dyDescent="0.3">
      <c r="A10" s="33" t="s">
        <v>1420</v>
      </c>
    </row>
    <row r="11" spans="1:3" x14ac:dyDescent="0.3">
      <c r="A11" s="33" t="s">
        <v>1159</v>
      </c>
    </row>
    <row r="12" spans="1:3" x14ac:dyDescent="0.3">
      <c r="A12" t="s">
        <v>731</v>
      </c>
      <c r="B12" s="4" t="s">
        <v>1160</v>
      </c>
      <c r="C12" s="4" t="s">
        <v>1161</v>
      </c>
    </row>
    <row r="13" spans="1:3" x14ac:dyDescent="0.3">
      <c r="A13" t="s">
        <v>732</v>
      </c>
      <c r="B13" s="65">
        <v>10000</v>
      </c>
      <c r="C13" s="65">
        <v>10000</v>
      </c>
    </row>
    <row r="14" spans="1:3" x14ac:dyDescent="0.3">
      <c r="A14" s="14" t="s">
        <v>738</v>
      </c>
      <c r="B14" s="152"/>
      <c r="C14" s="152">
        <v>24000</v>
      </c>
    </row>
    <row r="15" spans="1:3" x14ac:dyDescent="0.3">
      <c r="A15" s="14" t="s">
        <v>729</v>
      </c>
      <c r="B15" s="606">
        <v>0.05</v>
      </c>
      <c r="C15" s="606"/>
    </row>
    <row r="16" spans="1:3" x14ac:dyDescent="0.3">
      <c r="A16" t="s">
        <v>1364</v>
      </c>
      <c r="B16" s="65">
        <f>B14*B15</f>
        <v>0</v>
      </c>
      <c r="C16" s="65">
        <f>C14*B15</f>
        <v>1200</v>
      </c>
    </row>
    <row r="17" spans="1:6" x14ac:dyDescent="0.3">
      <c r="A17" t="s">
        <v>1221</v>
      </c>
      <c r="B17" s="65">
        <f>B13-B16</f>
        <v>10000</v>
      </c>
      <c r="C17" s="65">
        <f>C13-C16</f>
        <v>8800</v>
      </c>
    </row>
    <row r="18" spans="1:6" ht="15.5" x14ac:dyDescent="0.3">
      <c r="A18" t="s">
        <v>304</v>
      </c>
      <c r="B18" s="86">
        <v>0.08</v>
      </c>
      <c r="C18" s="86">
        <v>0.11</v>
      </c>
    </row>
    <row r="19" spans="1:6" ht="15.5" x14ac:dyDescent="0.3">
      <c r="A19" t="s">
        <v>362</v>
      </c>
      <c r="B19" s="65">
        <v>125000</v>
      </c>
      <c r="C19" s="65">
        <v>80000</v>
      </c>
      <c r="E19">
        <v>1.5</v>
      </c>
      <c r="F19" s="86">
        <f>1-C23</f>
        <v>0.76923076923076916</v>
      </c>
    </row>
    <row r="20" spans="1:6" ht="15.5" x14ac:dyDescent="0.3">
      <c r="A20" t="s">
        <v>361</v>
      </c>
      <c r="B20" s="65">
        <f>B14</f>
        <v>0</v>
      </c>
      <c r="C20" s="65">
        <f>C14</f>
        <v>24000</v>
      </c>
      <c r="D20" s="37">
        <f>C20/C19</f>
        <v>0.3</v>
      </c>
      <c r="E20">
        <v>0.3</v>
      </c>
      <c r="F20" s="86">
        <f>1-F19</f>
        <v>0.23076923076923084</v>
      </c>
    </row>
    <row r="21" spans="1:6" x14ac:dyDescent="0.3">
      <c r="A21" t="s">
        <v>662</v>
      </c>
      <c r="B21" s="65">
        <f>B19+B20</f>
        <v>125000</v>
      </c>
      <c r="C21" s="65">
        <f>C19+C20</f>
        <v>104000</v>
      </c>
      <c r="E21" s="77">
        <f>E19*F19+E20*F20</f>
        <v>1.223076923076923</v>
      </c>
    </row>
    <row r="22" spans="1:6" x14ac:dyDescent="0.3">
      <c r="A22" t="s">
        <v>730</v>
      </c>
      <c r="B22" s="69">
        <f>B18*B19/B21+B15*B20/B21</f>
        <v>0.08</v>
      </c>
      <c r="C22" s="84">
        <f>C18*C19/C21+B15*C20/C21</f>
        <v>9.6153846153846159E-2</v>
      </c>
    </row>
    <row r="23" spans="1:6" ht="15.5" x14ac:dyDescent="0.3">
      <c r="A23" t="s">
        <v>355</v>
      </c>
      <c r="B23" s="69">
        <f>B20/B21</f>
        <v>0</v>
      </c>
      <c r="C23" s="69">
        <f>C20/C21</f>
        <v>0.23076923076923078</v>
      </c>
    </row>
    <row r="24" spans="1:6" x14ac:dyDescent="0.3">
      <c r="A24" t="s">
        <v>736</v>
      </c>
      <c r="B24" s="86">
        <v>1</v>
      </c>
      <c r="C24" s="86">
        <v>1</v>
      </c>
    </row>
    <row r="26" spans="1:6" x14ac:dyDescent="0.3">
      <c r="A26" s="116" t="s">
        <v>739</v>
      </c>
    </row>
    <row r="27" spans="1:6" x14ac:dyDescent="0.3">
      <c r="A27" s="45" t="s">
        <v>741</v>
      </c>
      <c r="B27" s="156">
        <v>0.01</v>
      </c>
      <c r="C27" s="156">
        <f>C28/C$19</f>
        <v>1.26953125E-2</v>
      </c>
      <c r="E27" s="80" t="s">
        <v>354</v>
      </c>
    </row>
    <row r="28" spans="1:6" x14ac:dyDescent="0.3">
      <c r="A28" s="45" t="s">
        <v>740</v>
      </c>
      <c r="B28" s="65">
        <f>B$19*B27</f>
        <v>1250</v>
      </c>
      <c r="C28" s="224">
        <f>B28/(1+C$23)</f>
        <v>1015.625</v>
      </c>
      <c r="D28" s="17">
        <f>C28/B$28</f>
        <v>0.8125</v>
      </c>
      <c r="E28" s="152">
        <f>C28*C23</f>
        <v>234.375</v>
      </c>
    </row>
    <row r="29" spans="1:6" x14ac:dyDescent="0.3">
      <c r="A29" s="25" t="s">
        <v>737</v>
      </c>
      <c r="B29" s="155">
        <f>B$17*B27</f>
        <v>100</v>
      </c>
      <c r="C29" s="155">
        <f>C$17*C27</f>
        <v>111.71875</v>
      </c>
    </row>
    <row r="30" spans="1:6" x14ac:dyDescent="0.3">
      <c r="A30" t="s">
        <v>743</v>
      </c>
    </row>
    <row r="31" spans="1:6" x14ac:dyDescent="0.3">
      <c r="A31" s="14" t="s">
        <v>742</v>
      </c>
      <c r="B31" s="152">
        <f>B28*B23</f>
        <v>0</v>
      </c>
      <c r="C31" s="152">
        <f>B28-C28</f>
        <v>234.375</v>
      </c>
      <c r="D31" s="17">
        <f>C31/B$28</f>
        <v>0.1875</v>
      </c>
    </row>
    <row r="32" spans="1:6" x14ac:dyDescent="0.3">
      <c r="A32" s="153" t="s">
        <v>363</v>
      </c>
      <c r="B32" s="154">
        <f>B15</f>
        <v>0.05</v>
      </c>
      <c r="C32" s="154">
        <f>B$15</f>
        <v>0.05</v>
      </c>
    </row>
    <row r="33" spans="1:6" x14ac:dyDescent="0.3">
      <c r="A33" s="1" t="s">
        <v>744</v>
      </c>
      <c r="B33" s="65">
        <f>B29+B31*B32</f>
        <v>100</v>
      </c>
      <c r="C33" s="224">
        <f>C29+C31*C32</f>
        <v>123.4375</v>
      </c>
    </row>
    <row r="34" spans="1:6" x14ac:dyDescent="0.3">
      <c r="A34" t="s">
        <v>730</v>
      </c>
      <c r="B34" s="69">
        <f>B33/B$28</f>
        <v>0.08</v>
      </c>
      <c r="C34" s="69">
        <f>C33/C$28</f>
        <v>0.12153846153846154</v>
      </c>
    </row>
    <row r="36" spans="1:6" x14ac:dyDescent="0.3">
      <c r="A36" s="116" t="s">
        <v>745</v>
      </c>
    </row>
    <row r="37" spans="1:6" x14ac:dyDescent="0.3">
      <c r="A37" s="116"/>
    </row>
    <row r="38" spans="1:6" x14ac:dyDescent="0.3">
      <c r="A38" s="68" t="s">
        <v>364</v>
      </c>
      <c r="B38" s="65">
        <f>B28</f>
        <v>1250</v>
      </c>
    </row>
    <row r="39" spans="1:6" x14ac:dyDescent="0.3">
      <c r="A39" s="68" t="s">
        <v>372</v>
      </c>
      <c r="C39" s="65">
        <f>B38</f>
        <v>1250</v>
      </c>
    </row>
    <row r="40" spans="1:6" x14ac:dyDescent="0.3">
      <c r="A40" s="68"/>
      <c r="C40" s="65"/>
    </row>
    <row r="41" spans="1:6" x14ac:dyDescent="0.3">
      <c r="A41" s="283" t="s">
        <v>365</v>
      </c>
      <c r="B41" s="86"/>
    </row>
    <row r="42" spans="1:6" x14ac:dyDescent="0.3">
      <c r="A42" s="283"/>
      <c r="B42" s="86"/>
    </row>
    <row r="43" spans="1:6" x14ac:dyDescent="0.3">
      <c r="A43" s="284" t="s">
        <v>371</v>
      </c>
      <c r="B43" s="86"/>
    </row>
    <row r="44" spans="1:6" x14ac:dyDescent="0.3">
      <c r="A44" s="68" t="s">
        <v>373</v>
      </c>
      <c r="C44" s="86">
        <f>C23</f>
        <v>0.23076923076923078</v>
      </c>
    </row>
    <row r="45" spans="1:6" x14ac:dyDescent="0.3">
      <c r="A45" s="116"/>
      <c r="C45" s="86"/>
    </row>
    <row r="46" spans="1:6" x14ac:dyDescent="0.3">
      <c r="A46" s="68" t="s">
        <v>366</v>
      </c>
      <c r="C46" s="65">
        <f>C39*(1-C44)</f>
        <v>961.53846153846143</v>
      </c>
      <c r="D46" s="37"/>
      <c r="F46" s="77"/>
    </row>
    <row r="47" spans="1:6" x14ac:dyDescent="0.3">
      <c r="A47" s="68" t="s">
        <v>367</v>
      </c>
      <c r="C47" s="155">
        <f>C39-C46</f>
        <v>288.46153846153857</v>
      </c>
      <c r="D47" s="37"/>
      <c r="F47" s="77"/>
    </row>
    <row r="48" spans="1:6" x14ac:dyDescent="0.3">
      <c r="A48" s="68"/>
      <c r="C48" s="285">
        <f>C46+C47</f>
        <v>1250</v>
      </c>
      <c r="E48" s="77"/>
      <c r="F48" s="77"/>
    </row>
    <row r="49" spans="1:3" x14ac:dyDescent="0.3">
      <c r="A49" s="68"/>
      <c r="C49" s="86"/>
    </row>
    <row r="50" spans="1:3" x14ac:dyDescent="0.3">
      <c r="A50" s="68" t="s">
        <v>368</v>
      </c>
      <c r="C50" s="65">
        <f>C46*C18</f>
        <v>105.76923076923076</v>
      </c>
    </row>
    <row r="51" spans="1:3" x14ac:dyDescent="0.3">
      <c r="A51" s="68" t="s">
        <v>369</v>
      </c>
      <c r="C51" s="155">
        <f>C47*B15</f>
        <v>14.423076923076929</v>
      </c>
    </row>
    <row r="52" spans="1:3" x14ac:dyDescent="0.3">
      <c r="A52" s="68"/>
      <c r="C52" s="65">
        <f>C50+C51</f>
        <v>120.19230769230769</v>
      </c>
    </row>
    <row r="53" spans="1:3" x14ac:dyDescent="0.3">
      <c r="A53" s="68"/>
      <c r="C53" s="86"/>
    </row>
    <row r="54" spans="1:3" x14ac:dyDescent="0.3">
      <c r="A54" s="68" t="s">
        <v>370</v>
      </c>
      <c r="C54" s="289">
        <f>C52/C39</f>
        <v>9.6153846153846159E-2</v>
      </c>
    </row>
    <row r="55" spans="1:3" x14ac:dyDescent="0.3">
      <c r="A55" s="116"/>
      <c r="C55" s="86"/>
    </row>
    <row r="56" spans="1:3" x14ac:dyDescent="0.3">
      <c r="A56" s="68" t="s">
        <v>374</v>
      </c>
      <c r="C56" s="86"/>
    </row>
    <row r="57" spans="1:3" x14ac:dyDescent="0.3">
      <c r="A57" s="116"/>
      <c r="C57" s="86"/>
    </row>
    <row r="58" spans="1:3" x14ac:dyDescent="0.3">
      <c r="A58" s="116" t="s">
        <v>375</v>
      </c>
      <c r="C58" s="86"/>
    </row>
    <row r="59" spans="1:3" x14ac:dyDescent="0.3">
      <c r="A59" s="416" t="s">
        <v>1596</v>
      </c>
      <c r="B59" s="308">
        <v>114000</v>
      </c>
      <c r="C59" s="86"/>
    </row>
    <row r="60" spans="1:3" x14ac:dyDescent="0.3">
      <c r="A60" s="116"/>
      <c r="C60" s="86"/>
    </row>
    <row r="61" spans="1:3" x14ac:dyDescent="0.3">
      <c r="A61" s="116"/>
      <c r="B61" s="127" t="s">
        <v>109</v>
      </c>
      <c r="C61" s="290" t="s">
        <v>110</v>
      </c>
    </row>
    <row r="62" spans="1:3" x14ac:dyDescent="0.3">
      <c r="A62" s="68" t="s">
        <v>376</v>
      </c>
      <c r="B62" s="252">
        <f>B59/B17</f>
        <v>11.4</v>
      </c>
      <c r="C62" s="252">
        <f>(B59-C20)/C17</f>
        <v>10.227272727272727</v>
      </c>
    </row>
    <row r="63" spans="1:3" x14ac:dyDescent="0.3">
      <c r="A63" s="116"/>
      <c r="C63" s="86"/>
    </row>
    <row r="64" spans="1:3" x14ac:dyDescent="0.3">
      <c r="A64" s="116"/>
      <c r="C64" s="86"/>
    </row>
    <row r="65" spans="1:5" x14ac:dyDescent="0.3">
      <c r="A65" s="286"/>
      <c r="B65" s="287"/>
      <c r="C65" s="288"/>
      <c r="D65" s="287"/>
      <c r="E65" s="287"/>
    </row>
    <row r="66" spans="1:5" s="416" customFormat="1" x14ac:dyDescent="0.3">
      <c r="A66" s="1" t="s">
        <v>1011</v>
      </c>
      <c r="B66" s="520">
        <v>111400</v>
      </c>
      <c r="C66" s="520">
        <f>B66</f>
        <v>111400</v>
      </c>
    </row>
    <row r="67" spans="1:5" s="416" customFormat="1" x14ac:dyDescent="0.3">
      <c r="A67" s="416" t="s">
        <v>734</v>
      </c>
      <c r="B67" s="520">
        <f>B20</f>
        <v>0</v>
      </c>
      <c r="C67" s="520">
        <v>21000</v>
      </c>
    </row>
    <row r="68" spans="1:5" s="416" customFormat="1" x14ac:dyDescent="0.3">
      <c r="A68" s="416" t="s">
        <v>733</v>
      </c>
      <c r="B68" s="520">
        <f>B66-B67</f>
        <v>111400</v>
      </c>
      <c r="C68" s="520">
        <f>C66-C67</f>
        <v>90400</v>
      </c>
    </row>
    <row r="69" spans="1:5" s="416" customFormat="1" x14ac:dyDescent="0.3">
      <c r="A69" s="416" t="s">
        <v>735</v>
      </c>
      <c r="B69" s="69">
        <f>B67/B66</f>
        <v>0</v>
      </c>
      <c r="C69" s="69">
        <f>C67/C66</f>
        <v>0.18850987432675045</v>
      </c>
    </row>
    <row r="70" spans="1:5" s="416" customFormat="1" x14ac:dyDescent="0.3">
      <c r="A70" s="14" t="s">
        <v>727</v>
      </c>
      <c r="B70" s="199">
        <f>B17/B68</f>
        <v>8.9766606822262118E-2</v>
      </c>
      <c r="C70" s="199">
        <f>C17/C68</f>
        <v>9.7345132743362831E-2</v>
      </c>
    </row>
    <row r="71" spans="1:5" s="416" customFormat="1" x14ac:dyDescent="0.3">
      <c r="A71" s="14" t="s">
        <v>729</v>
      </c>
      <c r="B71" s="199"/>
      <c r="C71" s="199">
        <f>C16/C67</f>
        <v>5.7142857142857141E-2</v>
      </c>
    </row>
    <row r="72" spans="1:5" s="416" customFormat="1" x14ac:dyDescent="0.3">
      <c r="A72" s="14" t="s">
        <v>730</v>
      </c>
      <c r="B72" s="199">
        <f>(B70*B68+B71*B67)/(B68+B67)</f>
        <v>8.9766606822262118E-2</v>
      </c>
      <c r="C72" s="199">
        <f>(C70*C68+C71*C67)/(C68+C67)</f>
        <v>8.9766606822262118E-2</v>
      </c>
    </row>
    <row r="73" spans="1:5" s="416" customFormat="1" x14ac:dyDescent="0.3">
      <c r="B73" s="520"/>
      <c r="C73" s="520"/>
    </row>
    <row r="74" spans="1:5" s="416" customFormat="1" x14ac:dyDescent="0.3">
      <c r="A74" s="416" t="s">
        <v>1016</v>
      </c>
      <c r="B74" s="520">
        <v>1250</v>
      </c>
      <c r="C74" s="520">
        <f>B74</f>
        <v>1250</v>
      </c>
    </row>
    <row r="75" spans="1:5" s="416" customFormat="1" x14ac:dyDescent="0.3">
      <c r="B75" s="520"/>
      <c r="C75" s="520"/>
    </row>
    <row r="76" spans="1:5" s="416" customFormat="1" x14ac:dyDescent="0.3">
      <c r="A76" s="521" t="s">
        <v>1014</v>
      </c>
      <c r="B76" s="522"/>
      <c r="C76" s="522"/>
      <c r="E76" s="80"/>
    </row>
    <row r="77" spans="1:5" s="416" customFormat="1" x14ac:dyDescent="0.3">
      <c r="A77" s="523" t="s">
        <v>1015</v>
      </c>
      <c r="B77" s="524">
        <f>B78/B68</f>
        <v>1.1220825852782765E-2</v>
      </c>
      <c r="C77" s="524">
        <f>C78/C68</f>
        <v>1.1634260620805819E-2</v>
      </c>
      <c r="E77" s="80" t="s">
        <v>746</v>
      </c>
    </row>
    <row r="78" spans="1:5" s="416" customFormat="1" x14ac:dyDescent="0.3">
      <c r="A78" s="525" t="s">
        <v>740</v>
      </c>
      <c r="B78" s="152">
        <f>B74</f>
        <v>1250</v>
      </c>
      <c r="C78" s="152">
        <f>C74*D78</f>
        <v>1051.7371601208461</v>
      </c>
      <c r="D78" s="69">
        <f>1/(1+C69)</f>
        <v>0.84138972809667678</v>
      </c>
      <c r="E78" s="152">
        <f>C78*C69</f>
        <v>198.26283987915411</v>
      </c>
    </row>
    <row r="79" spans="1:5" s="416" customFormat="1" x14ac:dyDescent="0.3">
      <c r="A79" s="525" t="s">
        <v>737</v>
      </c>
      <c r="B79" s="526">
        <f>B17*B77</f>
        <v>112.20825852782765</v>
      </c>
      <c r="C79" s="526">
        <f>C17*C77</f>
        <v>102.3814934630912</v>
      </c>
    </row>
    <row r="80" spans="1:5" s="416" customFormat="1" x14ac:dyDescent="0.3">
      <c r="A80" s="525" t="s">
        <v>730</v>
      </c>
      <c r="B80" s="527">
        <f>B79/B78</f>
        <v>8.9766606822262118E-2</v>
      </c>
      <c r="C80" s="527">
        <f>C79/C78</f>
        <v>9.7345132743362831E-2</v>
      </c>
    </row>
    <row r="81" spans="1:4" s="416" customFormat="1" x14ac:dyDescent="0.3">
      <c r="A81" s="528" t="s">
        <v>1012</v>
      </c>
      <c r="B81" s="528"/>
      <c r="C81" s="528"/>
    </row>
    <row r="82" spans="1:4" s="416" customFormat="1" x14ac:dyDescent="0.3">
      <c r="A82" s="14" t="s">
        <v>742</v>
      </c>
      <c r="B82" s="8"/>
      <c r="C82" s="152">
        <f>B78-C78</f>
        <v>198.26283987915394</v>
      </c>
      <c r="D82" s="69">
        <f>C82/B78</f>
        <v>0.15861027190332316</v>
      </c>
    </row>
    <row r="83" spans="1:4" s="416" customFormat="1" x14ac:dyDescent="0.3">
      <c r="A83" s="14" t="s">
        <v>1013</v>
      </c>
      <c r="B83" s="8"/>
      <c r="C83" s="152">
        <f>C82*C84</f>
        <v>9.9131419939576979</v>
      </c>
      <c r="D83" s="69"/>
    </row>
    <row r="84" spans="1:4" s="416" customFormat="1" x14ac:dyDescent="0.3">
      <c r="A84" s="153" t="s">
        <v>730</v>
      </c>
      <c r="B84" s="154">
        <f>+B15</f>
        <v>0.05</v>
      </c>
      <c r="C84" s="154">
        <f>B$15</f>
        <v>0.05</v>
      </c>
    </row>
    <row r="85" spans="1:4" s="416" customFormat="1" x14ac:dyDescent="0.3">
      <c r="A85" s="416" t="s">
        <v>744</v>
      </c>
      <c r="B85" s="520">
        <f>B79+B82*B84</f>
        <v>112.20825852782765</v>
      </c>
      <c r="C85" s="520">
        <f>C79+C82*C84</f>
        <v>112.2946354570489</v>
      </c>
      <c r="D85" s="520">
        <f>C85-B85</f>
        <v>8.6376929221245291E-2</v>
      </c>
    </row>
    <row r="86" spans="1:4" s="416" customFormat="1" x14ac:dyDescent="0.3">
      <c r="A86" s="416" t="s">
        <v>730</v>
      </c>
      <c r="B86" s="84">
        <f>B85/B78</f>
        <v>8.9766606822262118E-2</v>
      </c>
      <c r="C86" s="84">
        <f>C85/(C78+C82)</f>
        <v>8.9835708365639116E-2</v>
      </c>
    </row>
    <row r="87" spans="1:4" s="416" customFormat="1" x14ac:dyDescent="0.3">
      <c r="A87" s="1" t="s">
        <v>666</v>
      </c>
      <c r="B87" s="500">
        <f>B68/B17</f>
        <v>11.14</v>
      </c>
      <c r="C87" s="500">
        <f>C68/C17</f>
        <v>10.272727272727273</v>
      </c>
    </row>
    <row r="89" spans="1:4" x14ac:dyDescent="0.3">
      <c r="A89" s="33" t="s">
        <v>244</v>
      </c>
    </row>
    <row r="90" spans="1:4" x14ac:dyDescent="0.3">
      <c r="A90" s="33"/>
    </row>
    <row r="91" spans="1:4" x14ac:dyDescent="0.3">
      <c r="A91" s="259" t="s">
        <v>101</v>
      </c>
    </row>
    <row r="92" spans="1:4" x14ac:dyDescent="0.3">
      <c r="A92" t="s">
        <v>749</v>
      </c>
      <c r="B92" s="69">
        <v>0.08</v>
      </c>
    </row>
    <row r="93" spans="1:4" x14ac:dyDescent="0.3">
      <c r="A93" s="1" t="s">
        <v>747</v>
      </c>
      <c r="B93" s="115">
        <f>B92</f>
        <v>0.08</v>
      </c>
    </row>
    <row r="94" spans="1:4" x14ac:dyDescent="0.3">
      <c r="A94" t="s">
        <v>750</v>
      </c>
      <c r="B94" s="108">
        <v>100</v>
      </c>
    </row>
    <row r="95" spans="1:4" x14ac:dyDescent="0.3">
      <c r="B95" s="108"/>
    </row>
    <row r="96" spans="1:4" x14ac:dyDescent="0.3">
      <c r="A96" t="s">
        <v>102</v>
      </c>
    </row>
    <row r="97" spans="1:2" x14ac:dyDescent="0.3">
      <c r="A97" t="s">
        <v>753</v>
      </c>
      <c r="B97" s="158">
        <f>B94</f>
        <v>100</v>
      </c>
    </row>
    <row r="98" spans="1:2" x14ac:dyDescent="0.3">
      <c r="A98" t="s">
        <v>751</v>
      </c>
      <c r="B98" s="158">
        <f>B94/3</f>
        <v>33.333333333333336</v>
      </c>
    </row>
    <row r="99" spans="1:2" x14ac:dyDescent="0.3">
      <c r="A99" t="s">
        <v>748</v>
      </c>
      <c r="B99" s="69">
        <v>0.05</v>
      </c>
    </row>
    <row r="100" spans="1:2" x14ac:dyDescent="0.3">
      <c r="A100" t="s">
        <v>752</v>
      </c>
      <c r="B100" s="158">
        <f>B97-B98</f>
        <v>66.666666666666657</v>
      </c>
    </row>
    <row r="101" spans="1:2" x14ac:dyDescent="0.3">
      <c r="A101" s="1" t="s">
        <v>754</v>
      </c>
      <c r="B101" s="115">
        <f>(B92-B99*B98/B97)*B97/B100</f>
        <v>9.5000000000000001E-2</v>
      </c>
    </row>
    <row r="102" spans="1:2" x14ac:dyDescent="0.3">
      <c r="A102" t="s">
        <v>756</v>
      </c>
      <c r="B102" s="69">
        <f>B99*B98/B97+B101*B100/B97</f>
        <v>7.9999999999999988E-2</v>
      </c>
    </row>
    <row r="103" spans="1:2" x14ac:dyDescent="0.3">
      <c r="B103" s="69"/>
    </row>
    <row r="104" spans="1:2" x14ac:dyDescent="0.3">
      <c r="A104" t="s">
        <v>298</v>
      </c>
    </row>
    <row r="105" spans="1:2" x14ac:dyDescent="0.3">
      <c r="A105" t="s">
        <v>758</v>
      </c>
      <c r="B105" s="99">
        <v>1.2</v>
      </c>
    </row>
    <row r="106" spans="1:2" x14ac:dyDescent="0.3">
      <c r="A106" t="s">
        <v>613</v>
      </c>
      <c r="B106" s="37">
        <v>0.04</v>
      </c>
    </row>
    <row r="107" spans="1:2" x14ac:dyDescent="0.3">
      <c r="A107" s="1" t="s">
        <v>759</v>
      </c>
      <c r="B107" s="141">
        <f>(B105*B106+B101-B93)/B106</f>
        <v>1.5750000000000004</v>
      </c>
    </row>
    <row r="109" spans="1:2" x14ac:dyDescent="0.3">
      <c r="A109" t="s">
        <v>755</v>
      </c>
      <c r="B109" s="99">
        <f>B105</f>
        <v>1.2</v>
      </c>
    </row>
    <row r="110" spans="1:2" x14ac:dyDescent="0.3">
      <c r="A110" t="s">
        <v>757</v>
      </c>
      <c r="B110" s="99">
        <f>B109</f>
        <v>1.2</v>
      </c>
    </row>
    <row r="111" spans="1:2" x14ac:dyDescent="0.3">
      <c r="A111" s="1" t="s">
        <v>760</v>
      </c>
      <c r="B111" s="141">
        <f>(B110-B107*B100/B97)*B97/B98</f>
        <v>0.44999999999999968</v>
      </c>
    </row>
    <row r="113" spans="1:3" x14ac:dyDescent="0.3">
      <c r="A113" s="33" t="s">
        <v>208</v>
      </c>
    </row>
    <row r="114" spans="1:3" x14ac:dyDescent="0.3">
      <c r="A114" t="s">
        <v>1766</v>
      </c>
      <c r="B114" s="5">
        <v>0.67</v>
      </c>
    </row>
    <row r="115" spans="1:3" x14ac:dyDescent="0.3">
      <c r="A115" t="s">
        <v>1581</v>
      </c>
      <c r="B115" s="5">
        <v>0.8</v>
      </c>
    </row>
    <row r="116" spans="1:3" x14ac:dyDescent="0.3">
      <c r="B116" s="5"/>
    </row>
    <row r="117" spans="1:3" x14ac:dyDescent="0.3">
      <c r="A117" t="s">
        <v>610</v>
      </c>
      <c r="B117" s="86">
        <v>0.03</v>
      </c>
    </row>
    <row r="118" spans="1:3" x14ac:dyDescent="0.3">
      <c r="A118" t="s">
        <v>613</v>
      </c>
      <c r="B118" s="86">
        <v>0.09</v>
      </c>
    </row>
    <row r="119" spans="1:3" x14ac:dyDescent="0.3">
      <c r="B119" s="5"/>
    </row>
    <row r="120" spans="1:3" x14ac:dyDescent="0.3">
      <c r="A120" s="1" t="s">
        <v>1676</v>
      </c>
      <c r="B120" s="143">
        <f>B$117+B$118*B114</f>
        <v>9.0299999999999991E-2</v>
      </c>
    </row>
    <row r="121" spans="1:3" x14ac:dyDescent="0.3">
      <c r="A121" s="1" t="s">
        <v>1582</v>
      </c>
      <c r="B121" s="143">
        <f>B$117+B$118*B115</f>
        <v>0.10199999999999999</v>
      </c>
    </row>
    <row r="123" spans="1:3" x14ac:dyDescent="0.3">
      <c r="A123" t="s">
        <v>1677</v>
      </c>
      <c r="B123" s="86">
        <v>0.05</v>
      </c>
    </row>
    <row r="124" spans="1:3" x14ac:dyDescent="0.3">
      <c r="A124" t="s">
        <v>1678</v>
      </c>
      <c r="B124" s="37">
        <v>1</v>
      </c>
    </row>
    <row r="125" spans="1:3" x14ac:dyDescent="0.3">
      <c r="A125" t="s">
        <v>1679</v>
      </c>
      <c r="B125" s="37">
        <f>1/(1+B124)</f>
        <v>0.5</v>
      </c>
    </row>
    <row r="126" spans="1:3" x14ac:dyDescent="0.3">
      <c r="A126" t="s">
        <v>1680</v>
      </c>
      <c r="B126" s="37">
        <f>B124/(B124+1)</f>
        <v>0.5</v>
      </c>
      <c r="C126" s="37"/>
    </row>
    <row r="127" spans="1:3" x14ac:dyDescent="0.3">
      <c r="A127" t="s">
        <v>1681</v>
      </c>
      <c r="B127" s="86">
        <f>B120*B125+B123*B126</f>
        <v>7.014999999999999E-2</v>
      </c>
    </row>
    <row r="128" spans="1:3" x14ac:dyDescent="0.3">
      <c r="B128" s="37"/>
    </row>
    <row r="129" spans="1:3" x14ac:dyDescent="0.3">
      <c r="A129" t="s">
        <v>1583</v>
      </c>
      <c r="B129" s="86">
        <f>B127</f>
        <v>7.014999999999999E-2</v>
      </c>
      <c r="C129" s="131"/>
    </row>
    <row r="130" spans="1:3" x14ac:dyDescent="0.3">
      <c r="A130" t="s">
        <v>1584</v>
      </c>
      <c r="B130" s="86">
        <v>5.3999999999999999E-2</v>
      </c>
    </row>
    <row r="131" spans="1:3" x14ac:dyDescent="0.3">
      <c r="A131" t="s">
        <v>1585</v>
      </c>
      <c r="B131" s="37">
        <f>(B129-B130)/(B121-B130)</f>
        <v>0.33645833333333319</v>
      </c>
    </row>
    <row r="132" spans="1:3" x14ac:dyDescent="0.3">
      <c r="A132" t="s">
        <v>1586</v>
      </c>
      <c r="B132" s="37">
        <f>1-B131</f>
        <v>0.66354166666666681</v>
      </c>
    </row>
    <row r="133" spans="1:3" x14ac:dyDescent="0.3">
      <c r="A133" t="s">
        <v>1587</v>
      </c>
      <c r="B133" s="413">
        <f>B132/B131</f>
        <v>1.972136222910218</v>
      </c>
    </row>
  </sheetData>
  <mergeCells count="1">
    <mergeCell ref="B15:C15"/>
  </mergeCells>
  <phoneticPr fontId="4" type="noConversion"/>
  <pageMargins left="0.78740157480314965" right="0.78740157480314965" top="0.98425196850393704" bottom="0.98425196850393704" header="0.51181102362204722" footer="0.51181102362204722"/>
  <pageSetup paperSize="9" scale="88"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J64"/>
  <sheetViews>
    <sheetView showGridLines="0" topLeftCell="A36" workbookViewId="0">
      <selection activeCell="B62" sqref="B62"/>
    </sheetView>
  </sheetViews>
  <sheetFormatPr baseColWidth="10" defaultRowHeight="13.5" x14ac:dyDescent="0.3"/>
  <cols>
    <col min="1" max="1" width="29.15234375" customWidth="1"/>
  </cols>
  <sheetData>
    <row r="1" spans="1:4" x14ac:dyDescent="0.3">
      <c r="A1" s="12" t="s">
        <v>1418</v>
      </c>
    </row>
    <row r="2" spans="1:4" x14ac:dyDescent="0.3">
      <c r="A2" s="33" t="s">
        <v>1162</v>
      </c>
    </row>
    <row r="3" spans="1:4" x14ac:dyDescent="0.3">
      <c r="A3" t="s">
        <v>726</v>
      </c>
      <c r="B3" s="37">
        <v>0.7</v>
      </c>
    </row>
    <row r="4" spans="1:4" x14ac:dyDescent="0.3">
      <c r="A4" t="s">
        <v>727</v>
      </c>
      <c r="B4" s="37">
        <v>0.1</v>
      </c>
    </row>
    <row r="5" spans="1:4" x14ac:dyDescent="0.3">
      <c r="A5" t="s">
        <v>728</v>
      </c>
      <c r="B5" s="37">
        <f>1-B3</f>
        <v>0.30000000000000004</v>
      </c>
    </row>
    <row r="6" spans="1:4" x14ac:dyDescent="0.3">
      <c r="A6" t="s">
        <v>729</v>
      </c>
      <c r="B6" s="37">
        <v>0.06</v>
      </c>
    </row>
    <row r="8" spans="1:4" x14ac:dyDescent="0.3">
      <c r="A8" t="s">
        <v>761</v>
      </c>
      <c r="B8" s="37">
        <v>0.2</v>
      </c>
      <c r="C8" s="37">
        <v>0.5</v>
      </c>
      <c r="D8" s="37">
        <v>0.8</v>
      </c>
    </row>
    <row r="9" spans="1:4" x14ac:dyDescent="0.3">
      <c r="A9" s="1" t="s">
        <v>730</v>
      </c>
      <c r="B9" s="87">
        <f>$B4*$B3+$B6*$B5*(1-B8)</f>
        <v>8.4400000000000003E-2</v>
      </c>
      <c r="C9" s="87">
        <f>$B4*$B3+$B6*$B5*(1-C8)</f>
        <v>7.8999999999999987E-2</v>
      </c>
      <c r="D9" s="87">
        <f>$B4*$B3+$B6*$B5*(1-D8)</f>
        <v>7.3599999999999999E-2</v>
      </c>
    </row>
    <row r="11" spans="1:4" x14ac:dyDescent="0.3">
      <c r="A11" s="12" t="s">
        <v>1420</v>
      </c>
    </row>
    <row r="12" spans="1:4" x14ac:dyDescent="0.3">
      <c r="A12" s="33" t="s">
        <v>1163</v>
      </c>
    </row>
    <row r="13" spans="1:4" x14ac:dyDescent="0.3">
      <c r="A13" t="s">
        <v>762</v>
      </c>
      <c r="B13" s="77">
        <v>200</v>
      </c>
    </row>
    <row r="14" spans="1:4" x14ac:dyDescent="0.3">
      <c r="A14" t="s">
        <v>761</v>
      </c>
      <c r="B14" s="37">
        <v>0.4</v>
      </c>
    </row>
    <row r="16" spans="1:4" x14ac:dyDescent="0.3">
      <c r="A16" t="s">
        <v>751</v>
      </c>
      <c r="B16" s="77">
        <v>50</v>
      </c>
    </row>
    <row r="17" spans="1:2" x14ac:dyDescent="0.3">
      <c r="A17" t="s">
        <v>748</v>
      </c>
      <c r="B17" s="37">
        <v>0.06</v>
      </c>
    </row>
    <row r="18" spans="1:2" x14ac:dyDescent="0.3">
      <c r="A18" t="s">
        <v>752</v>
      </c>
      <c r="B18" s="77">
        <f>B13-B16</f>
        <v>150</v>
      </c>
    </row>
    <row r="19" spans="1:2" x14ac:dyDescent="0.3">
      <c r="A19" t="s">
        <v>754</v>
      </c>
      <c r="B19" s="37">
        <v>0.11</v>
      </c>
    </row>
    <row r="21" spans="1:2" x14ac:dyDescent="0.3">
      <c r="A21" t="s">
        <v>763</v>
      </c>
      <c r="B21" s="77">
        <f>B16*B17*B14/B19</f>
        <v>10.90909090909091</v>
      </c>
    </row>
    <row r="22" spans="1:2" x14ac:dyDescent="0.3">
      <c r="B22" s="77"/>
    </row>
    <row r="23" spans="1:2" x14ac:dyDescent="0.3">
      <c r="A23" s="1" t="s">
        <v>377</v>
      </c>
      <c r="B23" s="125">
        <f>B13+B21</f>
        <v>210.90909090909091</v>
      </c>
    </row>
    <row r="25" spans="1:2" x14ac:dyDescent="0.3">
      <c r="A25" s="33" t="s">
        <v>244</v>
      </c>
    </row>
    <row r="26" spans="1:2" x14ac:dyDescent="0.3">
      <c r="A26" s="33" t="s">
        <v>1164</v>
      </c>
    </row>
    <row r="27" spans="1:2" x14ac:dyDescent="0.3">
      <c r="A27" t="s">
        <v>733</v>
      </c>
      <c r="B27" s="5">
        <v>40</v>
      </c>
    </row>
    <row r="28" spans="1:2" x14ac:dyDescent="0.3">
      <c r="A28" t="s">
        <v>734</v>
      </c>
      <c r="B28" s="5">
        <v>30</v>
      </c>
    </row>
    <row r="29" spans="1:2" x14ac:dyDescent="0.3">
      <c r="A29" t="s">
        <v>729</v>
      </c>
      <c r="B29" s="37">
        <v>0.06</v>
      </c>
    </row>
    <row r="30" spans="1:2" x14ac:dyDescent="0.3">
      <c r="A30" t="s">
        <v>761</v>
      </c>
      <c r="B30" s="37">
        <v>0.4</v>
      </c>
    </row>
    <row r="31" spans="1:2" x14ac:dyDescent="0.3">
      <c r="A31" t="s">
        <v>727</v>
      </c>
      <c r="B31" s="37">
        <v>0.11</v>
      </c>
    </row>
    <row r="33" spans="1:6" x14ac:dyDescent="0.3">
      <c r="A33" s="1" t="s">
        <v>764</v>
      </c>
      <c r="B33" s="125">
        <f>B28*B29*B30/B31</f>
        <v>6.545454545454545</v>
      </c>
    </row>
    <row r="34" spans="1:6" x14ac:dyDescent="0.3">
      <c r="A34" s="1"/>
      <c r="B34" s="141"/>
    </row>
    <row r="35" spans="1:6" x14ac:dyDescent="0.3">
      <c r="A35" s="3" t="s">
        <v>765</v>
      </c>
      <c r="B35" s="77">
        <v>5</v>
      </c>
    </row>
    <row r="36" spans="1:6" x14ac:dyDescent="0.3">
      <c r="A36" s="2" t="s">
        <v>766</v>
      </c>
      <c r="B36" s="125">
        <f>(B28+B35)*(1+B29*B30/B31)-(B33+B28+B35)</f>
        <v>1.0909090909090935</v>
      </c>
    </row>
    <row r="38" spans="1:6" x14ac:dyDescent="0.3">
      <c r="A38" t="s">
        <v>763</v>
      </c>
      <c r="B38" s="77">
        <f>(B28+B35)*B29*B30/B31</f>
        <v>7.6363636363636367</v>
      </c>
    </row>
    <row r="39" spans="1:6" x14ac:dyDescent="0.3">
      <c r="A39" s="3" t="s">
        <v>773</v>
      </c>
      <c r="B39" s="77">
        <f>B38/POWER(1+B31,4)</f>
        <v>5.0303092571072741</v>
      </c>
    </row>
    <row r="40" spans="1:6" x14ac:dyDescent="0.3">
      <c r="A40" s="2" t="s">
        <v>767</v>
      </c>
      <c r="B40" s="125">
        <f>-B39</f>
        <v>-5.0303092571072741</v>
      </c>
    </row>
    <row r="41" spans="1:6" x14ac:dyDescent="0.3">
      <c r="A41" s="2"/>
      <c r="B41" s="125"/>
    </row>
    <row r="42" spans="1:6" x14ac:dyDescent="0.3">
      <c r="A42" s="33" t="s">
        <v>208</v>
      </c>
      <c r="B42" s="125"/>
    </row>
    <row r="43" spans="1:6" x14ac:dyDescent="0.3">
      <c r="A43" s="33"/>
      <c r="B43" s="125"/>
    </row>
    <row r="44" spans="1:6" x14ac:dyDescent="0.3">
      <c r="A44" s="381"/>
    </row>
    <row r="45" spans="1:6" x14ac:dyDescent="0.3">
      <c r="A45" s="381"/>
    </row>
    <row r="46" spans="1:6" x14ac:dyDescent="0.3">
      <c r="A46" s="149"/>
    </row>
    <row r="47" spans="1:6" x14ac:dyDescent="0.3">
      <c r="B47" s="607" t="s">
        <v>1767</v>
      </c>
      <c r="C47" s="608"/>
      <c r="D47" s="609" t="s">
        <v>1768</v>
      </c>
      <c r="E47" s="609"/>
    </row>
    <row r="48" spans="1:6" x14ac:dyDescent="0.3">
      <c r="A48" t="s">
        <v>240</v>
      </c>
      <c r="B48" s="382">
        <v>0</v>
      </c>
      <c r="C48" s="383">
        <v>500</v>
      </c>
      <c r="D48">
        <v>0</v>
      </c>
      <c r="E48">
        <v>500</v>
      </c>
      <c r="F48" s="261"/>
    </row>
    <row r="49" spans="1:10" x14ac:dyDescent="0.3">
      <c r="A49" t="s">
        <v>1251</v>
      </c>
      <c r="B49" s="384" t="s">
        <v>290</v>
      </c>
      <c r="C49" s="385">
        <v>7.0000000000000007E-2</v>
      </c>
      <c r="D49" s="92" t="s">
        <v>290</v>
      </c>
      <c r="E49" s="362">
        <v>7.0000000000000007E-2</v>
      </c>
      <c r="F49" s="45"/>
    </row>
    <row r="50" spans="1:10" x14ac:dyDescent="0.3">
      <c r="A50" t="s">
        <v>774</v>
      </c>
      <c r="B50" s="417">
        <v>200</v>
      </c>
      <c r="C50" s="389">
        <v>200</v>
      </c>
      <c r="D50" s="107">
        <v>200</v>
      </c>
      <c r="E50" s="107">
        <v>200</v>
      </c>
      <c r="F50" s="45"/>
    </row>
    <row r="51" spans="1:10" x14ac:dyDescent="0.3">
      <c r="A51" t="s">
        <v>1364</v>
      </c>
      <c r="B51" s="417">
        <f>+C49*B48</f>
        <v>0</v>
      </c>
      <c r="C51" s="389">
        <f>+C49*C48</f>
        <v>35</v>
      </c>
      <c r="D51" s="107">
        <f>+E49*D48</f>
        <v>0</v>
      </c>
      <c r="E51" s="107">
        <f>+E49*E48</f>
        <v>35</v>
      </c>
      <c r="F51" s="45"/>
    </row>
    <row r="52" spans="1:10" x14ac:dyDescent="0.3">
      <c r="A52" t="s">
        <v>775</v>
      </c>
      <c r="B52" s="417">
        <f>B50-B51</f>
        <v>200</v>
      </c>
      <c r="C52" s="389">
        <f>C50-C51</f>
        <v>165</v>
      </c>
      <c r="D52" s="107">
        <f>D50-D51</f>
        <v>200</v>
      </c>
      <c r="E52" s="107">
        <f>E50-E51</f>
        <v>165</v>
      </c>
      <c r="F52" s="45"/>
    </row>
    <row r="53" spans="1:10" x14ac:dyDescent="0.3">
      <c r="A53" t="s">
        <v>237</v>
      </c>
      <c r="B53" s="615">
        <v>0.314</v>
      </c>
      <c r="C53" s="616"/>
      <c r="D53" s="604">
        <v>0.31</v>
      </c>
      <c r="E53" s="604"/>
      <c r="F53" s="45"/>
    </row>
    <row r="54" spans="1:10" x14ac:dyDescent="0.3">
      <c r="A54" s="38" t="s">
        <v>1188</v>
      </c>
      <c r="B54" s="418">
        <f>B52*B53</f>
        <v>62.8</v>
      </c>
      <c r="C54" s="419">
        <f>C52*B53</f>
        <v>51.81</v>
      </c>
      <c r="D54" s="419">
        <f>D53*D52</f>
        <v>62</v>
      </c>
      <c r="E54" s="419">
        <f>D53*E52</f>
        <v>51.15</v>
      </c>
      <c r="F54" s="45"/>
    </row>
    <row r="55" spans="1:10" x14ac:dyDescent="0.3">
      <c r="A55" s="3" t="s">
        <v>1221</v>
      </c>
      <c r="B55" s="417">
        <f>B52-B54</f>
        <v>137.19999999999999</v>
      </c>
      <c r="C55" s="389">
        <f>C52-C54</f>
        <v>113.19</v>
      </c>
      <c r="D55" s="107">
        <f>D52-D54</f>
        <v>138</v>
      </c>
      <c r="E55" s="107">
        <f>E52-E54</f>
        <v>113.85</v>
      </c>
      <c r="F55" s="157"/>
    </row>
    <row r="56" spans="1:10" x14ac:dyDescent="0.3">
      <c r="B56" s="356"/>
      <c r="C56" s="386"/>
      <c r="D56" s="77"/>
      <c r="E56" s="77"/>
      <c r="F56" s="157"/>
    </row>
    <row r="57" spans="1:10" x14ac:dyDescent="0.3">
      <c r="A57" t="s">
        <v>776</v>
      </c>
      <c r="B57" s="39"/>
      <c r="C57" s="45"/>
      <c r="F57" s="157"/>
    </row>
    <row r="58" spans="1:10" x14ac:dyDescent="0.3">
      <c r="A58" t="s">
        <v>777</v>
      </c>
      <c r="B58" s="610">
        <v>0.26</v>
      </c>
      <c r="C58" s="611"/>
      <c r="D58" s="604">
        <v>0.1</v>
      </c>
      <c r="E58" s="604"/>
      <c r="F58" s="157"/>
    </row>
    <row r="59" spans="1:10" x14ac:dyDescent="0.3">
      <c r="A59" t="s">
        <v>1252</v>
      </c>
      <c r="B59" s="421">
        <f>B55*B58</f>
        <v>35.671999999999997</v>
      </c>
      <c r="C59" s="422">
        <f>C55*B58</f>
        <v>29.429400000000001</v>
      </c>
      <c r="D59" s="107">
        <f>D58*D55</f>
        <v>13.8</v>
      </c>
      <c r="E59" s="107">
        <f>D58*E55</f>
        <v>11.385</v>
      </c>
      <c r="F59" s="157"/>
    </row>
    <row r="60" spans="1:10" x14ac:dyDescent="0.3">
      <c r="A60" t="s">
        <v>778</v>
      </c>
      <c r="B60" s="612">
        <v>0.26</v>
      </c>
      <c r="C60" s="613"/>
      <c r="D60" s="614">
        <v>0.2</v>
      </c>
      <c r="E60" s="614"/>
      <c r="F60" s="157"/>
    </row>
    <row r="61" spans="1:10" x14ac:dyDescent="0.3">
      <c r="A61" s="25" t="s">
        <v>1252</v>
      </c>
      <c r="B61" s="418">
        <f>B60*B51</f>
        <v>0</v>
      </c>
      <c r="C61" s="419">
        <f>B60*C51</f>
        <v>9.1</v>
      </c>
      <c r="D61" s="419">
        <f>D60*D51</f>
        <v>0</v>
      </c>
      <c r="E61" s="420">
        <f>D60*E51</f>
        <v>7</v>
      </c>
      <c r="F61" s="157"/>
    </row>
    <row r="62" spans="1:10" x14ac:dyDescent="0.3">
      <c r="A62" s="1" t="s">
        <v>779</v>
      </c>
      <c r="B62" s="423">
        <f>B51+B55-B59-B61</f>
        <v>101.52799999999999</v>
      </c>
      <c r="C62" s="322">
        <f>C51+C55-C59-C61</f>
        <v>109.6606</v>
      </c>
      <c r="D62" s="292">
        <f>D51+D55-D59-D61</f>
        <v>124.2</v>
      </c>
      <c r="E62" s="292">
        <f>E51+E55-E59-E61</f>
        <v>130.465</v>
      </c>
      <c r="F62" s="157"/>
      <c r="J62" s="45"/>
    </row>
    <row r="63" spans="1:10" s="45" customFormat="1" x14ac:dyDescent="0.3">
      <c r="A63" s="47" t="s">
        <v>780</v>
      </c>
      <c r="B63" s="423">
        <f>B54+B59+B61</f>
        <v>98.471999999999994</v>
      </c>
      <c r="C63" s="322">
        <f>C54+C59+C61</f>
        <v>90.339399999999998</v>
      </c>
      <c r="D63" s="322">
        <f>D54+D59+D61</f>
        <v>75.8</v>
      </c>
      <c r="E63" s="322">
        <f>E54+E59+E61</f>
        <v>69.534999999999997</v>
      </c>
      <c r="F63" s="157"/>
    </row>
    <row r="64" spans="1:10" x14ac:dyDescent="0.3">
      <c r="A64" s="45"/>
      <c r="B64" s="45"/>
      <c r="C64" s="45"/>
      <c r="D64" s="45"/>
      <c r="E64" s="45"/>
    </row>
  </sheetData>
  <mergeCells count="8">
    <mergeCell ref="B47:C47"/>
    <mergeCell ref="D47:E47"/>
    <mergeCell ref="B58:C58"/>
    <mergeCell ref="D58:E58"/>
    <mergeCell ref="B60:C60"/>
    <mergeCell ref="D60:E60"/>
    <mergeCell ref="B53:C53"/>
    <mergeCell ref="D53:E53"/>
  </mergeCells>
  <phoneticPr fontId="4" type="noConversion"/>
  <pageMargins left="0.78740157480314965" right="0.78740157480314965" top="0.98425196850393704" bottom="0.98425196850393704" header="0.51181102362204722" footer="0.51181102362204722"/>
  <pageSetup paperSize="9" scale="59"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F107"/>
  <sheetViews>
    <sheetView showGridLines="0" workbookViewId="0"/>
  </sheetViews>
  <sheetFormatPr baseColWidth="10" defaultRowHeight="13.5" x14ac:dyDescent="0.3"/>
  <cols>
    <col min="1" max="1" width="23.3828125" customWidth="1"/>
    <col min="2" max="2" width="13.3828125" bestFit="1" customWidth="1"/>
  </cols>
  <sheetData>
    <row r="1" spans="1:4" x14ac:dyDescent="0.3">
      <c r="A1" s="12" t="s">
        <v>1418</v>
      </c>
    </row>
    <row r="2" spans="1:4" x14ac:dyDescent="0.3">
      <c r="A2" s="161" t="s">
        <v>781</v>
      </c>
    </row>
    <row r="3" spans="1:4" x14ac:dyDescent="0.3">
      <c r="A3" t="s">
        <v>783</v>
      </c>
      <c r="B3" s="162">
        <v>10000000</v>
      </c>
    </row>
    <row r="4" spans="1:4" x14ac:dyDescent="0.3">
      <c r="A4" t="s">
        <v>784</v>
      </c>
      <c r="B4" s="162">
        <v>5000</v>
      </c>
    </row>
    <row r="5" spans="1:4" x14ac:dyDescent="0.3">
      <c r="A5" t="s">
        <v>240</v>
      </c>
      <c r="B5" s="163">
        <v>6000000</v>
      </c>
      <c r="C5" s="162">
        <v>5</v>
      </c>
      <c r="D5" t="s">
        <v>638</v>
      </c>
    </row>
    <row r="7" spans="1:4" x14ac:dyDescent="0.3">
      <c r="A7" s="161" t="s">
        <v>785</v>
      </c>
    </row>
    <row r="8" spans="1:4" x14ac:dyDescent="0.3">
      <c r="A8" s="66" t="s">
        <v>786</v>
      </c>
      <c r="B8" s="66" t="s">
        <v>787</v>
      </c>
      <c r="C8" s="66" t="s">
        <v>788</v>
      </c>
    </row>
    <row r="9" spans="1:4" x14ac:dyDescent="0.3">
      <c r="A9" s="163">
        <v>1200</v>
      </c>
      <c r="B9" s="163">
        <v>1010</v>
      </c>
      <c r="C9" s="163">
        <v>1085</v>
      </c>
    </row>
    <row r="10" spans="1:4" x14ac:dyDescent="0.3">
      <c r="A10" s="163">
        <v>1600</v>
      </c>
      <c r="B10" s="163">
        <v>731</v>
      </c>
      <c r="C10" s="163">
        <v>832</v>
      </c>
    </row>
    <row r="11" spans="1:4" x14ac:dyDescent="0.3">
      <c r="A11" s="163">
        <v>2000</v>
      </c>
      <c r="B11" s="163">
        <v>510</v>
      </c>
      <c r="C11" s="163">
        <v>627</v>
      </c>
    </row>
    <row r="12" spans="1:4" x14ac:dyDescent="0.3">
      <c r="A12" s="163">
        <v>2400</v>
      </c>
      <c r="B12" s="163">
        <v>348</v>
      </c>
      <c r="C12" s="163">
        <v>468</v>
      </c>
    </row>
    <row r="13" spans="1:4" x14ac:dyDescent="0.3">
      <c r="A13" s="163"/>
      <c r="B13" s="163"/>
      <c r="C13" s="163"/>
    </row>
    <row r="14" spans="1:4" x14ac:dyDescent="0.3">
      <c r="A14" s="160" t="s">
        <v>378</v>
      </c>
    </row>
    <row r="15" spans="1:4" x14ac:dyDescent="0.3">
      <c r="A15" s="3" t="s">
        <v>791</v>
      </c>
      <c r="B15" s="122">
        <f>B5/B4</f>
        <v>1200</v>
      </c>
    </row>
    <row r="16" spans="1:4" ht="12" customHeight="1" x14ac:dyDescent="0.3">
      <c r="A16" s="164" t="s">
        <v>789</v>
      </c>
      <c r="B16" s="165">
        <f>B4*B9</f>
        <v>5050000</v>
      </c>
    </row>
    <row r="17" spans="1:2" x14ac:dyDescent="0.3">
      <c r="A17" s="164" t="s">
        <v>790</v>
      </c>
      <c r="B17" s="165">
        <f>B3-B16</f>
        <v>4950000</v>
      </c>
    </row>
    <row r="19" spans="1:2" x14ac:dyDescent="0.3">
      <c r="A19" s="160" t="s">
        <v>379</v>
      </c>
    </row>
    <row r="20" spans="1:2" x14ac:dyDescent="0.3">
      <c r="A20" t="s">
        <v>792</v>
      </c>
    </row>
    <row r="21" spans="1:2" x14ac:dyDescent="0.3">
      <c r="A21" s="164" t="s">
        <v>789</v>
      </c>
      <c r="B21" s="165">
        <f>C9*B4</f>
        <v>5425000</v>
      </c>
    </row>
    <row r="22" spans="1:2" x14ac:dyDescent="0.3">
      <c r="A22" s="164" t="s">
        <v>790</v>
      </c>
      <c r="B22" s="165">
        <f>B3-B21</f>
        <v>4575000</v>
      </c>
    </row>
    <row r="23" spans="1:2" x14ac:dyDescent="0.3">
      <c r="A23" s="22" t="s">
        <v>380</v>
      </c>
    </row>
    <row r="25" spans="1:2" x14ac:dyDescent="0.3">
      <c r="A25" t="s">
        <v>794</v>
      </c>
    </row>
    <row r="26" spans="1:2" x14ac:dyDescent="0.3">
      <c r="A26" t="s">
        <v>793</v>
      </c>
      <c r="B26">
        <v>1250</v>
      </c>
    </row>
    <row r="27" spans="1:2" x14ac:dyDescent="0.3">
      <c r="A27" s="3" t="s">
        <v>791</v>
      </c>
      <c r="B27" s="122">
        <f>B5/(B4-B26)</f>
        <v>1600</v>
      </c>
    </row>
    <row r="28" spans="1:2" x14ac:dyDescent="0.3">
      <c r="A28" s="164" t="s">
        <v>789</v>
      </c>
      <c r="B28" s="165">
        <f>B10*(B4-B26)+B26*B3/B4</f>
        <v>5241250</v>
      </c>
    </row>
    <row r="29" spans="1:2" x14ac:dyDescent="0.3">
      <c r="A29" s="164" t="s">
        <v>790</v>
      </c>
      <c r="B29" s="165">
        <f>B3*(B4-B26)/B4-B28</f>
        <v>2258750</v>
      </c>
    </row>
    <row r="30" spans="1:2" x14ac:dyDescent="0.3">
      <c r="A30" s="22" t="s">
        <v>380</v>
      </c>
    </row>
    <row r="31" spans="1:2" x14ac:dyDescent="0.3">
      <c r="A31" s="22"/>
    </row>
    <row r="32" spans="1:2" x14ac:dyDescent="0.3">
      <c r="A32" t="s">
        <v>381</v>
      </c>
    </row>
    <row r="33" spans="1:5" x14ac:dyDescent="0.3">
      <c r="A33" s="22" t="s">
        <v>382</v>
      </c>
    </row>
    <row r="34" spans="1:5" x14ac:dyDescent="0.3">
      <c r="A34" s="22"/>
    </row>
    <row r="36" spans="1:5" x14ac:dyDescent="0.3">
      <c r="A36" s="12" t="s">
        <v>1420</v>
      </c>
    </row>
    <row r="37" spans="1:5" x14ac:dyDescent="0.3">
      <c r="A37" s="3" t="s">
        <v>798</v>
      </c>
      <c r="B37">
        <v>50</v>
      </c>
    </row>
    <row r="38" spans="1:5" x14ac:dyDescent="0.3">
      <c r="A38" s="1" t="s">
        <v>731</v>
      </c>
      <c r="B38" s="617" t="s">
        <v>108</v>
      </c>
      <c r="C38" s="618"/>
      <c r="D38" s="602" t="s">
        <v>109</v>
      </c>
      <c r="E38" s="602"/>
    </row>
    <row r="39" spans="1:5" x14ac:dyDescent="0.3">
      <c r="A39" s="25"/>
      <c r="B39" s="63" t="s">
        <v>796</v>
      </c>
      <c r="C39" s="44" t="s">
        <v>797</v>
      </c>
      <c r="D39" s="25" t="s">
        <v>796</v>
      </c>
      <c r="E39" s="25" t="s">
        <v>797</v>
      </c>
    </row>
    <row r="40" spans="1:5" x14ac:dyDescent="0.3">
      <c r="A40" t="s">
        <v>383</v>
      </c>
      <c r="B40" s="39">
        <v>100</v>
      </c>
      <c r="C40" s="57">
        <v>150</v>
      </c>
      <c r="D40">
        <v>100</v>
      </c>
      <c r="E40">
        <v>150</v>
      </c>
    </row>
    <row r="41" spans="1:5" x14ac:dyDescent="0.3">
      <c r="A41" t="s">
        <v>384</v>
      </c>
      <c r="B41" s="145">
        <v>0.1</v>
      </c>
      <c r="C41" s="166">
        <v>0.1</v>
      </c>
      <c r="D41" s="37">
        <v>0.4</v>
      </c>
      <c r="E41" s="37">
        <v>0.4</v>
      </c>
    </row>
    <row r="42" spans="1:5" x14ac:dyDescent="0.3">
      <c r="A42" t="s">
        <v>733</v>
      </c>
      <c r="B42" s="39">
        <v>7</v>
      </c>
      <c r="C42" s="167">
        <f>C40-C43</f>
        <v>54.900000000000006</v>
      </c>
      <c r="D42">
        <v>18</v>
      </c>
      <c r="E42" s="164">
        <f>E40-E43</f>
        <v>57.900000000000006</v>
      </c>
    </row>
    <row r="43" spans="1:5" x14ac:dyDescent="0.3">
      <c r="A43" t="s">
        <v>734</v>
      </c>
      <c r="B43" s="39">
        <v>93</v>
      </c>
      <c r="C43" s="57">
        <v>95.1</v>
      </c>
      <c r="D43">
        <v>82</v>
      </c>
      <c r="E43">
        <v>92.1</v>
      </c>
    </row>
    <row r="44" spans="1:5" x14ac:dyDescent="0.3">
      <c r="A44" t="s">
        <v>729</v>
      </c>
      <c r="B44" s="144">
        <v>7.4999999999999997E-2</v>
      </c>
      <c r="C44" s="139">
        <v>5.1999999999999998E-2</v>
      </c>
      <c r="D44" s="37">
        <v>0.22</v>
      </c>
      <c r="E44" s="83">
        <v>8.5999999999999993E-2</v>
      </c>
    </row>
    <row r="46" spans="1:5" x14ac:dyDescent="0.3">
      <c r="A46" s="164" t="s">
        <v>799</v>
      </c>
      <c r="B46" s="164"/>
      <c r="C46" s="164">
        <f>C42-B42</f>
        <v>47.900000000000006</v>
      </c>
      <c r="D46" s="164"/>
      <c r="E46" s="164">
        <f>E42-D42</f>
        <v>39.900000000000006</v>
      </c>
    </row>
    <row r="47" spans="1:5" x14ac:dyDescent="0.3">
      <c r="A47" s="164" t="s">
        <v>800</v>
      </c>
      <c r="B47" s="164"/>
      <c r="C47" s="164">
        <f>C43-B43</f>
        <v>2.0999999999999943</v>
      </c>
      <c r="D47" s="164"/>
      <c r="E47" s="164">
        <f>E43-D43</f>
        <v>10.099999999999994</v>
      </c>
    </row>
    <row r="49" spans="1:6" x14ac:dyDescent="0.3">
      <c r="A49" s="12" t="s">
        <v>244</v>
      </c>
    </row>
    <row r="50" spans="1:6" x14ac:dyDescent="0.3">
      <c r="A50" s="12"/>
    </row>
    <row r="51" spans="1:6" x14ac:dyDescent="0.3">
      <c r="A51" s="160" t="s">
        <v>801</v>
      </c>
    </row>
    <row r="52" spans="1:6" x14ac:dyDescent="0.3">
      <c r="A52" s="25" t="s">
        <v>1396</v>
      </c>
      <c r="B52" s="168" t="s">
        <v>1107</v>
      </c>
      <c r="C52" s="168" t="s">
        <v>805</v>
      </c>
      <c r="D52" s="168" t="s">
        <v>806</v>
      </c>
    </row>
    <row r="53" spans="1:6" x14ac:dyDescent="0.3">
      <c r="A53" t="s">
        <v>807</v>
      </c>
      <c r="B53" s="122">
        <f>C53*D53</f>
        <v>0</v>
      </c>
      <c r="C53" s="163"/>
      <c r="D53" s="297">
        <v>100</v>
      </c>
    </row>
    <row r="54" spans="1:6" x14ac:dyDescent="0.3">
      <c r="A54" t="s">
        <v>808</v>
      </c>
      <c r="B54" s="122">
        <f>C54*D54</f>
        <v>300000</v>
      </c>
      <c r="C54" s="163">
        <v>300</v>
      </c>
      <c r="D54" s="163">
        <v>1000</v>
      </c>
      <c r="E54" s="162">
        <v>3</v>
      </c>
      <c r="F54" t="s">
        <v>638</v>
      </c>
    </row>
    <row r="55" spans="1:6" x14ac:dyDescent="0.3">
      <c r="A55" s="25" t="s">
        <v>1389</v>
      </c>
      <c r="B55" s="169"/>
      <c r="C55" s="170"/>
      <c r="D55" s="170"/>
      <c r="E55" s="162"/>
    </row>
    <row r="56" spans="1:6" x14ac:dyDescent="0.3">
      <c r="A56" t="s">
        <v>803</v>
      </c>
      <c r="B56" s="122">
        <f>C56*D56</f>
        <v>223000</v>
      </c>
      <c r="C56" s="163">
        <v>2230</v>
      </c>
      <c r="D56" s="163">
        <v>100</v>
      </c>
    </row>
    <row r="58" spans="1:6" x14ac:dyDescent="0.3">
      <c r="A58" s="160" t="s">
        <v>802</v>
      </c>
    </row>
    <row r="59" spans="1:6" x14ac:dyDescent="0.3">
      <c r="A59" s="66" t="s">
        <v>786</v>
      </c>
      <c r="B59" s="66" t="s">
        <v>804</v>
      </c>
    </row>
    <row r="60" spans="1:6" x14ac:dyDescent="0.3">
      <c r="A60" s="163">
        <v>2600</v>
      </c>
      <c r="B60" s="163">
        <v>130</v>
      </c>
    </row>
    <row r="61" spans="1:6" x14ac:dyDescent="0.3">
      <c r="A61" s="163">
        <v>2800</v>
      </c>
      <c r="B61" s="163">
        <v>80</v>
      </c>
    </row>
    <row r="62" spans="1:6" x14ac:dyDescent="0.3">
      <c r="A62" s="163">
        <v>3000</v>
      </c>
      <c r="B62" s="163">
        <v>45</v>
      </c>
    </row>
    <row r="63" spans="1:6" x14ac:dyDescent="0.3">
      <c r="A63" s="163">
        <v>3200</v>
      </c>
      <c r="B63" s="163">
        <v>31</v>
      </c>
    </row>
    <row r="64" spans="1:6" x14ac:dyDescent="0.3">
      <c r="A64" t="s">
        <v>101</v>
      </c>
    </row>
    <row r="65" spans="1:4" x14ac:dyDescent="0.3">
      <c r="A65" s="3" t="s">
        <v>814</v>
      </c>
      <c r="B65" s="122">
        <f>B54/D53</f>
        <v>3000</v>
      </c>
    </row>
    <row r="66" spans="1:4" x14ac:dyDescent="0.3">
      <c r="A66" t="s">
        <v>810</v>
      </c>
      <c r="B66" s="122">
        <f>B62*D53</f>
        <v>4500</v>
      </c>
    </row>
    <row r="67" spans="1:4" x14ac:dyDescent="0.3">
      <c r="A67" t="s">
        <v>811</v>
      </c>
      <c r="B67" s="171">
        <f>B56-B66</f>
        <v>218500</v>
      </c>
    </row>
    <row r="69" spans="1:4" x14ac:dyDescent="0.3">
      <c r="A69" s="3" t="s">
        <v>809</v>
      </c>
      <c r="B69" s="163">
        <f>C69*D69</f>
        <v>13380</v>
      </c>
      <c r="C69" s="297">
        <v>2230</v>
      </c>
      <c r="D69" s="297">
        <v>6</v>
      </c>
    </row>
    <row r="70" spans="1:4" x14ac:dyDescent="0.3">
      <c r="A70" t="s">
        <v>803</v>
      </c>
      <c r="B70" s="122">
        <f>C70*D70</f>
        <v>209620</v>
      </c>
      <c r="C70" s="122">
        <v>2230</v>
      </c>
      <c r="D70" s="122">
        <f>D56-D69</f>
        <v>94</v>
      </c>
    </row>
    <row r="72" spans="1:4" x14ac:dyDescent="0.3">
      <c r="A72" t="s">
        <v>815</v>
      </c>
    </row>
    <row r="73" spans="1:4" x14ac:dyDescent="0.3">
      <c r="A73" t="s">
        <v>816</v>
      </c>
      <c r="B73" s="171">
        <f>B54/D70</f>
        <v>3191.4893617021276</v>
      </c>
    </row>
    <row r="74" spans="1:4" x14ac:dyDescent="0.3">
      <c r="A74" t="s">
        <v>817</v>
      </c>
      <c r="B74" s="158">
        <f>INDEX(LINEST(B62:B63,A62:A63),1)*B73+INDEX(LINEST(B62:B63,A62:A63),2)</f>
        <v>31.595744680851055</v>
      </c>
    </row>
    <row r="75" spans="1:4" x14ac:dyDescent="0.3">
      <c r="A75" s="3"/>
      <c r="B75" s="122"/>
    </row>
    <row r="76" spans="1:4" x14ac:dyDescent="0.3">
      <c r="A76" s="3" t="s">
        <v>102</v>
      </c>
      <c r="B76" s="122"/>
    </row>
    <row r="77" spans="1:4" x14ac:dyDescent="0.3">
      <c r="A77" s="164" t="s">
        <v>812</v>
      </c>
      <c r="B77" s="165">
        <f>B74*D70</f>
        <v>2969.9999999999991</v>
      </c>
    </row>
    <row r="78" spans="1:4" x14ac:dyDescent="0.3">
      <c r="A78" s="164" t="s">
        <v>813</v>
      </c>
      <c r="B78" s="165">
        <f>B70-B77</f>
        <v>206650</v>
      </c>
    </row>
    <row r="80" spans="1:4" x14ac:dyDescent="0.3">
      <c r="A80" s="164" t="s">
        <v>799</v>
      </c>
      <c r="B80" s="67">
        <f>B77-B66+B69</f>
        <v>11850</v>
      </c>
    </row>
    <row r="81" spans="1:2" x14ac:dyDescent="0.3">
      <c r="A81" s="164" t="s">
        <v>800</v>
      </c>
      <c r="B81" s="67">
        <f>B78-B67</f>
        <v>-11850</v>
      </c>
    </row>
    <row r="83" spans="1:2" x14ac:dyDescent="0.3">
      <c r="A83" s="293" t="s">
        <v>385</v>
      </c>
      <c r="B83" s="86">
        <f>POWER(B54/B78,1/3)-1</f>
        <v>0.13230114992101738</v>
      </c>
    </row>
    <row r="85" spans="1:2" x14ac:dyDescent="0.3">
      <c r="A85" s="294" t="s">
        <v>390</v>
      </c>
    </row>
    <row r="87" spans="1:2" x14ac:dyDescent="0.3">
      <c r="A87" s="116" t="s">
        <v>386</v>
      </c>
    </row>
    <row r="89" spans="1:2" x14ac:dyDescent="0.3">
      <c r="A89" s="85" t="s">
        <v>387</v>
      </c>
    </row>
    <row r="90" spans="1:2" x14ac:dyDescent="0.3">
      <c r="A90" t="s">
        <v>733</v>
      </c>
      <c r="B90" s="171">
        <f>B66</f>
        <v>4500</v>
      </c>
    </row>
    <row r="91" spans="1:2" x14ac:dyDescent="0.3">
      <c r="B91" s="171"/>
    </row>
    <row r="92" spans="1:2" x14ac:dyDescent="0.3">
      <c r="A92" s="85" t="s">
        <v>388</v>
      </c>
    </row>
    <row r="93" spans="1:2" x14ac:dyDescent="0.3">
      <c r="A93" t="s">
        <v>733</v>
      </c>
      <c r="B93" s="295">
        <f>B77</f>
        <v>2969.9999999999991</v>
      </c>
    </row>
    <row r="94" spans="1:2" x14ac:dyDescent="0.3">
      <c r="A94" s="25" t="s">
        <v>325</v>
      </c>
      <c r="B94" s="296">
        <f>B69</f>
        <v>13380</v>
      </c>
    </row>
    <row r="95" spans="1:2" x14ac:dyDescent="0.3">
      <c r="A95" t="s">
        <v>1107</v>
      </c>
      <c r="B95" s="295">
        <f>B93+B94</f>
        <v>16350</v>
      </c>
    </row>
    <row r="97" spans="1:2" x14ac:dyDescent="0.3">
      <c r="A97" s="1" t="s">
        <v>1054</v>
      </c>
      <c r="B97" s="124">
        <f>B95-B90</f>
        <v>11850</v>
      </c>
    </row>
    <row r="99" spans="1:2" x14ac:dyDescent="0.3">
      <c r="A99" s="116" t="s">
        <v>389</v>
      </c>
    </row>
    <row r="101" spans="1:2" x14ac:dyDescent="0.3">
      <c r="A101" t="s">
        <v>387</v>
      </c>
    </row>
    <row r="102" spans="1:2" x14ac:dyDescent="0.3">
      <c r="A102" t="s">
        <v>734</v>
      </c>
      <c r="B102" s="171">
        <f>B67</f>
        <v>218500</v>
      </c>
    </row>
    <row r="104" spans="1:2" x14ac:dyDescent="0.3">
      <c r="A104" t="s">
        <v>388</v>
      </c>
    </row>
    <row r="105" spans="1:2" x14ac:dyDescent="0.3">
      <c r="A105" t="s">
        <v>734</v>
      </c>
      <c r="B105" s="171">
        <f>B78</f>
        <v>206650</v>
      </c>
    </row>
    <row r="107" spans="1:2" x14ac:dyDescent="0.3">
      <c r="A107" s="1" t="s">
        <v>1054</v>
      </c>
      <c r="B107" s="124">
        <f>B105-B102</f>
        <v>-11850</v>
      </c>
    </row>
  </sheetData>
  <mergeCells count="2">
    <mergeCell ref="B38:C38"/>
    <mergeCell ref="D38:E38"/>
  </mergeCells>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dimension ref="A1:G20"/>
  <sheetViews>
    <sheetView showGridLines="0" workbookViewId="0">
      <selection activeCell="B18" sqref="B18"/>
    </sheetView>
  </sheetViews>
  <sheetFormatPr baseColWidth="10" defaultRowHeight="13.5" x14ac:dyDescent="0.3"/>
  <cols>
    <col min="1" max="1" width="22.765625" customWidth="1"/>
  </cols>
  <sheetData>
    <row r="1" spans="1:7" x14ac:dyDescent="0.3">
      <c r="A1" s="12" t="s">
        <v>1468</v>
      </c>
    </row>
    <row r="2" spans="1:7" s="207" customFormat="1" ht="11.5" x14ac:dyDescent="0.3"/>
    <row r="3" spans="1:7" x14ac:dyDescent="0.3">
      <c r="A3" s="467" t="s">
        <v>1110</v>
      </c>
      <c r="B3" s="467">
        <v>0</v>
      </c>
      <c r="C3" s="467">
        <v>1</v>
      </c>
      <c r="D3" s="467">
        <v>2</v>
      </c>
      <c r="E3" s="467">
        <v>3</v>
      </c>
      <c r="F3" s="467">
        <v>4</v>
      </c>
      <c r="G3" s="467">
        <v>5</v>
      </c>
    </row>
    <row r="4" spans="1:7" x14ac:dyDescent="0.3">
      <c r="A4" t="s">
        <v>518</v>
      </c>
      <c r="B4">
        <v>-100</v>
      </c>
      <c r="C4">
        <v>-10</v>
      </c>
      <c r="D4">
        <v>0</v>
      </c>
      <c r="E4">
        <v>0</v>
      </c>
      <c r="F4">
        <v>10</v>
      </c>
      <c r="G4">
        <v>150</v>
      </c>
    </row>
    <row r="6" spans="1:7" x14ac:dyDescent="0.3">
      <c r="A6" s="161" t="s">
        <v>1074</v>
      </c>
    </row>
    <row r="7" spans="1:7" x14ac:dyDescent="0.3">
      <c r="A7" t="s">
        <v>670</v>
      </c>
      <c r="B7" s="37">
        <v>0.3</v>
      </c>
      <c r="C7" s="37">
        <v>0.22</v>
      </c>
      <c r="D7" s="37">
        <v>0.22</v>
      </c>
      <c r="E7" s="37">
        <v>0.22</v>
      </c>
      <c r="F7" s="37">
        <v>0.22</v>
      </c>
      <c r="G7" s="37">
        <v>0.22</v>
      </c>
    </row>
    <row r="8" spans="1:7" x14ac:dyDescent="0.3">
      <c r="A8" t="s">
        <v>664</v>
      </c>
      <c r="B8">
        <v>10</v>
      </c>
      <c r="C8">
        <v>8.25</v>
      </c>
      <c r="D8">
        <v>9.1</v>
      </c>
      <c r="E8">
        <v>10.3</v>
      </c>
      <c r="F8">
        <v>11.8</v>
      </c>
      <c r="G8">
        <v>13.6</v>
      </c>
    </row>
    <row r="9" spans="1:7" x14ac:dyDescent="0.3">
      <c r="A9" t="s">
        <v>1075</v>
      </c>
      <c r="B9" s="86"/>
      <c r="C9" s="69">
        <f>(C8-B8)/B8</f>
        <v>-0.17499999999999999</v>
      </c>
      <c r="D9" s="69">
        <f>(D8-C8)/C8</f>
        <v>0.10303030303030299</v>
      </c>
      <c r="E9" s="69">
        <f>(E8-D8)/D8</f>
        <v>0.13186813186813198</v>
      </c>
      <c r="F9" s="69">
        <f>(F8-E8)/E8</f>
        <v>0.14563106796116504</v>
      </c>
      <c r="G9" s="69">
        <f>(G8-F8)/F8</f>
        <v>0.15254237288135583</v>
      </c>
    </row>
    <row r="10" spans="1:7" x14ac:dyDescent="0.3">
      <c r="A10" t="s">
        <v>267</v>
      </c>
      <c r="B10" s="86">
        <v>0.15</v>
      </c>
      <c r="C10" s="86">
        <v>0.11</v>
      </c>
      <c r="D10" s="86">
        <v>0.11</v>
      </c>
      <c r="E10" s="86">
        <v>0.114</v>
      </c>
      <c r="F10" s="86">
        <v>0.11600000000000001</v>
      </c>
      <c r="G10" s="86">
        <v>0.12</v>
      </c>
    </row>
    <row r="12" spans="1:7" x14ac:dyDescent="0.3">
      <c r="A12" s="161" t="s">
        <v>1076</v>
      </c>
    </row>
    <row r="13" spans="1:7" x14ac:dyDescent="0.3">
      <c r="A13" t="s">
        <v>670</v>
      </c>
      <c r="B13" s="37">
        <v>0.3</v>
      </c>
      <c r="C13" s="37">
        <v>0.67</v>
      </c>
      <c r="D13" s="37">
        <v>0.67</v>
      </c>
      <c r="E13" s="37">
        <v>0.67</v>
      </c>
      <c r="F13" s="37">
        <v>0.67</v>
      </c>
      <c r="G13" s="37">
        <v>0.67</v>
      </c>
    </row>
    <row r="14" spans="1:7" x14ac:dyDescent="0.3">
      <c r="A14" t="s">
        <v>664</v>
      </c>
      <c r="B14">
        <v>10</v>
      </c>
      <c r="C14">
        <v>9.23</v>
      </c>
      <c r="D14">
        <v>10.4</v>
      </c>
      <c r="E14">
        <v>12</v>
      </c>
      <c r="F14">
        <v>14.1</v>
      </c>
      <c r="G14">
        <v>16.5</v>
      </c>
    </row>
    <row r="15" spans="1:7" x14ac:dyDescent="0.3">
      <c r="A15" t="s">
        <v>1075</v>
      </c>
      <c r="C15" s="69">
        <f>(C14-B14)/B14</f>
        <v>-7.6999999999999957E-2</v>
      </c>
      <c r="D15" s="69">
        <f>(D14-C14)/C14</f>
        <v>0.12676056338028169</v>
      </c>
      <c r="E15" s="69">
        <f>(E14-D14)/D14</f>
        <v>0.1538461538461538</v>
      </c>
      <c r="F15" s="69">
        <f>(F14-E14)/E14</f>
        <v>0.17499999999999996</v>
      </c>
      <c r="G15" s="69">
        <f>(G14-F14)/F14</f>
        <v>0.17021276595744683</v>
      </c>
    </row>
    <row r="16" spans="1:7" x14ac:dyDescent="0.3">
      <c r="A16" t="s">
        <v>267</v>
      </c>
      <c r="B16" s="37">
        <v>0.15</v>
      </c>
      <c r="C16" s="37">
        <v>0.14000000000000001</v>
      </c>
      <c r="D16" s="37">
        <v>0.17</v>
      </c>
      <c r="E16" s="37">
        <v>0.18</v>
      </c>
      <c r="F16" s="37">
        <v>0.21</v>
      </c>
      <c r="G16" s="37">
        <v>0.22</v>
      </c>
    </row>
    <row r="18" spans="1:7" x14ac:dyDescent="0.3">
      <c r="A18" t="s">
        <v>645</v>
      </c>
      <c r="B18" s="5">
        <f t="shared" ref="B18:G18" si="0">B4*POWER(1+$B20,-B3)</f>
        <v>-100</v>
      </c>
      <c r="C18" s="5">
        <f t="shared" si="0"/>
        <v>-9.2561417810507294</v>
      </c>
      <c r="D18" s="5">
        <f t="shared" si="0"/>
        <v>0</v>
      </c>
      <c r="E18" s="5">
        <f t="shared" si="0"/>
        <v>0</v>
      </c>
      <c r="F18" s="5">
        <f t="shared" si="0"/>
        <v>7.3404045073080928</v>
      </c>
      <c r="G18" s="5">
        <f t="shared" si="0"/>
        <v>101.9157372748613</v>
      </c>
    </row>
    <row r="19" spans="1:7" x14ac:dyDescent="0.3">
      <c r="A19" t="s">
        <v>519</v>
      </c>
      <c r="B19" s="5">
        <f>SUM(B18:G18)</f>
        <v>1.1186642723259865E-9</v>
      </c>
    </row>
    <row r="20" spans="1:7" x14ac:dyDescent="0.3">
      <c r="A20" s="1" t="s">
        <v>830</v>
      </c>
      <c r="B20" s="143">
        <f>IRR(B4:G4)</f>
        <v>8.036374512673361E-2</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J33"/>
  <sheetViews>
    <sheetView showGridLines="0" workbookViewId="0"/>
  </sheetViews>
  <sheetFormatPr baseColWidth="10" defaultRowHeight="13.5" x14ac:dyDescent="0.3"/>
  <cols>
    <col min="1" max="1" width="15.765625" style="184" customWidth="1"/>
  </cols>
  <sheetData>
    <row r="1" spans="1:2" x14ac:dyDescent="0.3">
      <c r="A1" s="12" t="s">
        <v>1418</v>
      </c>
    </row>
    <row r="2" spans="1:2" x14ac:dyDescent="0.3">
      <c r="A2" s="185" t="s">
        <v>965</v>
      </c>
      <c r="B2" s="86">
        <v>0.1</v>
      </c>
    </row>
    <row r="3" spans="1:2" x14ac:dyDescent="0.3">
      <c r="A3" s="185" t="s">
        <v>966</v>
      </c>
      <c r="B3" s="86">
        <v>0.25</v>
      </c>
    </row>
    <row r="4" spans="1:2" x14ac:dyDescent="0.3">
      <c r="A4" s="185" t="s">
        <v>967</v>
      </c>
      <c r="B4" s="86">
        <v>7.0000000000000007E-2</v>
      </c>
    </row>
    <row r="5" spans="1:2" x14ac:dyDescent="0.3">
      <c r="A5" s="185" t="s">
        <v>761</v>
      </c>
      <c r="B5" s="86">
        <v>0.4</v>
      </c>
    </row>
    <row r="6" spans="1:2" x14ac:dyDescent="0.3">
      <c r="A6" s="185" t="s">
        <v>248</v>
      </c>
      <c r="B6" s="69">
        <f>B4*(1-B5)</f>
        <v>4.2000000000000003E-2</v>
      </c>
    </row>
    <row r="8" spans="1:2" x14ac:dyDescent="0.3">
      <c r="A8" s="161" t="s">
        <v>968</v>
      </c>
    </row>
    <row r="9" spans="1:2" x14ac:dyDescent="0.3">
      <c r="A9" s="185" t="s">
        <v>688</v>
      </c>
      <c r="B9" s="86">
        <v>0</v>
      </c>
    </row>
    <row r="10" spans="1:2" x14ac:dyDescent="0.3">
      <c r="A10" s="186" t="s">
        <v>969</v>
      </c>
      <c r="B10" s="125">
        <f>(B3/(1-B9)-B2)/(B2-B6)</f>
        <v>2.5862068965517238</v>
      </c>
    </row>
    <row r="12" spans="1:2" x14ac:dyDescent="0.3">
      <c r="A12" s="161" t="s">
        <v>968</v>
      </c>
    </row>
    <row r="13" spans="1:2" x14ac:dyDescent="0.3">
      <c r="A13" s="185" t="s">
        <v>688</v>
      </c>
      <c r="B13" s="86">
        <f>1/3</f>
        <v>0.33333333333333331</v>
      </c>
    </row>
    <row r="14" spans="1:2" x14ac:dyDescent="0.3">
      <c r="A14" s="186" t="s">
        <v>969</v>
      </c>
      <c r="B14" s="125">
        <f>(B3/(1-B13)-B2)/(B2-B6)</f>
        <v>4.7413793103448256</v>
      </c>
    </row>
    <row r="16" spans="1:2" x14ac:dyDescent="0.3">
      <c r="A16" s="161" t="s">
        <v>970</v>
      </c>
    </row>
    <row r="17" spans="1:10" x14ac:dyDescent="0.3">
      <c r="A17" s="185" t="s">
        <v>969</v>
      </c>
      <c r="B17" s="149">
        <v>1</v>
      </c>
    </row>
    <row r="18" spans="1:10" x14ac:dyDescent="0.3">
      <c r="A18" s="185" t="s">
        <v>688</v>
      </c>
      <c r="B18" s="147">
        <v>0</v>
      </c>
    </row>
    <row r="19" spans="1:10" x14ac:dyDescent="0.3">
      <c r="A19" s="186" t="s">
        <v>661</v>
      </c>
      <c r="B19" s="143">
        <f>(B2+(B2-B6)*B17)*(1-B18)</f>
        <v>0.158</v>
      </c>
    </row>
    <row r="20" spans="1:10" x14ac:dyDescent="0.3">
      <c r="A20" s="186"/>
      <c r="B20" s="143"/>
    </row>
    <row r="21" spans="1:10" x14ac:dyDescent="0.3">
      <c r="A21" s="161" t="s">
        <v>970</v>
      </c>
    </row>
    <row r="22" spans="1:10" x14ac:dyDescent="0.3">
      <c r="A22" s="185" t="s">
        <v>969</v>
      </c>
      <c r="B22" s="149">
        <v>1</v>
      </c>
    </row>
    <row r="23" spans="1:10" x14ac:dyDescent="0.3">
      <c r="A23" s="185" t="s">
        <v>688</v>
      </c>
      <c r="B23" s="147">
        <v>0.33333333333333298</v>
      </c>
    </row>
    <row r="24" spans="1:10" x14ac:dyDescent="0.3">
      <c r="A24" s="186" t="s">
        <v>661</v>
      </c>
      <c r="B24" s="143">
        <f>(B2+(B2-B6)*B22)*(1-B23)</f>
        <v>0.10533333333333338</v>
      </c>
    </row>
    <row r="26" spans="1:10" x14ac:dyDescent="0.3">
      <c r="A26" s="12" t="s">
        <v>1420</v>
      </c>
    </row>
    <row r="27" spans="1:10" ht="20" x14ac:dyDescent="0.3">
      <c r="A27" s="495" t="s">
        <v>1110</v>
      </c>
      <c r="B27" s="496" t="s">
        <v>938</v>
      </c>
      <c r="C27" s="496" t="s">
        <v>111</v>
      </c>
      <c r="D27" s="496" t="s">
        <v>971</v>
      </c>
      <c r="E27" s="496" t="s">
        <v>972</v>
      </c>
      <c r="F27" s="496" t="s">
        <v>973</v>
      </c>
      <c r="G27" s="496" t="s">
        <v>1221</v>
      </c>
      <c r="H27" s="496" t="s">
        <v>1190</v>
      </c>
      <c r="I27" s="496" t="s">
        <v>974</v>
      </c>
      <c r="J27" s="496" t="s">
        <v>975</v>
      </c>
    </row>
    <row r="28" spans="1:10" x14ac:dyDescent="0.3">
      <c r="A28" s="497">
        <v>1</v>
      </c>
      <c r="B28">
        <v>100</v>
      </c>
      <c r="C28">
        <v>100</v>
      </c>
      <c r="D28">
        <f t="shared" ref="D28:D33" si="0">SUM(B28:C28)</f>
        <v>200</v>
      </c>
      <c r="E28">
        <v>20</v>
      </c>
      <c r="F28">
        <v>8</v>
      </c>
      <c r="G28">
        <f t="shared" ref="G28:G33" si="1">E28-F28</f>
        <v>12</v>
      </c>
      <c r="H28">
        <v>2</v>
      </c>
      <c r="I28">
        <f t="shared" ref="I28:I33" si="2">G28-H28</f>
        <v>10</v>
      </c>
      <c r="J28">
        <f t="shared" ref="J28:J33" si="3">B28+I28</f>
        <v>110</v>
      </c>
    </row>
    <row r="29" spans="1:10" x14ac:dyDescent="0.3">
      <c r="A29" s="497">
        <f>A28+1</f>
        <v>2</v>
      </c>
      <c r="B29">
        <f>J28</f>
        <v>110</v>
      </c>
      <c r="C29">
        <v>140</v>
      </c>
      <c r="D29">
        <f t="shared" si="0"/>
        <v>250</v>
      </c>
      <c r="E29">
        <v>25</v>
      </c>
      <c r="F29">
        <v>12</v>
      </c>
      <c r="G29">
        <f t="shared" si="1"/>
        <v>13</v>
      </c>
      <c r="H29">
        <v>1</v>
      </c>
      <c r="I29">
        <f t="shared" si="2"/>
        <v>12</v>
      </c>
      <c r="J29">
        <f t="shared" si="3"/>
        <v>122</v>
      </c>
    </row>
    <row r="30" spans="1:10" x14ac:dyDescent="0.3">
      <c r="A30" s="497">
        <f>A29+1</f>
        <v>3</v>
      </c>
      <c r="B30">
        <f>J29</f>
        <v>122</v>
      </c>
      <c r="C30">
        <v>190</v>
      </c>
      <c r="D30">
        <f t="shared" si="0"/>
        <v>312</v>
      </c>
      <c r="E30">
        <v>28</v>
      </c>
      <c r="F30">
        <v>17</v>
      </c>
      <c r="G30">
        <f t="shared" si="1"/>
        <v>11</v>
      </c>
      <c r="H30">
        <v>0</v>
      </c>
      <c r="I30">
        <f t="shared" si="2"/>
        <v>11</v>
      </c>
      <c r="J30">
        <f t="shared" si="3"/>
        <v>133</v>
      </c>
    </row>
    <row r="31" spans="1:10" x14ac:dyDescent="0.3">
      <c r="A31" s="497">
        <f>A30+1</f>
        <v>4</v>
      </c>
      <c r="B31">
        <f>J30</f>
        <v>133</v>
      </c>
      <c r="C31">
        <v>258</v>
      </c>
      <c r="D31">
        <f t="shared" si="0"/>
        <v>391</v>
      </c>
      <c r="E31">
        <v>31</v>
      </c>
      <c r="F31">
        <v>26</v>
      </c>
      <c r="G31">
        <f t="shared" si="1"/>
        <v>5</v>
      </c>
      <c r="H31">
        <v>0</v>
      </c>
      <c r="I31">
        <f t="shared" si="2"/>
        <v>5</v>
      </c>
      <c r="J31">
        <f t="shared" si="3"/>
        <v>138</v>
      </c>
    </row>
    <row r="32" spans="1:10" x14ac:dyDescent="0.3">
      <c r="A32" s="497">
        <f>A31+1</f>
        <v>5</v>
      </c>
      <c r="B32">
        <f>J31</f>
        <v>138</v>
      </c>
      <c r="C32">
        <v>350</v>
      </c>
      <c r="D32">
        <f t="shared" si="0"/>
        <v>488</v>
      </c>
      <c r="E32">
        <v>34</v>
      </c>
      <c r="F32">
        <v>35</v>
      </c>
      <c r="G32">
        <f t="shared" si="1"/>
        <v>-1</v>
      </c>
      <c r="H32">
        <v>0</v>
      </c>
      <c r="I32">
        <f t="shared" si="2"/>
        <v>-1</v>
      </c>
      <c r="J32">
        <f t="shared" si="3"/>
        <v>137</v>
      </c>
    </row>
    <row r="33" spans="1:10" x14ac:dyDescent="0.3">
      <c r="A33" s="498">
        <f>A32+1</f>
        <v>6</v>
      </c>
      <c r="B33" s="25">
        <f>J32</f>
        <v>137</v>
      </c>
      <c r="C33" s="25">
        <v>474</v>
      </c>
      <c r="D33" s="25">
        <f t="shared" si="0"/>
        <v>611</v>
      </c>
      <c r="E33" s="25">
        <v>43</v>
      </c>
      <c r="F33" s="25">
        <v>47</v>
      </c>
      <c r="G33" s="25">
        <f t="shared" si="1"/>
        <v>-4</v>
      </c>
      <c r="H33" s="25">
        <v>0</v>
      </c>
      <c r="I33" s="25">
        <f t="shared" si="2"/>
        <v>-4</v>
      </c>
      <c r="J33" s="25">
        <f t="shared" si="3"/>
        <v>133</v>
      </c>
    </row>
  </sheetData>
  <phoneticPr fontId="4" type="noConversion"/>
  <pageMargins left="0.78740157480314965" right="0.78740157480314965" top="0.98425196850393704" bottom="0.98425196850393704" header="0.51181102362204722" footer="0.51181102362204722"/>
  <pageSetup paperSize="9" scale="98"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V92"/>
  <sheetViews>
    <sheetView showGridLines="0" workbookViewId="0"/>
  </sheetViews>
  <sheetFormatPr baseColWidth="10" defaultRowHeight="13.5" x14ac:dyDescent="0.3"/>
  <cols>
    <col min="1" max="1" width="14.3828125" style="184" customWidth="1"/>
    <col min="2" max="4" width="13.3828125" bestFit="1" customWidth="1"/>
    <col min="5" max="6" width="11.15234375" bestFit="1" customWidth="1"/>
    <col min="7" max="7" width="11.84375" customWidth="1"/>
    <col min="8" max="9" width="11.15234375" bestFit="1" customWidth="1"/>
  </cols>
  <sheetData>
    <row r="1" spans="1:9" x14ac:dyDescent="0.3">
      <c r="A1" s="12" t="s">
        <v>1418</v>
      </c>
    </row>
    <row r="2" spans="1:9" x14ac:dyDescent="0.3">
      <c r="A2" s="160" t="s">
        <v>1167</v>
      </c>
    </row>
    <row r="3" spans="1:9" x14ac:dyDescent="0.3">
      <c r="A3" s="185" t="s">
        <v>663</v>
      </c>
      <c r="B3" s="15">
        <v>60.77</v>
      </c>
      <c r="C3" t="s">
        <v>615</v>
      </c>
    </row>
    <row r="4" spans="1:9" x14ac:dyDescent="0.3">
      <c r="A4" s="415" t="s">
        <v>1595</v>
      </c>
      <c r="B4" s="15">
        <v>1.6</v>
      </c>
      <c r="C4" t="s">
        <v>615</v>
      </c>
    </row>
    <row r="5" spans="1:9" x14ac:dyDescent="0.3">
      <c r="A5" s="185" t="s">
        <v>664</v>
      </c>
      <c r="B5" s="15">
        <v>3.99</v>
      </c>
      <c r="C5" t="s">
        <v>615</v>
      </c>
    </row>
    <row r="6" spans="1:9" x14ac:dyDescent="0.3">
      <c r="A6" s="185"/>
      <c r="B6" s="37"/>
    </row>
    <row r="7" spans="1:9" x14ac:dyDescent="0.3">
      <c r="A7" s="185"/>
      <c r="B7" s="37"/>
    </row>
    <row r="8" spans="1:9" x14ac:dyDescent="0.3">
      <c r="A8" s="186" t="s">
        <v>688</v>
      </c>
      <c r="B8" s="396">
        <f>B4/B5</f>
        <v>0.40100250626566414</v>
      </c>
      <c r="D8" s="37"/>
    </row>
    <row r="9" spans="1:9" ht="14.25" customHeight="1" x14ac:dyDescent="0.3">
      <c r="A9" s="186" t="s">
        <v>976</v>
      </c>
      <c r="B9" s="397">
        <f>B4/B3</f>
        <v>2.6328780648346223E-2</v>
      </c>
    </row>
    <row r="11" spans="1:9" x14ac:dyDescent="0.3">
      <c r="B11" s="200"/>
      <c r="C11" s="199"/>
      <c r="D11" s="199"/>
      <c r="E11" s="199"/>
      <c r="F11" s="199"/>
      <c r="G11" s="199"/>
      <c r="H11" s="199"/>
      <c r="I11" s="199"/>
    </row>
    <row r="12" spans="1:9" x14ac:dyDescent="0.3">
      <c r="A12" s="33" t="s">
        <v>118</v>
      </c>
      <c r="B12" s="200"/>
      <c r="C12" s="199"/>
      <c r="D12" s="199"/>
      <c r="E12" s="199"/>
      <c r="F12" s="199"/>
      <c r="G12" s="199"/>
      <c r="H12" s="199"/>
      <c r="I12" s="199"/>
    </row>
    <row r="13" spans="1:9" x14ac:dyDescent="0.3">
      <c r="B13" s="200"/>
      <c r="C13" s="8"/>
      <c r="D13" s="199"/>
      <c r="E13" s="199"/>
      <c r="F13" s="199"/>
      <c r="G13" s="199"/>
      <c r="H13" s="199"/>
      <c r="I13" s="199"/>
    </row>
    <row r="15" spans="1:9" x14ac:dyDescent="0.3">
      <c r="A15" s="33"/>
    </row>
    <row r="16" spans="1:9" x14ac:dyDescent="0.3">
      <c r="A16" s="33"/>
      <c r="B16" s="105" t="s">
        <v>1062</v>
      </c>
      <c r="C16" s="105" t="s">
        <v>1064</v>
      </c>
      <c r="D16" s="105" t="s">
        <v>1065</v>
      </c>
    </row>
    <row r="17" spans="1:22" x14ac:dyDescent="0.3">
      <c r="A17" s="207" t="s">
        <v>714</v>
      </c>
      <c r="B17" s="210">
        <v>100000000</v>
      </c>
      <c r="C17" s="210">
        <f t="shared" ref="C17:D20" si="0">B17</f>
        <v>100000000</v>
      </c>
      <c r="D17" s="210">
        <f t="shared" si="0"/>
        <v>100000000</v>
      </c>
      <c r="E17" s="207"/>
      <c r="F17" s="207"/>
      <c r="G17" s="207"/>
      <c r="H17" s="207"/>
      <c r="I17" s="207"/>
      <c r="J17" s="207"/>
      <c r="K17" s="207"/>
      <c r="L17" s="207"/>
      <c r="M17" s="207"/>
      <c r="N17" s="207"/>
      <c r="O17" s="207"/>
      <c r="P17" s="207"/>
      <c r="Q17" s="207"/>
      <c r="R17" s="207"/>
      <c r="S17" s="207"/>
      <c r="T17" s="207"/>
      <c r="U17" s="207"/>
      <c r="V17" s="207"/>
    </row>
    <row r="18" spans="1:22" x14ac:dyDescent="0.3">
      <c r="A18" t="s">
        <v>1056</v>
      </c>
      <c r="B18" s="210">
        <v>1000000</v>
      </c>
      <c r="C18" s="210">
        <f t="shared" si="0"/>
        <v>1000000</v>
      </c>
      <c r="D18" s="210">
        <f t="shared" si="0"/>
        <v>1000000</v>
      </c>
    </row>
    <row r="19" spans="1:22" x14ac:dyDescent="0.3">
      <c r="A19" t="s">
        <v>1057</v>
      </c>
      <c r="B19" s="210">
        <v>1000</v>
      </c>
      <c r="C19" s="210">
        <f t="shared" si="0"/>
        <v>1000</v>
      </c>
      <c r="D19" s="210">
        <f t="shared" si="0"/>
        <v>1000</v>
      </c>
    </row>
    <row r="20" spans="1:22" x14ac:dyDescent="0.3">
      <c r="A20" t="s">
        <v>1058</v>
      </c>
      <c r="B20" s="210">
        <v>1200000000</v>
      </c>
      <c r="C20" s="210">
        <f t="shared" si="0"/>
        <v>1200000000</v>
      </c>
      <c r="D20" s="210">
        <f t="shared" si="0"/>
        <v>1200000000</v>
      </c>
    </row>
    <row r="21" spans="1:22" x14ac:dyDescent="0.3">
      <c r="A21"/>
    </row>
    <row r="22" spans="1:22" x14ac:dyDescent="0.3">
      <c r="A22" t="s">
        <v>1059</v>
      </c>
    </row>
    <row r="23" spans="1:22" x14ac:dyDescent="0.3">
      <c r="A23" t="s">
        <v>1056</v>
      </c>
      <c r="B23" s="210"/>
      <c r="C23" s="210">
        <f>C18/4</f>
        <v>250000</v>
      </c>
      <c r="D23" s="210">
        <f>C23</f>
        <v>250000</v>
      </c>
    </row>
    <row r="24" spans="1:22" x14ac:dyDescent="0.3">
      <c r="A24" t="s">
        <v>1060</v>
      </c>
      <c r="B24" s="210"/>
      <c r="C24" s="210">
        <v>500</v>
      </c>
      <c r="D24" s="210">
        <v>1500</v>
      </c>
    </row>
    <row r="25" spans="1:22" x14ac:dyDescent="0.3">
      <c r="A25" t="s">
        <v>1063</v>
      </c>
      <c r="B25" s="86"/>
      <c r="C25" s="86">
        <v>0.05</v>
      </c>
      <c r="D25" s="86">
        <f>C25</f>
        <v>0.05</v>
      </c>
    </row>
    <row r="26" spans="1:22" x14ac:dyDescent="0.3">
      <c r="A26"/>
    </row>
    <row r="27" spans="1:22" x14ac:dyDescent="0.3">
      <c r="A27" s="1" t="s">
        <v>664</v>
      </c>
      <c r="B27" s="211">
        <f>(B17-B24*B23*B25)/(B18-B23)</f>
        <v>100</v>
      </c>
      <c r="C27" s="211">
        <f>(C17-C24*C23*C25)/(C18-C23)</f>
        <v>125</v>
      </c>
      <c r="D27" s="211">
        <f>(D17-D24*D23*D25)/(D18-D23)</f>
        <v>108.33333333333333</v>
      </c>
    </row>
    <row r="28" spans="1:22" x14ac:dyDescent="0.3">
      <c r="A28"/>
      <c r="B28" s="211"/>
      <c r="C28" s="212">
        <f>(C27-$B27)/$B27</f>
        <v>0.25</v>
      </c>
      <c r="D28" s="212">
        <f>(D27-$B27)/$B27</f>
        <v>8.3333333333333287E-2</v>
      </c>
    </row>
    <row r="29" spans="1:22" x14ac:dyDescent="0.3">
      <c r="A29" s="1" t="s">
        <v>1061</v>
      </c>
      <c r="B29" s="211">
        <f>(B20-B23*B24)/(B18-B23)</f>
        <v>1200</v>
      </c>
      <c r="C29" s="211">
        <f>(C20-C23*C24)/(C18-C23)</f>
        <v>1433.3333333333333</v>
      </c>
      <c r="D29" s="211">
        <f>(D20-D23*D24)/(D18-D23)</f>
        <v>1100</v>
      </c>
    </row>
    <row r="30" spans="1:22" x14ac:dyDescent="0.3">
      <c r="A30" s="1"/>
      <c r="B30" s="211"/>
      <c r="C30" s="211"/>
      <c r="D30" s="211"/>
    </row>
    <row r="31" spans="1:22" x14ac:dyDescent="0.3">
      <c r="A31"/>
      <c r="C31" s="212">
        <f>(C29-$B29)/$B29</f>
        <v>0.19444444444444439</v>
      </c>
      <c r="D31" s="212">
        <f>(D29-$B29)/$B29</f>
        <v>-8.3333333333333329E-2</v>
      </c>
    </row>
    <row r="32" spans="1:22" x14ac:dyDescent="0.3">
      <c r="A32"/>
      <c r="C32" s="212"/>
      <c r="D32" s="212"/>
    </row>
    <row r="33" spans="1:7" x14ac:dyDescent="0.3">
      <c r="A33" s="33" t="s">
        <v>244</v>
      </c>
      <c r="C33" s="212"/>
      <c r="D33" s="212"/>
    </row>
    <row r="34" spans="1:7" x14ac:dyDescent="0.3">
      <c r="A34" s="185"/>
      <c r="C34" s="212"/>
      <c r="D34" s="212"/>
    </row>
    <row r="35" spans="1:7" x14ac:dyDescent="0.3">
      <c r="A35" s="516" t="s">
        <v>117</v>
      </c>
      <c r="B35" s="517"/>
      <c r="C35" s="518"/>
      <c r="D35" s="518"/>
      <c r="E35" s="517"/>
    </row>
    <row r="36" spans="1:7" x14ac:dyDescent="0.3">
      <c r="A36"/>
      <c r="C36" s="212"/>
      <c r="D36" s="212"/>
    </row>
    <row r="37" spans="1:7" x14ac:dyDescent="0.3">
      <c r="A37"/>
      <c r="C37" s="212"/>
      <c r="D37" s="212"/>
    </row>
    <row r="38" spans="1:7" x14ac:dyDescent="0.3">
      <c r="A38"/>
    </row>
    <row r="39" spans="1:7" x14ac:dyDescent="0.3">
      <c r="A39" s="33" t="s">
        <v>397</v>
      </c>
    </row>
    <row r="40" spans="1:7" ht="27" x14ac:dyDescent="0.3">
      <c r="A40"/>
      <c r="B40" s="213" t="s">
        <v>910</v>
      </c>
      <c r="C40" s="213" t="s">
        <v>714</v>
      </c>
      <c r="D40" s="213" t="s">
        <v>1072</v>
      </c>
      <c r="E40" s="213" t="s">
        <v>1378</v>
      </c>
      <c r="F40" s="213" t="s">
        <v>1388</v>
      </c>
      <c r="G40" s="213" t="s">
        <v>954</v>
      </c>
    </row>
    <row r="41" spans="1:7" x14ac:dyDescent="0.3">
      <c r="A41">
        <v>2011</v>
      </c>
      <c r="B41">
        <v>170</v>
      </c>
      <c r="C41">
        <v>8</v>
      </c>
      <c r="D41">
        <v>9</v>
      </c>
      <c r="E41">
        <v>50</v>
      </c>
      <c r="F41">
        <v>60</v>
      </c>
      <c r="G41">
        <v>55</v>
      </c>
    </row>
    <row r="42" spans="1:7" x14ac:dyDescent="0.3">
      <c r="A42">
        <f>A41+1</f>
        <v>2012</v>
      </c>
      <c r="B42">
        <v>130</v>
      </c>
      <c r="C42">
        <v>10</v>
      </c>
      <c r="D42">
        <v>10</v>
      </c>
      <c r="E42">
        <v>60</v>
      </c>
      <c r="F42">
        <v>70</v>
      </c>
      <c r="G42">
        <v>90</v>
      </c>
    </row>
    <row r="43" spans="1:7" x14ac:dyDescent="0.3">
      <c r="A43">
        <f>A42+1</f>
        <v>2013</v>
      </c>
      <c r="B43">
        <v>170</v>
      </c>
      <c r="C43">
        <v>11</v>
      </c>
      <c r="D43">
        <v>10</v>
      </c>
      <c r="E43">
        <v>71</v>
      </c>
      <c r="F43">
        <v>75</v>
      </c>
      <c r="G43">
        <v>152</v>
      </c>
    </row>
    <row r="44" spans="1:7" x14ac:dyDescent="0.3">
      <c r="A44">
        <f>A43+1</f>
        <v>2014</v>
      </c>
      <c r="B44">
        <v>220</v>
      </c>
      <c r="C44">
        <v>13</v>
      </c>
      <c r="D44">
        <v>9</v>
      </c>
      <c r="E44">
        <v>84</v>
      </c>
      <c r="F44">
        <v>76</v>
      </c>
      <c r="G44">
        <v>195</v>
      </c>
    </row>
    <row r="45" spans="1:7" x14ac:dyDescent="0.3">
      <c r="A45">
        <f>A44+1</f>
        <v>2015</v>
      </c>
      <c r="B45">
        <v>230</v>
      </c>
      <c r="C45">
        <v>13</v>
      </c>
      <c r="D45">
        <v>7</v>
      </c>
      <c r="E45">
        <v>97</v>
      </c>
      <c r="F45">
        <v>70</v>
      </c>
      <c r="G45">
        <v>210</v>
      </c>
    </row>
    <row r="46" spans="1:7" x14ac:dyDescent="0.3">
      <c r="A46">
        <f>A45+1</f>
        <v>2016</v>
      </c>
      <c r="B46">
        <v>240</v>
      </c>
      <c r="C46">
        <v>13</v>
      </c>
      <c r="D46">
        <v>6</v>
      </c>
      <c r="E46">
        <v>110</v>
      </c>
      <c r="F46">
        <v>65</v>
      </c>
      <c r="G46">
        <v>200</v>
      </c>
    </row>
    <row r="47" spans="1:7" x14ac:dyDescent="0.3">
      <c r="A47"/>
    </row>
    <row r="48" spans="1:7" x14ac:dyDescent="0.3">
      <c r="A48" t="s">
        <v>1056</v>
      </c>
      <c r="B48" s="210">
        <v>1000000</v>
      </c>
    </row>
    <row r="49" spans="1:3" x14ac:dyDescent="0.3">
      <c r="A49" t="s">
        <v>1073</v>
      </c>
      <c r="B49" s="37">
        <v>0.33</v>
      </c>
    </row>
    <row r="50" spans="1:3" x14ac:dyDescent="0.3">
      <c r="A50"/>
    </row>
    <row r="51" spans="1:3" x14ac:dyDescent="0.3">
      <c r="A51" t="s">
        <v>101</v>
      </c>
      <c r="B51" s="4" t="s">
        <v>247</v>
      </c>
      <c r="C51" s="4" t="s">
        <v>267</v>
      </c>
    </row>
    <row r="52" spans="1:3" x14ac:dyDescent="0.3">
      <c r="A52">
        <f t="shared" ref="A52:A57" si="1">A41</f>
        <v>2011</v>
      </c>
      <c r="B52" s="69">
        <f t="shared" ref="B52:B57" si="2">(C41+D41*(1-B$49))/(E41+F41)</f>
        <v>0.12754545454545455</v>
      </c>
      <c r="C52" s="69">
        <f t="shared" ref="C52:C57" si="3">C41/E41</f>
        <v>0.16</v>
      </c>
    </row>
    <row r="53" spans="1:3" x14ac:dyDescent="0.3">
      <c r="A53">
        <f t="shared" si="1"/>
        <v>2012</v>
      </c>
      <c r="B53" s="69">
        <f t="shared" si="2"/>
        <v>0.12846153846153846</v>
      </c>
      <c r="C53" s="69">
        <f t="shared" si="3"/>
        <v>0.16666666666666666</v>
      </c>
    </row>
    <row r="54" spans="1:3" x14ac:dyDescent="0.3">
      <c r="A54">
        <f t="shared" si="1"/>
        <v>2013</v>
      </c>
      <c r="B54" s="69">
        <f t="shared" si="2"/>
        <v>0.12123287671232877</v>
      </c>
      <c r="C54" s="69">
        <f t="shared" si="3"/>
        <v>0.15492957746478872</v>
      </c>
    </row>
    <row r="55" spans="1:3" x14ac:dyDescent="0.3">
      <c r="A55">
        <f t="shared" si="1"/>
        <v>2014</v>
      </c>
      <c r="B55" s="69">
        <f t="shared" si="2"/>
        <v>0.1189375</v>
      </c>
      <c r="C55" s="69">
        <f t="shared" si="3"/>
        <v>0.15476190476190477</v>
      </c>
    </row>
    <row r="56" spans="1:3" x14ac:dyDescent="0.3">
      <c r="A56">
        <f t="shared" si="1"/>
        <v>2015</v>
      </c>
      <c r="B56" s="69">
        <f t="shared" si="2"/>
        <v>0.10592814371257483</v>
      </c>
      <c r="C56" s="69">
        <f t="shared" si="3"/>
        <v>0.13402061855670103</v>
      </c>
    </row>
    <row r="57" spans="1:3" x14ac:dyDescent="0.3">
      <c r="A57">
        <f t="shared" si="1"/>
        <v>2016</v>
      </c>
      <c r="B57" s="69">
        <f t="shared" si="2"/>
        <v>9.7257142857142861E-2</v>
      </c>
      <c r="C57" s="69">
        <f t="shared" si="3"/>
        <v>0.11818181818181818</v>
      </c>
    </row>
    <row r="58" spans="1:3" x14ac:dyDescent="0.3">
      <c r="A58"/>
    </row>
    <row r="59" spans="1:3" x14ac:dyDescent="0.3">
      <c r="A59" t="s">
        <v>102</v>
      </c>
    </row>
    <row r="60" spans="1:3" x14ac:dyDescent="0.3">
      <c r="A60"/>
      <c r="B60" t="s">
        <v>398</v>
      </c>
    </row>
    <row r="61" spans="1:3" x14ac:dyDescent="0.3">
      <c r="A61" s="3">
        <f>A53</f>
        <v>2012</v>
      </c>
      <c r="B61" s="37">
        <f>(C42-C41)/(E42-E41)</f>
        <v>0.2</v>
      </c>
    </row>
    <row r="62" spans="1:3" x14ac:dyDescent="0.3">
      <c r="A62" s="3">
        <f>A54</f>
        <v>2013</v>
      </c>
      <c r="B62" s="37">
        <f>(C43-C42)/(E43-E42)</f>
        <v>9.0909090909090912E-2</v>
      </c>
    </row>
    <row r="63" spans="1:3" x14ac:dyDescent="0.3">
      <c r="A63" s="3">
        <f>A55</f>
        <v>2014</v>
      </c>
      <c r="B63" s="37">
        <f>(C44-C43)/(E44-E43)</f>
        <v>0.15384615384615385</v>
      </c>
    </row>
    <row r="64" spans="1:3" x14ac:dyDescent="0.3">
      <c r="A64" s="3">
        <f>A56</f>
        <v>2015</v>
      </c>
      <c r="B64" s="37">
        <f>(C45-C44)/(E45-E44)</f>
        <v>0</v>
      </c>
    </row>
    <row r="65" spans="1:2" x14ac:dyDescent="0.3">
      <c r="A65" s="3">
        <f>A57</f>
        <v>2016</v>
      </c>
      <c r="B65" s="37">
        <f>(C46-C45)/(E46-E45)</f>
        <v>0</v>
      </c>
    </row>
    <row r="66" spans="1:2" x14ac:dyDescent="0.3">
      <c r="A66" s="3"/>
    </row>
    <row r="67" spans="1:2" x14ac:dyDescent="0.3">
      <c r="A67" s="22" t="s">
        <v>399</v>
      </c>
    </row>
    <row r="68" spans="1:2" x14ac:dyDescent="0.3">
      <c r="A68"/>
    </row>
    <row r="69" spans="1:2" x14ac:dyDescent="0.3">
      <c r="A69"/>
    </row>
    <row r="70" spans="1:2" x14ac:dyDescent="0.3">
      <c r="A70"/>
    </row>
    <row r="71" spans="1:2" x14ac:dyDescent="0.3">
      <c r="A71"/>
    </row>
    <row r="72" spans="1:2" x14ac:dyDescent="0.3">
      <c r="A72"/>
    </row>
    <row r="73" spans="1:2" x14ac:dyDescent="0.3">
      <c r="A73"/>
    </row>
    <row r="74" spans="1:2" x14ac:dyDescent="0.3">
      <c r="A74"/>
    </row>
    <row r="75" spans="1:2" x14ac:dyDescent="0.3">
      <c r="A75"/>
    </row>
    <row r="76" spans="1:2" x14ac:dyDescent="0.3">
      <c r="A76"/>
    </row>
    <row r="77" spans="1:2" x14ac:dyDescent="0.3">
      <c r="A77"/>
    </row>
    <row r="78" spans="1:2" x14ac:dyDescent="0.3">
      <c r="A78"/>
    </row>
    <row r="79" spans="1:2" x14ac:dyDescent="0.3">
      <c r="A79"/>
    </row>
    <row r="80" spans="1:2"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pageSetUpPr fitToPage="1"/>
  </sheetPr>
  <dimension ref="A1:F272"/>
  <sheetViews>
    <sheetView showGridLines="0" workbookViewId="0"/>
  </sheetViews>
  <sheetFormatPr baseColWidth="10" defaultRowHeight="13.5" x14ac:dyDescent="0.3"/>
  <cols>
    <col min="1" max="1" width="25.765625" style="184" customWidth="1"/>
    <col min="3" max="3" width="14.3828125" bestFit="1" customWidth="1"/>
    <col min="4" max="4" width="15.3828125" bestFit="1" customWidth="1"/>
    <col min="5" max="5" width="12" bestFit="1" customWidth="1"/>
  </cols>
  <sheetData>
    <row r="1" spans="1:4" ht="20" x14ac:dyDescent="0.3">
      <c r="A1" s="12" t="s">
        <v>1418</v>
      </c>
      <c r="B1" s="66" t="s">
        <v>1006</v>
      </c>
      <c r="C1" s="66" t="s">
        <v>1007</v>
      </c>
    </row>
    <row r="2" spans="1:4" x14ac:dyDescent="0.3">
      <c r="A2" s="185" t="s">
        <v>733</v>
      </c>
      <c r="B2" s="15">
        <v>100</v>
      </c>
      <c r="C2" s="15">
        <f>C7/B7*B2</f>
        <v>200</v>
      </c>
      <c r="D2" t="s">
        <v>819</v>
      </c>
    </row>
    <row r="3" spans="1:4" x14ac:dyDescent="0.3">
      <c r="A3" s="185" t="s">
        <v>977</v>
      </c>
      <c r="B3">
        <v>1</v>
      </c>
      <c r="C3">
        <f>B3</f>
        <v>1</v>
      </c>
      <c r="D3" t="s">
        <v>1395</v>
      </c>
    </row>
    <row r="5" spans="1:4" x14ac:dyDescent="0.3">
      <c r="A5" s="185" t="s">
        <v>978</v>
      </c>
      <c r="B5" s="15">
        <v>25</v>
      </c>
      <c r="C5" s="15">
        <f>B5</f>
        <v>25</v>
      </c>
      <c r="D5" t="s">
        <v>819</v>
      </c>
    </row>
    <row r="6" spans="1:4" x14ac:dyDescent="0.3">
      <c r="A6" s="185" t="s">
        <v>1010</v>
      </c>
      <c r="B6" s="37">
        <v>0.25</v>
      </c>
      <c r="C6" s="86">
        <f>B7/C7*B6</f>
        <v>0.125</v>
      </c>
      <c r="D6" t="s">
        <v>733</v>
      </c>
    </row>
    <row r="7" spans="1:4" x14ac:dyDescent="0.3">
      <c r="A7" s="185" t="s">
        <v>979</v>
      </c>
      <c r="B7" s="15">
        <v>75</v>
      </c>
      <c r="C7" s="15">
        <v>150</v>
      </c>
      <c r="D7" t="s">
        <v>615</v>
      </c>
    </row>
    <row r="8" spans="1:4" x14ac:dyDescent="0.3">
      <c r="A8" s="185" t="s">
        <v>1009</v>
      </c>
      <c r="B8" s="15">
        <f>B3*B7/B5</f>
        <v>3</v>
      </c>
      <c r="C8" s="15">
        <f>C3*C7/C5</f>
        <v>6</v>
      </c>
    </row>
    <row r="10" spans="1:4" x14ac:dyDescent="0.3">
      <c r="A10" s="186" t="s">
        <v>980</v>
      </c>
      <c r="B10" s="32">
        <f>(B2/B3-B7)/(1+B8)</f>
        <v>6.25</v>
      </c>
      <c r="C10" s="32">
        <f>(C2/C3-C7)/(1+C8)</f>
        <v>7.1428571428571432</v>
      </c>
      <c r="D10" s="1" t="s">
        <v>615</v>
      </c>
    </row>
    <row r="12" spans="1:4" x14ac:dyDescent="0.3">
      <c r="A12" s="160" t="s">
        <v>926</v>
      </c>
    </row>
    <row r="13" spans="1:4" x14ac:dyDescent="0.3">
      <c r="A13" s="186" t="s">
        <v>981</v>
      </c>
      <c r="B13" s="115">
        <f>(B6/B7)/(B3/B2+B6/B7)</f>
        <v>0.25</v>
      </c>
      <c r="C13" s="115">
        <f>(C6/C7)/(C3/C2+C6/C7)</f>
        <v>0.14285714285714285</v>
      </c>
    </row>
    <row r="14" spans="1:4" x14ac:dyDescent="0.3">
      <c r="A14" s="186" t="s">
        <v>982</v>
      </c>
      <c r="B14" s="115">
        <f>B6/(1+B6)</f>
        <v>0.2</v>
      </c>
      <c r="C14" s="115">
        <f>C6/(1+C6)</f>
        <v>0.1111111111111111</v>
      </c>
    </row>
    <row r="15" spans="1:4" x14ac:dyDescent="0.3">
      <c r="A15" s="186" t="s">
        <v>983</v>
      </c>
      <c r="B15" s="143">
        <f>B13-B14</f>
        <v>4.9999999999999989E-2</v>
      </c>
      <c r="C15" s="143">
        <f>C13-C14</f>
        <v>3.1746031746031744E-2</v>
      </c>
    </row>
    <row r="17" spans="1:4" x14ac:dyDescent="0.3">
      <c r="A17" s="186" t="s">
        <v>984</v>
      </c>
      <c r="B17" s="300">
        <f>(B2+B5)/((B3+B5/B7)*B2/B3)</f>
        <v>0.93750000000000011</v>
      </c>
      <c r="C17" s="300">
        <f>(C2+C5)/((C3+C5/C7)*C2/C3)</f>
        <v>0.9642857142857143</v>
      </c>
    </row>
    <row r="19" spans="1:4" x14ac:dyDescent="0.3">
      <c r="A19" s="185" t="s">
        <v>985</v>
      </c>
      <c r="B19" s="15">
        <f>B8</f>
        <v>3</v>
      </c>
      <c r="C19" s="15">
        <f>C8</f>
        <v>6</v>
      </c>
    </row>
    <row r="21" spans="1:4" x14ac:dyDescent="0.3">
      <c r="A21" s="160" t="s">
        <v>986</v>
      </c>
    </row>
    <row r="22" spans="1:4" x14ac:dyDescent="0.3">
      <c r="A22" s="185" t="s">
        <v>977</v>
      </c>
      <c r="B22">
        <v>90</v>
      </c>
      <c r="C22">
        <v>90</v>
      </c>
    </row>
    <row r="24" spans="1:4" x14ac:dyDescent="0.3">
      <c r="A24" s="185" t="s">
        <v>988</v>
      </c>
      <c r="B24">
        <v>72</v>
      </c>
      <c r="C24">
        <v>72</v>
      </c>
    </row>
    <row r="25" spans="1:4" x14ac:dyDescent="0.3">
      <c r="A25" s="185" t="s">
        <v>987</v>
      </c>
      <c r="B25" s="40">
        <f>B24*B10</f>
        <v>450</v>
      </c>
      <c r="C25" s="40">
        <f>C24*C10</f>
        <v>514.28571428571433</v>
      </c>
      <c r="D25" t="s">
        <v>615</v>
      </c>
    </row>
    <row r="26" spans="1:4" ht="27" x14ac:dyDescent="0.3">
      <c r="A26" s="185" t="s">
        <v>989</v>
      </c>
      <c r="B26" s="40">
        <f>B7*(B22-B24)/B8</f>
        <v>450</v>
      </c>
      <c r="C26" s="40">
        <f>C7*(C22-C24)/C8</f>
        <v>450</v>
      </c>
      <c r="D26" t="s">
        <v>615</v>
      </c>
    </row>
    <row r="27" spans="1:4" x14ac:dyDescent="0.3">
      <c r="A27" s="185" t="s">
        <v>990</v>
      </c>
      <c r="B27" s="40">
        <f>B25-B26</f>
        <v>0</v>
      </c>
      <c r="C27" s="40">
        <f>C25-C26</f>
        <v>64.285714285714334</v>
      </c>
      <c r="D27" t="s">
        <v>615</v>
      </c>
    </row>
    <row r="28" spans="1:4" ht="27" x14ac:dyDescent="0.3">
      <c r="A28" s="186" t="s">
        <v>992</v>
      </c>
      <c r="B28" s="1">
        <f>B26/B7</f>
        <v>6</v>
      </c>
      <c r="C28" s="1">
        <f>C26/C7</f>
        <v>3</v>
      </c>
      <c r="D28" s="1" t="s">
        <v>993</v>
      </c>
    </row>
    <row r="30" spans="1:4" x14ac:dyDescent="0.3">
      <c r="A30" s="160" t="s">
        <v>994</v>
      </c>
    </row>
    <row r="31" spans="1:4" x14ac:dyDescent="0.3">
      <c r="A31" s="185" t="s">
        <v>401</v>
      </c>
      <c r="B31" s="111">
        <f>B22/B3/1000000</f>
        <v>9.0000000000000006E-5</v>
      </c>
      <c r="C31" s="111">
        <f>C22/C3/1000000</f>
        <v>9.0000000000000006E-5</v>
      </c>
    </row>
    <row r="33" spans="1:4" x14ac:dyDescent="0.3">
      <c r="A33" s="186" t="s">
        <v>400</v>
      </c>
      <c r="B33" s="135">
        <f>B31*(1-B14)</f>
        <v>7.2000000000000002E-5</v>
      </c>
      <c r="C33" s="135">
        <f>C31*(1-C14)</f>
        <v>8.0000000000000007E-5</v>
      </c>
      <c r="D33" s="202"/>
    </row>
    <row r="34" spans="1:4" x14ac:dyDescent="0.3">
      <c r="A34" s="186"/>
      <c r="B34" s="135">
        <f>(B22+B28)/(B3*1000000*(1+1/B19))</f>
        <v>7.2000000000000002E-5</v>
      </c>
      <c r="C34" s="135">
        <f>(C22+C28)/(C3*1000000*(1+1/C19))</f>
        <v>7.9714285714285702E-5</v>
      </c>
      <c r="D34" s="202"/>
    </row>
    <row r="36" spans="1:4" x14ac:dyDescent="0.3">
      <c r="A36" s="160" t="s">
        <v>995</v>
      </c>
    </row>
    <row r="38" spans="1:4" ht="27" x14ac:dyDescent="0.3">
      <c r="A38" s="185" t="s">
        <v>403</v>
      </c>
      <c r="B38" s="37">
        <v>0.12</v>
      </c>
      <c r="C38" s="37">
        <v>0.12</v>
      </c>
    </row>
    <row r="39" spans="1:4" x14ac:dyDescent="0.3">
      <c r="A39" s="185" t="s">
        <v>996</v>
      </c>
      <c r="B39" s="40">
        <f>B6*B2</f>
        <v>25</v>
      </c>
      <c r="C39" s="40">
        <f>C6*C2</f>
        <v>25</v>
      </c>
      <c r="D39" t="s">
        <v>819</v>
      </c>
    </row>
    <row r="40" spans="1:4" x14ac:dyDescent="0.3">
      <c r="A40" s="185" t="s">
        <v>997</v>
      </c>
      <c r="B40" s="37">
        <f>B38</f>
        <v>0.12</v>
      </c>
      <c r="C40" s="37">
        <f>C38</f>
        <v>0.12</v>
      </c>
    </row>
    <row r="41" spans="1:4" x14ac:dyDescent="0.3">
      <c r="A41" s="185" t="s">
        <v>991</v>
      </c>
      <c r="B41">
        <f>B39*B40/B7*1000000</f>
        <v>40000</v>
      </c>
      <c r="C41">
        <f>C39*C40/C7*1000000</f>
        <v>20000</v>
      </c>
    </row>
    <row r="43" spans="1:4" ht="27" x14ac:dyDescent="0.3">
      <c r="A43" s="186" t="s">
        <v>402</v>
      </c>
      <c r="B43" s="201">
        <f>(B38*B3*1000000+B41)/(B3*1000000+B39*1000000/B7)</f>
        <v>0.12000000000000001</v>
      </c>
      <c r="C43" s="201">
        <f>(C38*C3*1000000+C41)/(C3*1000000+C39*1000000/C7)</f>
        <v>0.12</v>
      </c>
    </row>
    <row r="45" spans="1:4" x14ac:dyDescent="0.3">
      <c r="A45" s="161" t="s">
        <v>998</v>
      </c>
    </row>
    <row r="46" spans="1:4" x14ac:dyDescent="0.3">
      <c r="A46" s="185" t="s">
        <v>999</v>
      </c>
      <c r="B46" s="40">
        <v>10</v>
      </c>
      <c r="C46" s="40">
        <v>10</v>
      </c>
      <c r="D46" t="s">
        <v>615</v>
      </c>
    </row>
    <row r="47" spans="1:4" x14ac:dyDescent="0.3">
      <c r="A47" s="186" t="s">
        <v>998</v>
      </c>
      <c r="B47" s="32">
        <f>B46*(1-B13)</f>
        <v>7.5</v>
      </c>
      <c r="C47" s="32">
        <f>C46*(1-C13)</f>
        <v>8.571428571428573</v>
      </c>
      <c r="D47" s="1" t="s">
        <v>615</v>
      </c>
    </row>
    <row r="49" spans="1:4" x14ac:dyDescent="0.3">
      <c r="A49" s="161" t="s">
        <v>1000</v>
      </c>
    </row>
    <row r="50" spans="1:4" x14ac:dyDescent="0.3">
      <c r="A50" s="185" t="s">
        <v>1001</v>
      </c>
      <c r="B50" s="40">
        <v>80</v>
      </c>
      <c r="C50" s="40">
        <v>80</v>
      </c>
      <c r="D50" t="s">
        <v>819</v>
      </c>
    </row>
    <row r="51" spans="1:4" x14ac:dyDescent="0.3">
      <c r="A51" s="185" t="s">
        <v>1002</v>
      </c>
      <c r="B51" s="40">
        <f>B50+B39</f>
        <v>105</v>
      </c>
      <c r="C51" s="40">
        <f>C50+C39</f>
        <v>105</v>
      </c>
      <c r="D51" t="s">
        <v>819</v>
      </c>
    </row>
    <row r="52" spans="1:4" x14ac:dyDescent="0.3">
      <c r="A52" s="186" t="s">
        <v>1003</v>
      </c>
      <c r="B52" s="93">
        <f>(B51-B50)/B50</f>
        <v>0.3125</v>
      </c>
      <c r="C52" s="93">
        <f>(C51-C50)/C50</f>
        <v>0.3125</v>
      </c>
    </row>
    <row r="54" spans="1:4" x14ac:dyDescent="0.3">
      <c r="A54" s="186" t="s">
        <v>1004</v>
      </c>
      <c r="B54" s="32">
        <f>B50/B3</f>
        <v>80</v>
      </c>
      <c r="C54" s="32">
        <f>C50/C3</f>
        <v>80</v>
      </c>
      <c r="D54" t="s">
        <v>615</v>
      </c>
    </row>
    <row r="55" spans="1:4" x14ac:dyDescent="0.3">
      <c r="A55" s="186" t="s">
        <v>1005</v>
      </c>
      <c r="B55" s="32">
        <f>B51/(B3+B2*B6/B7)</f>
        <v>78.75</v>
      </c>
      <c r="C55" s="32">
        <f>C51/(C3+C2*C6/C7)</f>
        <v>90</v>
      </c>
      <c r="D55" t="s">
        <v>615</v>
      </c>
    </row>
    <row r="58" spans="1:4" x14ac:dyDescent="0.3">
      <c r="A58" s="33" t="s">
        <v>1701</v>
      </c>
    </row>
    <row r="59" spans="1:4" x14ac:dyDescent="0.3">
      <c r="A59" s="33"/>
    </row>
    <row r="60" spans="1:4" s="365" customFormat="1" x14ac:dyDescent="0.3">
      <c r="A60" s="259" t="s">
        <v>1253</v>
      </c>
    </row>
    <row r="61" spans="1:4" s="365" customFormat="1" x14ac:dyDescent="0.3">
      <c r="A61" s="259" t="s">
        <v>1056</v>
      </c>
      <c r="B61" s="365">
        <v>1079.4000000000001</v>
      </c>
      <c r="C61" s="365" t="s">
        <v>1395</v>
      </c>
    </row>
    <row r="62" spans="1:4" s="365" customFormat="1" x14ac:dyDescent="0.3">
      <c r="A62" s="259" t="s">
        <v>1254</v>
      </c>
      <c r="B62" s="365">
        <v>28.71</v>
      </c>
      <c r="C62" s="365" t="s">
        <v>567</v>
      </c>
    </row>
    <row r="63" spans="1:4" s="365" customFormat="1" x14ac:dyDescent="0.3">
      <c r="A63" s="259" t="s">
        <v>1256</v>
      </c>
      <c r="B63" s="367">
        <v>55000</v>
      </c>
      <c r="C63" s="365" t="s">
        <v>187</v>
      </c>
    </row>
    <row r="64" spans="1:4" s="365" customFormat="1" x14ac:dyDescent="0.3">
      <c r="A64" s="259" t="s">
        <v>954</v>
      </c>
      <c r="B64" s="367">
        <f>+B62*B61</f>
        <v>30989.574000000004</v>
      </c>
      <c r="C64" s="365" t="s">
        <v>187</v>
      </c>
      <c r="D64" s="416"/>
    </row>
    <row r="65" spans="1:6" s="365" customFormat="1" x14ac:dyDescent="0.3">
      <c r="A65" s="259"/>
    </row>
    <row r="66" spans="1:6" s="365" customFormat="1" x14ac:dyDescent="0.3">
      <c r="A66" s="259" t="s">
        <v>1255</v>
      </c>
    </row>
    <row r="67" spans="1:6" s="365" customFormat="1" x14ac:dyDescent="0.3">
      <c r="A67" s="259" t="s">
        <v>936</v>
      </c>
      <c r="B67" s="365">
        <v>299.8</v>
      </c>
      <c r="C67" s="365" t="s">
        <v>1395</v>
      </c>
    </row>
    <row r="68" spans="1:6" s="365" customFormat="1" x14ac:dyDescent="0.3">
      <c r="A68" s="259" t="s">
        <v>635</v>
      </c>
      <c r="B68" s="365">
        <v>22.5</v>
      </c>
      <c r="C68" s="365" t="s">
        <v>567</v>
      </c>
    </row>
    <row r="69" spans="1:6" s="365" customFormat="1" x14ac:dyDescent="0.3">
      <c r="A69" s="259"/>
    </row>
    <row r="70" spans="1:6" s="365" customFormat="1" x14ac:dyDescent="0.3">
      <c r="A70" s="259" t="s">
        <v>1257</v>
      </c>
      <c r="B70" s="367">
        <f>+B68*B67</f>
        <v>6745.5</v>
      </c>
      <c r="C70" s="365" t="s">
        <v>187</v>
      </c>
    </row>
    <row r="71" spans="1:6" s="365" customFormat="1" x14ac:dyDescent="0.3">
      <c r="A71" s="259"/>
    </row>
    <row r="72" spans="1:6" s="365" customFormat="1" x14ac:dyDescent="0.3">
      <c r="A72" s="259" t="s">
        <v>1258</v>
      </c>
      <c r="B72" s="401">
        <f>+B70/(B70+B64)</f>
        <v>0.17875942153975896</v>
      </c>
    </row>
    <row r="73" spans="1:6" s="365" customFormat="1" x14ac:dyDescent="0.3">
      <c r="A73" s="259"/>
      <c r="B73" s="367">
        <v>5</v>
      </c>
      <c r="C73" s="365" t="s">
        <v>1440</v>
      </c>
    </row>
    <row r="74" spans="1:6" s="365" customFormat="1" x14ac:dyDescent="0.3">
      <c r="A74" s="368" t="s">
        <v>1259</v>
      </c>
      <c r="B74" s="414">
        <v>18</v>
      </c>
      <c r="C74" s="365" t="s">
        <v>1260</v>
      </c>
    </row>
    <row r="75" spans="1:6" s="365" customFormat="1" x14ac:dyDescent="0.3">
      <c r="A75" s="259"/>
      <c r="B75" s="367"/>
    </row>
    <row r="76" spans="1:6" s="365" customFormat="1" x14ac:dyDescent="0.3">
      <c r="A76" s="259"/>
      <c r="B76" s="367" t="s">
        <v>472</v>
      </c>
      <c r="D76" s="365" t="s">
        <v>473</v>
      </c>
    </row>
    <row r="77" spans="1:6" s="365" customFormat="1" x14ac:dyDescent="0.3">
      <c r="A77" s="369" t="s">
        <v>470</v>
      </c>
      <c r="B77" s="366">
        <f>B67/(B67+B61)</f>
        <v>0.21737238979118328</v>
      </c>
      <c r="D77" s="367">
        <f>B70</f>
        <v>6745.5</v>
      </c>
      <c r="E77" s="365" t="s">
        <v>187</v>
      </c>
      <c r="F77" s="366">
        <f>D77/D79</f>
        <v>0.1092468277040432</v>
      </c>
    </row>
    <row r="78" spans="1:6" s="365" customFormat="1" x14ac:dyDescent="0.3">
      <c r="A78" s="259" t="s">
        <v>471</v>
      </c>
      <c r="B78" s="398">
        <f>100*(1-B72)/100</f>
        <v>0.82124057846024101</v>
      </c>
      <c r="D78" s="399">
        <f>B63</f>
        <v>55000</v>
      </c>
      <c r="E78" s="400" t="s">
        <v>187</v>
      </c>
      <c r="F78" s="398">
        <f>D78/D79</f>
        <v>0.89075317229595674</v>
      </c>
    </row>
    <row r="79" spans="1:6" s="365" customFormat="1" x14ac:dyDescent="0.3">
      <c r="A79" s="259"/>
      <c r="B79" s="366">
        <f>SUM(B77:B78)</f>
        <v>1.0386129682514242</v>
      </c>
      <c r="D79" s="367">
        <f>SUM(D77:D78)</f>
        <v>61745.5</v>
      </c>
      <c r="E79" s="365" t="s">
        <v>187</v>
      </c>
      <c r="F79" s="366">
        <f>SUM(F77:F78)</f>
        <v>1</v>
      </c>
    </row>
    <row r="80" spans="1:6" s="365" customFormat="1" x14ac:dyDescent="0.3">
      <c r="A80" s="259"/>
    </row>
    <row r="81" spans="1:5" s="365" customFormat="1" x14ac:dyDescent="0.3">
      <c r="A81" s="259"/>
    </row>
    <row r="82" spans="1:5" s="365" customFormat="1" x14ac:dyDescent="0.3">
      <c r="A82" s="259"/>
    </row>
    <row r="83" spans="1:5" s="365" customFormat="1" x14ac:dyDescent="0.3">
      <c r="A83" s="259"/>
    </row>
    <row r="84" spans="1:5" s="365" customFormat="1" x14ac:dyDescent="0.3">
      <c r="A84" s="259"/>
    </row>
    <row r="85" spans="1:5" s="365" customFormat="1" x14ac:dyDescent="0.3">
      <c r="A85" s="259"/>
    </row>
    <row r="86" spans="1:5" s="365" customFormat="1" x14ac:dyDescent="0.3">
      <c r="A86" s="259"/>
    </row>
    <row r="87" spans="1:5" x14ac:dyDescent="0.3">
      <c r="A87" s="33"/>
    </row>
    <row r="88" spans="1:5" x14ac:dyDescent="0.3">
      <c r="A88" s="33"/>
    </row>
    <row r="89" spans="1:5" x14ac:dyDescent="0.3">
      <c r="A89" s="370"/>
      <c r="B89" s="45"/>
      <c r="C89" s="45"/>
      <c r="D89" s="45"/>
      <c r="E89" s="45"/>
    </row>
    <row r="90" spans="1:5" x14ac:dyDescent="0.3">
      <c r="A90" s="370"/>
      <c r="B90" s="45"/>
      <c r="C90" s="45"/>
      <c r="D90" s="45"/>
      <c r="E90" s="45"/>
    </row>
    <row r="91" spans="1:5" x14ac:dyDescent="0.3">
      <c r="A91" s="193"/>
      <c r="B91" s="72"/>
      <c r="C91" s="72"/>
      <c r="D91" s="72"/>
      <c r="E91" s="72"/>
    </row>
    <row r="92" spans="1:5" x14ac:dyDescent="0.3">
      <c r="A92" s="193"/>
      <c r="B92" s="54"/>
      <c r="C92" s="54"/>
      <c r="D92" s="54"/>
      <c r="E92" s="54"/>
    </row>
    <row r="93" spans="1:5" x14ac:dyDescent="0.3">
      <c r="A93" s="193"/>
      <c r="B93" s="54"/>
      <c r="C93" s="54"/>
      <c r="D93" s="54"/>
      <c r="E93" s="54"/>
    </row>
    <row r="94" spans="1:5" x14ac:dyDescent="0.3">
      <c r="A94" s="193"/>
      <c r="B94" s="54"/>
      <c r="C94" s="54"/>
      <c r="D94" s="54"/>
      <c r="E94" s="54"/>
    </row>
    <row r="95" spans="1:5" x14ac:dyDescent="0.3">
      <c r="A95" s="193"/>
      <c r="B95" s="54"/>
      <c r="C95" s="54"/>
      <c r="D95" s="54"/>
      <c r="E95" s="54"/>
    </row>
    <row r="96" spans="1:5" x14ac:dyDescent="0.3">
      <c r="A96" s="371"/>
      <c r="B96" s="54"/>
      <c r="C96" s="54"/>
      <c r="D96" s="54"/>
      <c r="E96" s="54"/>
    </row>
    <row r="97" spans="1:5" x14ac:dyDescent="0.3">
      <c r="A97" s="193"/>
      <c r="B97" s="54"/>
      <c r="C97" s="54"/>
      <c r="D97" s="54"/>
      <c r="E97" s="54"/>
    </row>
    <row r="98" spans="1:5" x14ac:dyDescent="0.3">
      <c r="A98" s="193"/>
      <c r="B98" s="238"/>
      <c r="C98" s="238"/>
      <c r="D98" s="238"/>
      <c r="E98" s="54"/>
    </row>
    <row r="99" spans="1:5" x14ac:dyDescent="0.3">
      <c r="A99" s="193"/>
      <c r="B99" s="54"/>
      <c r="C99" s="54"/>
      <c r="D99" s="54"/>
      <c r="E99" s="54"/>
    </row>
    <row r="100" spans="1:5" x14ac:dyDescent="0.3">
      <c r="A100" s="372"/>
      <c r="B100" s="54"/>
      <c r="C100" s="54"/>
      <c r="D100" s="54"/>
      <c r="E100" s="54"/>
    </row>
    <row r="101" spans="1:5" x14ac:dyDescent="0.3">
      <c r="A101" s="193"/>
      <c r="B101" s="72"/>
      <c r="C101" s="72"/>
      <c r="D101" s="54"/>
      <c r="E101" s="54"/>
    </row>
    <row r="102" spans="1:5" x14ac:dyDescent="0.3">
      <c r="A102" s="193"/>
      <c r="B102" s="54"/>
      <c r="C102" s="54"/>
      <c r="D102" s="54"/>
      <c r="E102" s="54"/>
    </row>
    <row r="103" spans="1:5" x14ac:dyDescent="0.3">
      <c r="A103" s="193"/>
      <c r="B103" s="54"/>
      <c r="C103" s="54"/>
      <c r="D103" s="54"/>
      <c r="E103" s="54"/>
    </row>
    <row r="104" spans="1:5" x14ac:dyDescent="0.3">
      <c r="A104" s="193"/>
      <c r="B104" s="54"/>
      <c r="C104" s="54"/>
      <c r="D104" s="54"/>
      <c r="E104" s="54"/>
    </row>
    <row r="105" spans="1:5" x14ac:dyDescent="0.3">
      <c r="A105" s="193"/>
      <c r="B105" s="54"/>
      <c r="C105" s="54"/>
      <c r="D105" s="54"/>
      <c r="E105" s="54"/>
    </row>
    <row r="106" spans="1:5" x14ac:dyDescent="0.3">
      <c r="A106" s="193"/>
      <c r="B106" s="54"/>
      <c r="C106" s="54"/>
      <c r="D106" s="54"/>
      <c r="E106" s="54"/>
    </row>
    <row r="107" spans="1:5" x14ac:dyDescent="0.3">
      <c r="A107" s="372"/>
      <c r="B107" s="54"/>
      <c r="C107" s="54"/>
      <c r="D107" s="54"/>
      <c r="E107" s="54"/>
    </row>
    <row r="108" spans="1:5" x14ac:dyDescent="0.3">
      <c r="A108" s="193"/>
      <c r="B108" s="72"/>
      <c r="C108" s="72"/>
      <c r="D108" s="54"/>
      <c r="E108" s="54"/>
    </row>
    <row r="109" spans="1:5" x14ac:dyDescent="0.3">
      <c r="A109" s="193"/>
      <c r="B109" s="54"/>
      <c r="C109" s="54"/>
      <c r="D109" s="54"/>
      <c r="E109" s="54"/>
    </row>
    <row r="110" spans="1:5" x14ac:dyDescent="0.3">
      <c r="A110" s="193"/>
      <c r="B110" s="54"/>
      <c r="C110" s="54"/>
      <c r="D110" s="54"/>
      <c r="E110" s="54"/>
    </row>
    <row r="111" spans="1:5" x14ac:dyDescent="0.3">
      <c r="A111" s="193"/>
      <c r="B111" s="54"/>
      <c r="C111" s="54"/>
      <c r="D111" s="54"/>
      <c r="E111" s="54"/>
    </row>
    <row r="112" spans="1:5" x14ac:dyDescent="0.3">
      <c r="A112" s="193"/>
      <c r="B112" s="54"/>
      <c r="C112" s="54"/>
      <c r="D112" s="54"/>
      <c r="E112" s="54"/>
    </row>
    <row r="113" spans="1:5" x14ac:dyDescent="0.3">
      <c r="A113" s="193"/>
      <c r="B113" s="54"/>
      <c r="C113" s="54"/>
      <c r="D113" s="54"/>
      <c r="E113" s="54"/>
    </row>
    <row r="114" spans="1:5" x14ac:dyDescent="0.3">
      <c r="A114" s="193"/>
      <c r="B114" s="54"/>
      <c r="C114" s="54"/>
      <c r="D114" s="54"/>
      <c r="E114" s="54"/>
    </row>
    <row r="115" spans="1:5" x14ac:dyDescent="0.3">
      <c r="A115" s="193"/>
      <c r="B115" s="54"/>
      <c r="C115" s="54"/>
      <c r="D115" s="54"/>
      <c r="E115" s="54"/>
    </row>
    <row r="116" spans="1:5" x14ac:dyDescent="0.3">
      <c r="A116" s="193"/>
      <c r="B116" s="54"/>
      <c r="C116" s="54"/>
      <c r="D116" s="54"/>
      <c r="E116" s="54"/>
    </row>
    <row r="117" spans="1:5" x14ac:dyDescent="0.3">
      <c r="A117" s="193"/>
      <c r="B117" s="54"/>
      <c r="C117" s="54"/>
      <c r="D117" s="54"/>
      <c r="E117" s="54"/>
    </row>
    <row r="118" spans="1:5" x14ac:dyDescent="0.3">
      <c r="A118" s="193"/>
      <c r="B118" s="54"/>
      <c r="C118" s="54"/>
      <c r="D118" s="54"/>
      <c r="E118" s="54"/>
    </row>
    <row r="119" spans="1:5" x14ac:dyDescent="0.3">
      <c r="A119" s="371"/>
      <c r="B119" s="54"/>
      <c r="C119" s="54"/>
      <c r="D119" s="54"/>
      <c r="E119" s="54"/>
    </row>
    <row r="120" spans="1:5" x14ac:dyDescent="0.3">
      <c r="A120" s="371"/>
      <c r="B120" s="54"/>
      <c r="C120" s="54"/>
      <c r="D120" s="54"/>
      <c r="E120" s="54"/>
    </row>
    <row r="121" spans="1:5" x14ac:dyDescent="0.3">
      <c r="A121" s="371"/>
      <c r="B121" s="54"/>
      <c r="C121" s="54"/>
      <c r="D121" s="54"/>
      <c r="E121" s="54"/>
    </row>
    <row r="122" spans="1:5" x14ac:dyDescent="0.3">
      <c r="A122" s="193"/>
      <c r="B122" s="54"/>
      <c r="C122" s="54"/>
      <c r="D122" s="54"/>
      <c r="E122" s="54"/>
    </row>
    <row r="123" spans="1:5" x14ac:dyDescent="0.3">
      <c r="A123" s="371"/>
      <c r="B123" s="54"/>
      <c r="C123" s="54"/>
      <c r="D123" s="54"/>
      <c r="E123" s="54"/>
    </row>
    <row r="124" spans="1:5" x14ac:dyDescent="0.3">
      <c r="A124" s="193"/>
      <c r="B124" s="54"/>
      <c r="C124" s="54"/>
      <c r="D124" s="54"/>
      <c r="E124" s="54"/>
    </row>
    <row r="125" spans="1:5" x14ac:dyDescent="0.3">
      <c r="A125" s="193"/>
      <c r="B125" s="45"/>
      <c r="C125" s="45"/>
      <c r="D125" s="45"/>
      <c r="E125" s="45"/>
    </row>
    <row r="126" spans="1:5" x14ac:dyDescent="0.3">
      <c r="A126" s="371"/>
      <c r="B126" s="45"/>
      <c r="C126" s="54"/>
      <c r="D126" s="45"/>
      <c r="E126" s="45"/>
    </row>
    <row r="127" spans="1:5" x14ac:dyDescent="0.3">
      <c r="A127" s="193"/>
      <c r="B127" s="45"/>
      <c r="C127" s="54"/>
      <c r="D127" s="45"/>
      <c r="E127" s="45"/>
    </row>
    <row r="128" spans="1:5" x14ac:dyDescent="0.3">
      <c r="A128" s="371"/>
      <c r="B128" s="45"/>
      <c r="C128" s="54"/>
      <c r="D128" s="45"/>
      <c r="E128" s="45"/>
    </row>
    <row r="129" spans="1:6" x14ac:dyDescent="0.3">
      <c r="A129" s="193"/>
      <c r="B129" s="45"/>
      <c r="C129" s="54"/>
      <c r="D129" s="45"/>
      <c r="E129" s="45"/>
    </row>
    <row r="130" spans="1:6" x14ac:dyDescent="0.3">
      <c r="A130" s="193"/>
      <c r="B130" s="45"/>
      <c r="C130" s="54"/>
      <c r="D130" s="45"/>
      <c r="E130" s="45"/>
    </row>
    <row r="131" spans="1:6" x14ac:dyDescent="0.3">
      <c r="A131" s="193"/>
      <c r="B131" s="45"/>
      <c r="C131" s="45"/>
      <c r="D131" s="45"/>
      <c r="E131" s="45"/>
      <c r="F131" s="45"/>
    </row>
    <row r="132" spans="1:6" x14ac:dyDescent="0.3">
      <c r="A132" s="193"/>
      <c r="B132" s="45"/>
      <c r="C132" s="103"/>
      <c r="D132" s="45"/>
      <c r="E132" s="45"/>
      <c r="F132" s="45"/>
    </row>
    <row r="133" spans="1:6" x14ac:dyDescent="0.3">
      <c r="A133" s="193"/>
      <c r="B133" s="45"/>
      <c r="C133" s="45"/>
      <c r="D133" s="45"/>
      <c r="E133" s="45"/>
      <c r="F133" s="45"/>
    </row>
    <row r="134" spans="1:6" x14ac:dyDescent="0.3">
      <c r="A134" s="193"/>
      <c r="B134" s="45"/>
      <c r="C134" s="45"/>
      <c r="D134" s="45"/>
      <c r="E134" s="45"/>
      <c r="F134" s="45"/>
    </row>
    <row r="135" spans="1:6" x14ac:dyDescent="0.3">
      <c r="A135" s="193"/>
      <c r="B135" s="45"/>
      <c r="C135" s="176"/>
      <c r="D135" s="45"/>
      <c r="E135" s="45"/>
      <c r="F135" s="45"/>
    </row>
    <row r="136" spans="1:6" x14ac:dyDescent="0.3">
      <c r="A136" s="372"/>
      <c r="B136" s="45"/>
      <c r="C136" s="45"/>
      <c r="D136" s="45"/>
      <c r="E136" s="45"/>
      <c r="F136" s="45"/>
    </row>
    <row r="137" spans="1:6" x14ac:dyDescent="0.3">
      <c r="A137" s="372"/>
      <c r="B137" s="45"/>
      <c r="C137" s="45"/>
      <c r="D137" s="45"/>
      <c r="E137" s="45"/>
      <c r="F137" s="45"/>
    </row>
    <row r="138" spans="1:6" x14ac:dyDescent="0.3">
      <c r="A138" s="372"/>
      <c r="B138" s="45"/>
      <c r="C138" s="45"/>
      <c r="D138" s="45"/>
      <c r="E138" s="45"/>
      <c r="F138" s="45"/>
    </row>
    <row r="139" spans="1:6" x14ac:dyDescent="0.3">
      <c r="A139" s="372"/>
      <c r="B139" s="45"/>
      <c r="C139" s="45"/>
      <c r="D139" s="45"/>
      <c r="E139" s="45"/>
      <c r="F139" s="45"/>
    </row>
    <row r="140" spans="1:6" x14ac:dyDescent="0.3">
      <c r="A140" s="372"/>
      <c r="B140" s="45"/>
      <c r="C140" s="45"/>
      <c r="D140" s="45"/>
      <c r="E140" s="45"/>
      <c r="F140" s="45"/>
    </row>
    <row r="141" spans="1:6" x14ac:dyDescent="0.3">
      <c r="A141" s="372"/>
      <c r="B141" s="45"/>
      <c r="C141" s="45"/>
      <c r="D141" s="45"/>
      <c r="E141" s="45"/>
      <c r="F141" s="45"/>
    </row>
    <row r="142" spans="1:6" x14ac:dyDescent="0.3">
      <c r="A142" s="372"/>
      <c r="B142" s="45"/>
      <c r="C142" s="45"/>
      <c r="D142" s="45"/>
      <c r="E142" s="45"/>
    </row>
    <row r="143" spans="1:6" x14ac:dyDescent="0.3">
      <c r="A143" s="372"/>
      <c r="B143" s="45"/>
      <c r="C143" s="45"/>
      <c r="D143" s="45"/>
      <c r="E143" s="45"/>
    </row>
    <row r="144" spans="1:6" x14ac:dyDescent="0.3">
      <c r="A144" s="372"/>
      <c r="B144" s="45"/>
      <c r="C144" s="45"/>
      <c r="D144" s="45"/>
      <c r="E144" s="45"/>
    </row>
    <row r="145" spans="1:5" x14ac:dyDescent="0.3">
      <c r="A145" s="372"/>
      <c r="B145" s="45"/>
      <c r="C145" s="45"/>
      <c r="D145" s="45"/>
      <c r="E145" s="45"/>
    </row>
    <row r="146" spans="1:5" x14ac:dyDescent="0.3">
      <c r="A146" s="372"/>
      <c r="B146" s="45"/>
      <c r="C146" s="45"/>
      <c r="D146" s="45"/>
      <c r="E146" s="45"/>
    </row>
    <row r="147" spans="1:5" x14ac:dyDescent="0.3">
      <c r="A147" s="372"/>
      <c r="B147" s="45"/>
      <c r="C147" s="45"/>
      <c r="D147" s="45"/>
      <c r="E147" s="45"/>
    </row>
    <row r="148" spans="1:5" x14ac:dyDescent="0.3">
      <c r="A148" s="372"/>
      <c r="B148" s="45"/>
      <c r="C148" s="45"/>
      <c r="D148" s="45"/>
      <c r="E148" s="45"/>
    </row>
    <row r="149" spans="1:5" x14ac:dyDescent="0.3">
      <c r="A149" s="372"/>
      <c r="B149" s="45"/>
      <c r="C149" s="45"/>
      <c r="D149" s="45"/>
      <c r="E149" s="45"/>
    </row>
    <row r="150" spans="1:5" x14ac:dyDescent="0.3">
      <c r="A150" s="372"/>
      <c r="B150" s="45"/>
      <c r="C150" s="45"/>
      <c r="D150" s="45"/>
      <c r="E150" s="45"/>
    </row>
    <row r="151" spans="1:5" x14ac:dyDescent="0.3">
      <c r="A151" s="372"/>
      <c r="B151" s="45"/>
      <c r="C151" s="45"/>
      <c r="D151" s="45"/>
      <c r="E151" s="45"/>
    </row>
    <row r="152" spans="1:5" x14ac:dyDescent="0.3">
      <c r="A152" s="372"/>
      <c r="B152" s="45"/>
      <c r="C152" s="45"/>
      <c r="D152" s="45"/>
      <c r="E152" s="45"/>
    </row>
    <row r="153" spans="1:5" x14ac:dyDescent="0.3">
      <c r="A153" s="372"/>
      <c r="B153" s="45"/>
      <c r="C153" s="45"/>
      <c r="D153" s="45"/>
      <c r="E153" s="45"/>
    </row>
    <row r="154" spans="1:5" x14ac:dyDescent="0.3">
      <c r="A154" s="372"/>
      <c r="B154" s="45"/>
      <c r="C154" s="45"/>
      <c r="D154" s="45"/>
      <c r="E154" s="45"/>
    </row>
    <row r="155" spans="1:5" x14ac:dyDescent="0.3">
      <c r="A155" s="372"/>
      <c r="B155" s="45"/>
      <c r="C155" s="45"/>
      <c r="D155" s="45"/>
      <c r="E155" s="45"/>
    </row>
    <row r="156" spans="1:5" x14ac:dyDescent="0.3">
      <c r="A156" s="372"/>
      <c r="B156" s="45"/>
      <c r="C156" s="45"/>
      <c r="D156" s="45"/>
      <c r="E156" s="45"/>
    </row>
    <row r="157" spans="1:5" x14ac:dyDescent="0.3">
      <c r="A157" s="372"/>
      <c r="B157" s="45"/>
      <c r="C157" s="45"/>
      <c r="D157" s="45"/>
      <c r="E157" s="45"/>
    </row>
    <row r="158" spans="1:5" x14ac:dyDescent="0.3">
      <c r="A158" s="372"/>
      <c r="B158" s="45"/>
      <c r="C158" s="45"/>
      <c r="D158" s="45"/>
      <c r="E158" s="45"/>
    </row>
    <row r="159" spans="1:5" x14ac:dyDescent="0.3">
      <c r="A159" s="372"/>
      <c r="B159" s="45"/>
      <c r="C159" s="45"/>
      <c r="D159" s="45"/>
      <c r="E159" s="45"/>
    </row>
    <row r="160" spans="1:5" x14ac:dyDescent="0.3">
      <c r="A160" s="372"/>
      <c r="B160" s="45"/>
      <c r="C160" s="45"/>
      <c r="D160" s="45"/>
      <c r="E160" s="45"/>
    </row>
    <row r="161" spans="1:5" x14ac:dyDescent="0.3">
      <c r="A161" s="372"/>
      <c r="B161" s="45"/>
      <c r="C161" s="45"/>
      <c r="D161" s="45"/>
      <c r="E161" s="45"/>
    </row>
    <row r="162" spans="1:5" x14ac:dyDescent="0.3">
      <c r="A162" s="372"/>
      <c r="B162" s="45"/>
      <c r="C162" s="45"/>
      <c r="D162" s="45"/>
      <c r="E162" s="45"/>
    </row>
    <row r="163" spans="1:5" x14ac:dyDescent="0.3">
      <c r="A163" s="372"/>
      <c r="B163" s="45"/>
      <c r="C163" s="45"/>
      <c r="D163" s="45"/>
      <c r="E163" s="45"/>
    </row>
    <row r="164" spans="1:5" x14ac:dyDescent="0.3">
      <c r="A164" s="372"/>
      <c r="B164" s="45"/>
      <c r="C164" s="45"/>
      <c r="D164" s="45"/>
      <c r="E164" s="45"/>
    </row>
    <row r="165" spans="1:5" x14ac:dyDescent="0.3">
      <c r="A165" s="372"/>
      <c r="B165" s="45"/>
      <c r="C165" s="45"/>
      <c r="D165" s="45"/>
      <c r="E165" s="45"/>
    </row>
    <row r="166" spans="1:5" x14ac:dyDescent="0.3">
      <c r="A166" s="372"/>
      <c r="B166" s="45"/>
      <c r="C166" s="45"/>
      <c r="D166" s="45"/>
      <c r="E166" s="45"/>
    </row>
    <row r="167" spans="1:5" x14ac:dyDescent="0.3">
      <c r="A167" s="372"/>
      <c r="B167" s="45"/>
      <c r="C167" s="45"/>
      <c r="D167" s="45"/>
      <c r="E167" s="45"/>
    </row>
    <row r="168" spans="1:5" x14ac:dyDescent="0.3">
      <c r="A168" s="372"/>
      <c r="B168" s="45"/>
      <c r="C168" s="45"/>
      <c r="D168" s="45"/>
      <c r="E168" s="45"/>
    </row>
    <row r="169" spans="1:5" x14ac:dyDescent="0.3">
      <c r="A169" s="372"/>
      <c r="B169" s="45"/>
      <c r="C169" s="45"/>
      <c r="D169" s="45"/>
      <c r="E169" s="45"/>
    </row>
    <row r="170" spans="1:5" x14ac:dyDescent="0.3">
      <c r="A170" s="372"/>
      <c r="B170" s="45"/>
      <c r="C170" s="45"/>
      <c r="D170" s="45"/>
      <c r="E170" s="45"/>
    </row>
    <row r="171" spans="1:5" x14ac:dyDescent="0.3">
      <c r="A171" s="372"/>
      <c r="B171" s="45"/>
      <c r="C171" s="45"/>
      <c r="D171" s="45"/>
      <c r="E171" s="45"/>
    </row>
    <row r="172" spans="1:5" x14ac:dyDescent="0.3">
      <c r="A172" s="372"/>
      <c r="B172" s="45"/>
      <c r="C172" s="45"/>
      <c r="D172" s="45"/>
      <c r="E172" s="45"/>
    </row>
    <row r="173" spans="1:5" x14ac:dyDescent="0.3">
      <c r="A173" s="372"/>
      <c r="B173" s="45"/>
      <c r="C173" s="45"/>
      <c r="D173" s="45"/>
      <c r="E173" s="45"/>
    </row>
    <row r="174" spans="1:5" x14ac:dyDescent="0.3">
      <c r="A174" s="372"/>
      <c r="B174" s="45"/>
      <c r="C174" s="45"/>
      <c r="D174" s="45"/>
      <c r="E174" s="45"/>
    </row>
    <row r="175" spans="1:5" x14ac:dyDescent="0.3">
      <c r="A175" s="372"/>
      <c r="B175" s="45"/>
      <c r="C175" s="45"/>
      <c r="D175" s="45"/>
      <c r="E175" s="45"/>
    </row>
    <row r="176" spans="1:5" x14ac:dyDescent="0.3">
      <c r="A176" s="372"/>
      <c r="B176" s="45"/>
      <c r="C176" s="45"/>
      <c r="D176" s="45"/>
      <c r="E176" s="45"/>
    </row>
    <row r="177" spans="1:5" x14ac:dyDescent="0.3">
      <c r="A177" s="372"/>
      <c r="B177" s="45"/>
      <c r="C177" s="45"/>
      <c r="D177" s="45"/>
      <c r="E177" s="45"/>
    </row>
    <row r="178" spans="1:5" x14ac:dyDescent="0.3">
      <c r="A178" s="372"/>
      <c r="B178" s="45"/>
      <c r="C178" s="45"/>
      <c r="D178" s="45"/>
      <c r="E178" s="45"/>
    </row>
    <row r="179" spans="1:5" x14ac:dyDescent="0.3">
      <c r="A179" s="372"/>
      <c r="B179" s="45"/>
      <c r="C179" s="45"/>
      <c r="D179" s="45"/>
      <c r="E179" s="45"/>
    </row>
    <row r="180" spans="1:5" x14ac:dyDescent="0.3">
      <c r="A180" s="372"/>
      <c r="B180" s="45"/>
      <c r="C180" s="45"/>
      <c r="D180" s="45"/>
      <c r="E180" s="45"/>
    </row>
    <row r="181" spans="1:5" x14ac:dyDescent="0.3">
      <c r="A181" s="372"/>
      <c r="B181" s="45"/>
      <c r="C181" s="45"/>
      <c r="D181" s="45"/>
      <c r="E181" s="45"/>
    </row>
    <row r="182" spans="1:5" x14ac:dyDescent="0.3">
      <c r="A182" s="372"/>
      <c r="B182" s="45"/>
      <c r="C182" s="45"/>
      <c r="D182" s="45"/>
      <c r="E182" s="45"/>
    </row>
    <row r="183" spans="1:5" x14ac:dyDescent="0.3">
      <c r="A183" s="372"/>
      <c r="B183" s="45"/>
      <c r="C183" s="45"/>
      <c r="D183" s="45"/>
      <c r="E183" s="45"/>
    </row>
    <row r="184" spans="1:5" x14ac:dyDescent="0.3">
      <c r="A184" s="372"/>
      <c r="B184" s="45"/>
      <c r="C184" s="45"/>
      <c r="D184" s="45"/>
      <c r="E184" s="45"/>
    </row>
    <row r="185" spans="1:5" x14ac:dyDescent="0.3">
      <c r="A185" s="372"/>
      <c r="B185" s="45"/>
      <c r="C185" s="45"/>
      <c r="D185" s="45"/>
      <c r="E185" s="45"/>
    </row>
    <row r="186" spans="1:5" x14ac:dyDescent="0.3">
      <c r="A186" s="372"/>
      <c r="B186" s="45"/>
      <c r="C186" s="45"/>
      <c r="D186" s="45"/>
      <c r="E186" s="45"/>
    </row>
    <row r="187" spans="1:5" x14ac:dyDescent="0.3">
      <c r="A187" s="372"/>
      <c r="B187" s="45"/>
      <c r="C187" s="45"/>
      <c r="D187" s="45"/>
      <c r="E187" s="45"/>
    </row>
    <row r="188" spans="1:5" x14ac:dyDescent="0.3">
      <c r="A188" s="372"/>
      <c r="B188" s="45"/>
      <c r="C188" s="45"/>
      <c r="D188" s="45"/>
      <c r="E188" s="45"/>
    </row>
    <row r="189" spans="1:5" x14ac:dyDescent="0.3">
      <c r="A189" s="372"/>
      <c r="B189" s="45"/>
      <c r="C189" s="45"/>
      <c r="D189" s="45"/>
      <c r="E189" s="45"/>
    </row>
    <row r="190" spans="1:5" x14ac:dyDescent="0.3">
      <c r="A190" s="372"/>
      <c r="B190" s="45"/>
      <c r="C190" s="45"/>
      <c r="D190" s="45"/>
      <c r="E190" s="45"/>
    </row>
    <row r="191" spans="1:5" x14ac:dyDescent="0.3">
      <c r="A191" s="372"/>
      <c r="B191" s="45"/>
      <c r="C191" s="45"/>
      <c r="D191" s="45"/>
      <c r="E191" s="45"/>
    </row>
    <row r="192" spans="1:5" x14ac:dyDescent="0.3">
      <c r="A192" s="372"/>
      <c r="B192" s="45"/>
      <c r="C192" s="45"/>
      <c r="D192" s="45"/>
      <c r="E192" s="45"/>
    </row>
    <row r="193" spans="1:5" x14ac:dyDescent="0.3">
      <c r="A193" s="372"/>
      <c r="B193" s="45"/>
      <c r="C193" s="45"/>
      <c r="D193" s="45"/>
      <c r="E193" s="45"/>
    </row>
    <row r="194" spans="1:5" x14ac:dyDescent="0.3">
      <c r="A194" s="372"/>
      <c r="B194" s="45"/>
      <c r="C194" s="45"/>
      <c r="D194" s="45"/>
      <c r="E194" s="45"/>
    </row>
    <row r="195" spans="1:5" x14ac:dyDescent="0.3">
      <c r="A195" s="372"/>
      <c r="B195" s="45"/>
      <c r="C195" s="45"/>
      <c r="D195" s="45"/>
      <c r="E195" s="45"/>
    </row>
    <row r="196" spans="1:5" x14ac:dyDescent="0.3">
      <c r="A196" s="372"/>
      <c r="B196" s="45"/>
      <c r="C196" s="45"/>
      <c r="D196" s="45"/>
      <c r="E196" s="45"/>
    </row>
    <row r="197" spans="1:5" x14ac:dyDescent="0.3">
      <c r="A197" s="372"/>
      <c r="B197" s="45"/>
      <c r="C197" s="45"/>
      <c r="D197" s="45"/>
      <c r="E197" s="45"/>
    </row>
    <row r="198" spans="1:5" x14ac:dyDescent="0.3">
      <c r="A198" s="372"/>
      <c r="B198" s="45"/>
      <c r="C198" s="45"/>
      <c r="D198" s="45"/>
      <c r="E198" s="45"/>
    </row>
    <row r="199" spans="1:5" x14ac:dyDescent="0.3">
      <c r="A199" s="372"/>
      <c r="B199" s="45"/>
      <c r="C199" s="45"/>
      <c r="D199" s="45"/>
      <c r="E199" s="45"/>
    </row>
    <row r="200" spans="1:5" x14ac:dyDescent="0.3">
      <c r="A200" s="372"/>
      <c r="B200" s="45"/>
      <c r="C200" s="45"/>
      <c r="D200" s="45"/>
      <c r="E200" s="45"/>
    </row>
    <row r="201" spans="1:5" x14ac:dyDescent="0.3">
      <c r="A201" s="372"/>
      <c r="B201" s="45"/>
      <c r="C201" s="45"/>
      <c r="D201" s="45"/>
      <c r="E201" s="45"/>
    </row>
    <row r="202" spans="1:5" x14ac:dyDescent="0.3">
      <c r="A202" s="372"/>
      <c r="B202" s="45"/>
      <c r="C202" s="45"/>
      <c r="D202" s="45"/>
      <c r="E202" s="45"/>
    </row>
    <row r="203" spans="1:5" x14ac:dyDescent="0.3">
      <c r="A203" s="372"/>
      <c r="B203" s="45"/>
      <c r="C203" s="45"/>
      <c r="D203" s="45"/>
      <c r="E203" s="45"/>
    </row>
    <row r="204" spans="1:5" x14ac:dyDescent="0.3">
      <c r="A204" s="372"/>
      <c r="B204" s="45"/>
      <c r="C204" s="45"/>
      <c r="D204" s="45"/>
      <c r="E204" s="45"/>
    </row>
    <row r="205" spans="1:5" x14ac:dyDescent="0.3">
      <c r="A205" s="372"/>
      <c r="B205" s="45"/>
      <c r="C205" s="45"/>
      <c r="D205" s="45"/>
      <c r="E205" s="45"/>
    </row>
    <row r="206" spans="1:5" x14ac:dyDescent="0.3">
      <c r="A206" s="372"/>
      <c r="B206" s="45"/>
      <c r="C206" s="45"/>
      <c r="D206" s="45"/>
      <c r="E206" s="45"/>
    </row>
    <row r="207" spans="1:5" x14ac:dyDescent="0.3">
      <c r="A207" s="372"/>
      <c r="B207" s="45"/>
      <c r="C207" s="45"/>
      <c r="D207" s="45"/>
      <c r="E207" s="45"/>
    </row>
    <row r="208" spans="1:5" x14ac:dyDescent="0.3">
      <c r="A208" s="372"/>
      <c r="B208" s="45"/>
      <c r="C208" s="45"/>
      <c r="D208" s="45"/>
      <c r="E208" s="45"/>
    </row>
    <row r="209" spans="1:5" x14ac:dyDescent="0.3">
      <c r="A209" s="372"/>
      <c r="B209" s="45"/>
      <c r="C209" s="45"/>
      <c r="D209" s="45"/>
      <c r="E209" s="45"/>
    </row>
    <row r="210" spans="1:5" x14ac:dyDescent="0.3">
      <c r="A210" s="372"/>
      <c r="B210" s="45"/>
      <c r="C210" s="45"/>
      <c r="D210" s="45"/>
      <c r="E210" s="45"/>
    </row>
    <row r="211" spans="1:5" x14ac:dyDescent="0.3">
      <c r="A211" s="372"/>
      <c r="B211" s="45"/>
      <c r="C211" s="45"/>
      <c r="D211" s="45"/>
      <c r="E211" s="45"/>
    </row>
    <row r="212" spans="1:5" x14ac:dyDescent="0.3">
      <c r="A212" s="372"/>
      <c r="B212" s="45"/>
      <c r="C212" s="45"/>
      <c r="D212" s="45"/>
      <c r="E212" s="45"/>
    </row>
    <row r="213" spans="1:5" x14ac:dyDescent="0.3">
      <c r="A213" s="372"/>
      <c r="B213" s="45"/>
      <c r="C213" s="45"/>
      <c r="D213" s="45"/>
      <c r="E213" s="45"/>
    </row>
    <row r="214" spans="1:5" x14ac:dyDescent="0.3">
      <c r="A214" s="372"/>
      <c r="B214" s="45"/>
      <c r="C214" s="45"/>
      <c r="D214" s="45"/>
      <c r="E214" s="45"/>
    </row>
    <row r="215" spans="1:5" x14ac:dyDescent="0.3">
      <c r="A215" s="372"/>
      <c r="B215" s="45"/>
      <c r="C215" s="45"/>
      <c r="D215" s="45"/>
      <c r="E215" s="45"/>
    </row>
    <row r="216" spans="1:5" x14ac:dyDescent="0.3">
      <c r="A216" s="372"/>
      <c r="B216" s="45"/>
      <c r="C216" s="45"/>
      <c r="D216" s="45"/>
      <c r="E216" s="45"/>
    </row>
    <row r="217" spans="1:5" x14ac:dyDescent="0.3">
      <c r="A217" s="372"/>
      <c r="B217" s="45"/>
      <c r="C217" s="45"/>
      <c r="D217" s="45"/>
      <c r="E217" s="45"/>
    </row>
    <row r="218" spans="1:5" x14ac:dyDescent="0.3">
      <c r="A218" s="372"/>
      <c r="B218" s="45"/>
      <c r="C218" s="45"/>
      <c r="D218" s="45"/>
      <c r="E218" s="45"/>
    </row>
    <row r="219" spans="1:5" x14ac:dyDescent="0.3">
      <c r="A219" s="372"/>
      <c r="B219" s="45"/>
      <c r="C219" s="45"/>
      <c r="D219" s="45"/>
      <c r="E219" s="45"/>
    </row>
    <row r="220" spans="1:5" x14ac:dyDescent="0.3">
      <c r="A220" s="372"/>
      <c r="B220" s="45"/>
      <c r="C220" s="45"/>
      <c r="D220" s="45"/>
      <c r="E220" s="45"/>
    </row>
    <row r="221" spans="1:5" x14ac:dyDescent="0.3">
      <c r="A221" s="372"/>
      <c r="B221" s="45"/>
      <c r="C221" s="45"/>
      <c r="D221" s="45"/>
      <c r="E221" s="45"/>
    </row>
    <row r="222" spans="1:5" x14ac:dyDescent="0.3">
      <c r="A222" s="372"/>
      <c r="B222" s="45"/>
      <c r="C222" s="45"/>
      <c r="D222" s="45"/>
      <c r="E222" s="45"/>
    </row>
    <row r="223" spans="1:5" x14ac:dyDescent="0.3">
      <c r="A223" s="372"/>
      <c r="B223" s="45"/>
      <c r="C223" s="45"/>
      <c r="D223" s="45"/>
      <c r="E223" s="45"/>
    </row>
    <row r="224" spans="1:5" x14ac:dyDescent="0.3">
      <c r="A224" s="372"/>
      <c r="B224" s="45"/>
      <c r="C224" s="45"/>
      <c r="D224" s="45"/>
      <c r="E224" s="45"/>
    </row>
    <row r="225" spans="1:5" x14ac:dyDescent="0.3">
      <c r="A225" s="372"/>
      <c r="B225" s="45"/>
      <c r="C225" s="45"/>
      <c r="D225" s="45"/>
      <c r="E225" s="45"/>
    </row>
    <row r="226" spans="1:5" x14ac:dyDescent="0.3">
      <c r="A226" s="372"/>
      <c r="B226" s="45"/>
      <c r="C226" s="45"/>
      <c r="D226" s="45"/>
      <c r="E226" s="45"/>
    </row>
    <row r="227" spans="1:5" x14ac:dyDescent="0.3">
      <c r="A227" s="372"/>
      <c r="B227" s="45"/>
      <c r="C227" s="45"/>
      <c r="D227" s="45"/>
      <c r="E227" s="45"/>
    </row>
    <row r="228" spans="1:5" x14ac:dyDescent="0.3">
      <c r="A228" s="372"/>
      <c r="B228" s="45"/>
      <c r="C228" s="45"/>
      <c r="D228" s="45"/>
      <c r="E228" s="45"/>
    </row>
    <row r="229" spans="1:5" x14ac:dyDescent="0.3">
      <c r="A229" s="372"/>
      <c r="B229" s="45"/>
      <c r="C229" s="45"/>
      <c r="D229" s="45"/>
      <c r="E229" s="45"/>
    </row>
    <row r="230" spans="1:5" x14ac:dyDescent="0.3">
      <c r="A230" s="372"/>
      <c r="B230" s="45"/>
      <c r="C230" s="45"/>
      <c r="D230" s="45"/>
      <c r="E230" s="45"/>
    </row>
    <row r="231" spans="1:5" x14ac:dyDescent="0.3">
      <c r="A231" s="372"/>
      <c r="B231" s="45"/>
      <c r="C231" s="45"/>
      <c r="D231" s="45"/>
      <c r="E231" s="45"/>
    </row>
    <row r="232" spans="1:5" x14ac:dyDescent="0.3">
      <c r="A232" s="372"/>
      <c r="B232" s="45"/>
      <c r="C232" s="45"/>
      <c r="D232" s="45"/>
      <c r="E232" s="45"/>
    </row>
    <row r="233" spans="1:5" x14ac:dyDescent="0.3">
      <c r="A233" s="372"/>
      <c r="B233" s="45"/>
      <c r="C233" s="45"/>
      <c r="D233" s="45"/>
      <c r="E233" s="45"/>
    </row>
    <row r="234" spans="1:5" x14ac:dyDescent="0.3">
      <c r="A234" s="372"/>
      <c r="B234" s="45"/>
      <c r="C234" s="45"/>
      <c r="D234" s="45"/>
      <c r="E234" s="45"/>
    </row>
    <row r="235" spans="1:5" x14ac:dyDescent="0.3">
      <c r="A235" s="372"/>
      <c r="B235" s="45"/>
      <c r="C235" s="45"/>
      <c r="D235" s="45"/>
      <c r="E235" s="45"/>
    </row>
    <row r="236" spans="1:5" x14ac:dyDescent="0.3">
      <c r="A236" s="372"/>
      <c r="B236" s="45"/>
      <c r="C236" s="45"/>
      <c r="D236" s="45"/>
      <c r="E236" s="45"/>
    </row>
    <row r="237" spans="1:5" x14ac:dyDescent="0.3">
      <c r="A237" s="372"/>
      <c r="B237" s="45"/>
      <c r="C237" s="45"/>
      <c r="D237" s="45"/>
      <c r="E237" s="45"/>
    </row>
    <row r="238" spans="1:5" x14ac:dyDescent="0.3">
      <c r="A238" s="372"/>
      <c r="B238" s="45"/>
      <c r="C238" s="45"/>
      <c r="D238" s="45"/>
      <c r="E238" s="45"/>
    </row>
    <row r="239" spans="1:5" x14ac:dyDescent="0.3">
      <c r="A239" s="372"/>
      <c r="B239" s="45"/>
      <c r="C239" s="45"/>
      <c r="D239" s="45"/>
      <c r="E239" s="45"/>
    </row>
    <row r="240" spans="1:5" x14ac:dyDescent="0.3">
      <c r="A240" s="372"/>
      <c r="B240" s="45"/>
      <c r="C240" s="45"/>
      <c r="D240" s="45"/>
      <c r="E240" s="45"/>
    </row>
    <row r="241" spans="1:5" x14ac:dyDescent="0.3">
      <c r="A241" s="372"/>
      <c r="B241" s="45"/>
      <c r="C241" s="45"/>
      <c r="D241" s="45"/>
      <c r="E241" s="45"/>
    </row>
    <row r="242" spans="1:5" x14ac:dyDescent="0.3">
      <c r="A242" s="372"/>
      <c r="B242" s="45"/>
      <c r="C242" s="45"/>
      <c r="D242" s="45"/>
      <c r="E242" s="45"/>
    </row>
    <row r="243" spans="1:5" x14ac:dyDescent="0.3">
      <c r="A243" s="372"/>
      <c r="B243" s="45"/>
      <c r="C243" s="45"/>
      <c r="D243" s="45"/>
      <c r="E243" s="45"/>
    </row>
    <row r="244" spans="1:5" x14ac:dyDescent="0.3">
      <c r="A244" s="372"/>
      <c r="B244" s="45"/>
      <c r="C244" s="45"/>
      <c r="D244" s="45"/>
      <c r="E244" s="45"/>
    </row>
    <row r="245" spans="1:5" x14ac:dyDescent="0.3">
      <c r="A245" s="372"/>
      <c r="B245" s="45"/>
      <c r="C245" s="45"/>
      <c r="D245" s="45"/>
      <c r="E245" s="45"/>
    </row>
    <row r="246" spans="1:5" x14ac:dyDescent="0.3">
      <c r="A246" s="372"/>
      <c r="B246" s="45"/>
      <c r="C246" s="45"/>
      <c r="D246" s="45"/>
      <c r="E246" s="45"/>
    </row>
    <row r="247" spans="1:5" x14ac:dyDescent="0.3">
      <c r="A247" s="372"/>
      <c r="B247" s="45"/>
      <c r="C247" s="45"/>
      <c r="D247" s="45"/>
      <c r="E247" s="45"/>
    </row>
    <row r="248" spans="1:5" x14ac:dyDescent="0.3">
      <c r="A248" s="372"/>
      <c r="B248" s="45"/>
      <c r="C248" s="45"/>
      <c r="D248" s="45"/>
      <c r="E248" s="45"/>
    </row>
    <row r="249" spans="1:5" x14ac:dyDescent="0.3">
      <c r="A249" s="372"/>
      <c r="B249" s="45"/>
      <c r="C249" s="45"/>
      <c r="D249" s="45"/>
      <c r="E249" s="45"/>
    </row>
    <row r="250" spans="1:5" x14ac:dyDescent="0.3">
      <c r="A250" s="372"/>
      <c r="B250" s="45"/>
      <c r="C250" s="45"/>
      <c r="D250" s="45"/>
      <c r="E250" s="45"/>
    </row>
    <row r="251" spans="1:5" x14ac:dyDescent="0.3">
      <c r="A251" s="372"/>
      <c r="B251" s="45"/>
      <c r="C251" s="45"/>
      <c r="D251" s="45"/>
      <c r="E251" s="45"/>
    </row>
    <row r="252" spans="1:5" x14ac:dyDescent="0.3">
      <c r="A252" s="372"/>
      <c r="B252" s="45"/>
      <c r="C252" s="45"/>
      <c r="D252" s="45"/>
      <c r="E252" s="45"/>
    </row>
    <row r="253" spans="1:5" x14ac:dyDescent="0.3">
      <c r="A253" s="372"/>
      <c r="B253" s="45"/>
      <c r="C253" s="45"/>
      <c r="D253" s="45"/>
      <c r="E253" s="45"/>
    </row>
    <row r="254" spans="1:5" x14ac:dyDescent="0.3">
      <c r="A254" s="372"/>
      <c r="B254" s="45"/>
      <c r="C254" s="45"/>
      <c r="D254" s="45"/>
      <c r="E254" s="45"/>
    </row>
    <row r="255" spans="1:5" x14ac:dyDescent="0.3">
      <c r="A255" s="372"/>
      <c r="B255" s="45"/>
      <c r="C255" s="45"/>
      <c r="D255" s="45"/>
      <c r="E255" s="45"/>
    </row>
    <row r="256" spans="1:5" x14ac:dyDescent="0.3">
      <c r="A256" s="372"/>
      <c r="B256" s="45"/>
      <c r="C256" s="45"/>
      <c r="D256" s="45"/>
      <c r="E256" s="45"/>
    </row>
    <row r="257" spans="1:5" x14ac:dyDescent="0.3">
      <c r="A257" s="372"/>
      <c r="B257" s="45"/>
      <c r="C257" s="45"/>
      <c r="D257" s="45"/>
      <c r="E257" s="45"/>
    </row>
    <row r="258" spans="1:5" x14ac:dyDescent="0.3">
      <c r="A258" s="372"/>
      <c r="B258" s="45"/>
      <c r="C258" s="45"/>
      <c r="D258" s="45"/>
      <c r="E258" s="45"/>
    </row>
    <row r="259" spans="1:5" x14ac:dyDescent="0.3">
      <c r="A259" s="372"/>
      <c r="B259" s="45"/>
      <c r="C259" s="45"/>
      <c r="D259" s="45"/>
      <c r="E259" s="45"/>
    </row>
    <row r="260" spans="1:5" x14ac:dyDescent="0.3">
      <c r="A260" s="372"/>
      <c r="B260" s="45"/>
      <c r="C260" s="45"/>
      <c r="D260" s="45"/>
      <c r="E260" s="45"/>
    </row>
    <row r="261" spans="1:5" x14ac:dyDescent="0.3">
      <c r="A261" s="372"/>
      <c r="B261" s="45"/>
      <c r="C261" s="45"/>
      <c r="D261" s="45"/>
      <c r="E261" s="45"/>
    </row>
    <row r="262" spans="1:5" x14ac:dyDescent="0.3">
      <c r="A262" s="372"/>
      <c r="B262" s="45"/>
      <c r="C262" s="45"/>
      <c r="D262" s="45"/>
      <c r="E262" s="45"/>
    </row>
    <row r="263" spans="1:5" x14ac:dyDescent="0.3">
      <c r="A263" s="372"/>
      <c r="B263" s="45"/>
      <c r="C263" s="45"/>
      <c r="D263" s="45"/>
      <c r="E263" s="45"/>
    </row>
    <row r="264" spans="1:5" x14ac:dyDescent="0.3">
      <c r="A264" s="372"/>
      <c r="B264" s="45"/>
      <c r="C264" s="45"/>
      <c r="D264" s="45"/>
      <c r="E264" s="45"/>
    </row>
    <row r="265" spans="1:5" x14ac:dyDescent="0.3">
      <c r="A265" s="372"/>
      <c r="B265" s="45"/>
      <c r="C265" s="45"/>
      <c r="D265" s="45"/>
      <c r="E265" s="45"/>
    </row>
    <row r="266" spans="1:5" x14ac:dyDescent="0.3">
      <c r="A266" s="372"/>
      <c r="B266" s="45"/>
      <c r="C266" s="45"/>
      <c r="D266" s="45"/>
      <c r="E266" s="45"/>
    </row>
    <row r="267" spans="1:5" x14ac:dyDescent="0.3">
      <c r="A267" s="372"/>
      <c r="B267" s="45"/>
      <c r="C267" s="45"/>
      <c r="D267" s="45"/>
      <c r="E267" s="45"/>
    </row>
    <row r="268" spans="1:5" x14ac:dyDescent="0.3">
      <c r="A268" s="372"/>
      <c r="B268" s="45"/>
      <c r="C268" s="45"/>
      <c r="D268" s="45"/>
      <c r="E268" s="45"/>
    </row>
    <row r="269" spans="1:5" x14ac:dyDescent="0.3">
      <c r="A269" s="372"/>
      <c r="B269" s="45"/>
      <c r="C269" s="45"/>
      <c r="D269" s="45"/>
      <c r="E269" s="45"/>
    </row>
    <row r="270" spans="1:5" x14ac:dyDescent="0.3">
      <c r="A270" s="372"/>
      <c r="B270" s="45"/>
      <c r="C270" s="45"/>
      <c r="D270" s="45"/>
      <c r="E270" s="45"/>
    </row>
    <row r="271" spans="1:5" x14ac:dyDescent="0.3">
      <c r="A271" s="372"/>
      <c r="B271" s="45"/>
      <c r="C271" s="45"/>
      <c r="D271" s="45"/>
      <c r="E271" s="45"/>
    </row>
    <row r="272" spans="1:5" x14ac:dyDescent="0.3">
      <c r="A272" s="372"/>
      <c r="B272" s="45"/>
      <c r="C272" s="45"/>
      <c r="D272" s="45"/>
      <c r="E272" s="45"/>
    </row>
  </sheetData>
  <phoneticPr fontId="4" type="noConversion"/>
  <pageMargins left="0.78740157480314965" right="0.78740157480314965" top="0.98425196850393704" bottom="0.98425196850393704" header="0.51181102362204722" footer="0.51181102362204722"/>
  <pageSetup paperSize="9" fitToHeight="6"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showGridLines="0" workbookViewId="0">
      <selection activeCell="A3" sqref="A3"/>
    </sheetView>
  </sheetViews>
  <sheetFormatPr baseColWidth="10" defaultRowHeight="13.5" x14ac:dyDescent="0.3"/>
  <cols>
    <col min="1" max="1" width="25.765625" style="184" customWidth="1"/>
    <col min="2" max="2" width="12" bestFit="1" customWidth="1"/>
  </cols>
  <sheetData>
    <row r="1" spans="1:2" x14ac:dyDescent="0.3">
      <c r="A1" s="12" t="s">
        <v>1588</v>
      </c>
    </row>
    <row r="2" spans="1:2" x14ac:dyDescent="0.3">
      <c r="A2" s="415" t="s">
        <v>1682</v>
      </c>
    </row>
    <row r="3" spans="1:2" x14ac:dyDescent="0.3">
      <c r="A3" s="372"/>
      <c r="B3" s="45"/>
    </row>
    <row r="4" spans="1:2" x14ac:dyDescent="0.3">
      <c r="A4" s="372"/>
      <c r="B4" s="45"/>
    </row>
    <row r="5" spans="1:2" x14ac:dyDescent="0.3">
      <c r="A5" s="372"/>
      <c r="B5" s="45"/>
    </row>
    <row r="6" spans="1:2" x14ac:dyDescent="0.3">
      <c r="A6" s="372"/>
      <c r="B6" s="45"/>
    </row>
    <row r="7" spans="1:2" x14ac:dyDescent="0.3">
      <c r="A7" s="372"/>
      <c r="B7" s="45"/>
    </row>
    <row r="8" spans="1:2" x14ac:dyDescent="0.3">
      <c r="A8" s="372"/>
      <c r="B8" s="45"/>
    </row>
    <row r="9" spans="1:2" x14ac:dyDescent="0.3">
      <c r="A9" s="372"/>
      <c r="B9" s="45"/>
    </row>
    <row r="10" spans="1:2" x14ac:dyDescent="0.3">
      <c r="A10" s="372"/>
      <c r="B10" s="45"/>
    </row>
    <row r="11" spans="1:2" x14ac:dyDescent="0.3">
      <c r="A11" s="372"/>
      <c r="B11" s="45"/>
    </row>
    <row r="12" spans="1:2" x14ac:dyDescent="0.3">
      <c r="A12" s="372"/>
      <c r="B12" s="45"/>
    </row>
    <row r="13" spans="1:2" x14ac:dyDescent="0.3">
      <c r="A13" s="372"/>
      <c r="B13" s="45"/>
    </row>
    <row r="14" spans="1:2" x14ac:dyDescent="0.3">
      <c r="A14" s="372"/>
      <c r="B14" s="45"/>
    </row>
    <row r="15" spans="1:2" x14ac:dyDescent="0.3">
      <c r="A15" s="372"/>
      <c r="B15" s="45"/>
    </row>
    <row r="16" spans="1:2" x14ac:dyDescent="0.3">
      <c r="A16" s="372"/>
      <c r="B16" s="45"/>
    </row>
    <row r="17" spans="1:2" x14ac:dyDescent="0.3">
      <c r="A17" s="372"/>
      <c r="B17" s="45"/>
    </row>
    <row r="18" spans="1:2" x14ac:dyDescent="0.3">
      <c r="A18" s="372"/>
      <c r="B18" s="45"/>
    </row>
    <row r="19" spans="1:2" x14ac:dyDescent="0.3">
      <c r="A19" s="372"/>
      <c r="B19" s="45"/>
    </row>
    <row r="20" spans="1:2" x14ac:dyDescent="0.3">
      <c r="A20" s="372"/>
      <c r="B20" s="45"/>
    </row>
    <row r="21" spans="1:2" x14ac:dyDescent="0.3">
      <c r="A21" s="372"/>
      <c r="B21" s="45"/>
    </row>
    <row r="22" spans="1:2" x14ac:dyDescent="0.3">
      <c r="A22" s="372"/>
      <c r="B22" s="45"/>
    </row>
    <row r="23" spans="1:2" x14ac:dyDescent="0.3">
      <c r="A23" s="372"/>
      <c r="B23" s="45"/>
    </row>
    <row r="24" spans="1:2" x14ac:dyDescent="0.3">
      <c r="A24" s="372"/>
      <c r="B24" s="45"/>
    </row>
    <row r="25" spans="1:2" x14ac:dyDescent="0.3">
      <c r="A25" s="372"/>
      <c r="B25" s="45"/>
    </row>
    <row r="26" spans="1:2" x14ac:dyDescent="0.3">
      <c r="A26" s="372"/>
      <c r="B26" s="45"/>
    </row>
    <row r="27" spans="1:2" x14ac:dyDescent="0.3">
      <c r="A27" s="372"/>
      <c r="B27" s="45"/>
    </row>
    <row r="28" spans="1:2" x14ac:dyDescent="0.3">
      <c r="A28" s="372"/>
      <c r="B28" s="45"/>
    </row>
    <row r="29" spans="1:2" x14ac:dyDescent="0.3">
      <c r="A29" s="372"/>
      <c r="B29" s="45"/>
    </row>
    <row r="30" spans="1:2" x14ac:dyDescent="0.3">
      <c r="A30" s="372"/>
      <c r="B30" s="45"/>
    </row>
    <row r="31" spans="1:2" x14ac:dyDescent="0.3">
      <c r="A31" s="372"/>
      <c r="B31" s="45"/>
    </row>
    <row r="32" spans="1:2" x14ac:dyDescent="0.3">
      <c r="A32" s="372"/>
      <c r="B32" s="45"/>
    </row>
    <row r="33" spans="1:2" x14ac:dyDescent="0.3">
      <c r="A33" s="372"/>
      <c r="B33" s="45"/>
    </row>
    <row r="34" spans="1:2" x14ac:dyDescent="0.3">
      <c r="A34" s="372"/>
      <c r="B34" s="45"/>
    </row>
    <row r="35" spans="1:2" x14ac:dyDescent="0.3">
      <c r="A35" s="372"/>
      <c r="B35" s="45"/>
    </row>
    <row r="36" spans="1:2" x14ac:dyDescent="0.3">
      <c r="A36" s="372"/>
      <c r="B36" s="45"/>
    </row>
    <row r="37" spans="1:2" x14ac:dyDescent="0.3">
      <c r="A37" s="372"/>
      <c r="B37" s="45"/>
    </row>
    <row r="38" spans="1:2" x14ac:dyDescent="0.3">
      <c r="A38" s="372"/>
      <c r="B38" s="45"/>
    </row>
    <row r="39" spans="1:2" x14ac:dyDescent="0.3">
      <c r="A39" s="372"/>
      <c r="B39" s="45"/>
    </row>
    <row r="40" spans="1:2" x14ac:dyDescent="0.3">
      <c r="A40" s="372"/>
      <c r="B40" s="45"/>
    </row>
    <row r="41" spans="1:2" x14ac:dyDescent="0.3">
      <c r="A41" s="372"/>
      <c r="B41" s="45"/>
    </row>
    <row r="42" spans="1:2" x14ac:dyDescent="0.3">
      <c r="A42" s="372"/>
      <c r="B42" s="45"/>
    </row>
    <row r="43" spans="1:2" x14ac:dyDescent="0.3">
      <c r="A43" s="372"/>
      <c r="B43" s="45"/>
    </row>
    <row r="44" spans="1:2" x14ac:dyDescent="0.3">
      <c r="A44" s="372"/>
      <c r="B44" s="45"/>
    </row>
    <row r="45" spans="1:2" x14ac:dyDescent="0.3">
      <c r="A45" s="372"/>
      <c r="B45" s="45"/>
    </row>
    <row r="46" spans="1:2" x14ac:dyDescent="0.3">
      <c r="A46" s="372"/>
      <c r="B46" s="45"/>
    </row>
    <row r="47" spans="1:2" x14ac:dyDescent="0.3">
      <c r="A47" s="372"/>
      <c r="B47" s="45"/>
    </row>
    <row r="48" spans="1:2" x14ac:dyDescent="0.3">
      <c r="A48" s="372"/>
      <c r="B48" s="45"/>
    </row>
    <row r="49" spans="1:2" x14ac:dyDescent="0.3">
      <c r="A49" s="372"/>
      <c r="B49" s="45"/>
    </row>
    <row r="50" spans="1:2" x14ac:dyDescent="0.3">
      <c r="A50" s="372"/>
      <c r="B50" s="45"/>
    </row>
    <row r="51" spans="1:2" x14ac:dyDescent="0.3">
      <c r="A51" s="372"/>
      <c r="B51" s="45"/>
    </row>
  </sheetData>
  <pageMargins left="0.78740157480314965" right="0.78740157480314965" top="0.98425196850393704" bottom="0.98425196850393704" header="0.51181102362204722" footer="0.51181102362204722"/>
  <pageSetup paperSize="9" fitToHeight="6"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0"/>
  <sheetViews>
    <sheetView showGridLines="0" workbookViewId="0"/>
  </sheetViews>
  <sheetFormatPr baseColWidth="10" defaultRowHeight="13.5" x14ac:dyDescent="0.3"/>
  <cols>
    <col min="1" max="1" width="28.15234375" style="184" customWidth="1"/>
    <col min="2" max="2" width="12.3828125" bestFit="1" customWidth="1"/>
  </cols>
  <sheetData>
    <row r="1" spans="1:2" x14ac:dyDescent="0.3">
      <c r="A1" s="12" t="s">
        <v>1418</v>
      </c>
    </row>
    <row r="2" spans="1:2" x14ac:dyDescent="0.3">
      <c r="A2" s="415"/>
    </row>
    <row r="3" spans="1:2" x14ac:dyDescent="0.3">
      <c r="A3" s="511" t="s">
        <v>1630</v>
      </c>
      <c r="B3" s="45">
        <v>1</v>
      </c>
    </row>
    <row r="4" spans="1:2" x14ac:dyDescent="0.3">
      <c r="A4" s="511" t="s">
        <v>1631</v>
      </c>
      <c r="B4" s="103">
        <v>0.2</v>
      </c>
    </row>
    <row r="5" spans="1:2" x14ac:dyDescent="0.3">
      <c r="A5" s="511" t="s">
        <v>1632</v>
      </c>
      <c r="B5" s="45">
        <f>B3/B4</f>
        <v>5</v>
      </c>
    </row>
    <row r="6" spans="1:2" x14ac:dyDescent="0.3">
      <c r="A6" s="511" t="s">
        <v>1633</v>
      </c>
      <c r="B6" s="45">
        <f>B5-B3</f>
        <v>4</v>
      </c>
    </row>
    <row r="7" spans="1:2" x14ac:dyDescent="0.3">
      <c r="A7" s="372"/>
      <c r="B7" s="45"/>
    </row>
    <row r="8" spans="1:2" x14ac:dyDescent="0.3">
      <c r="A8" s="12" t="s">
        <v>1420</v>
      </c>
      <c r="B8" s="45"/>
    </row>
    <row r="9" spans="1:2" x14ac:dyDescent="0.3">
      <c r="A9" s="372"/>
      <c r="B9" s="45"/>
    </row>
    <row r="10" spans="1:2" x14ac:dyDescent="0.3">
      <c r="A10" s="511" t="s">
        <v>1634</v>
      </c>
      <c r="B10" s="45">
        <v>1</v>
      </c>
    </row>
    <row r="11" spans="1:2" x14ac:dyDescent="0.3">
      <c r="A11" s="511" t="s">
        <v>1635</v>
      </c>
      <c r="B11" s="45">
        <v>0.2</v>
      </c>
    </row>
    <row r="12" spans="1:2" x14ac:dyDescent="0.3">
      <c r="A12" s="511" t="s">
        <v>1631</v>
      </c>
      <c r="B12" s="103">
        <v>0.75</v>
      </c>
    </row>
    <row r="13" spans="1:2" x14ac:dyDescent="0.3">
      <c r="A13" s="511" t="s">
        <v>1636</v>
      </c>
      <c r="B13" s="103">
        <f>1-B12</f>
        <v>0.25</v>
      </c>
    </row>
    <row r="14" spans="1:2" x14ac:dyDescent="0.3">
      <c r="A14" s="372"/>
      <c r="B14" s="45"/>
    </row>
    <row r="15" spans="1:2" x14ac:dyDescent="0.3">
      <c r="A15" s="511" t="s">
        <v>1637</v>
      </c>
      <c r="B15" s="306">
        <v>2</v>
      </c>
    </row>
    <row r="16" spans="1:2" x14ac:dyDescent="0.3">
      <c r="A16" s="511"/>
      <c r="B16" s="306"/>
    </row>
    <row r="17" spans="1:2" x14ac:dyDescent="0.3">
      <c r="A17" s="512" t="s">
        <v>1640</v>
      </c>
      <c r="B17" s="45"/>
    </row>
    <row r="18" spans="1:2" x14ac:dyDescent="0.3">
      <c r="A18" s="511" t="s">
        <v>1638</v>
      </c>
      <c r="B18" s="45">
        <f>B15*B12-B11</f>
        <v>1.3</v>
      </c>
    </row>
    <row r="19" spans="1:2" x14ac:dyDescent="0.3">
      <c r="A19" s="511" t="s">
        <v>1639</v>
      </c>
      <c r="B19" s="45">
        <f>B15*B13-(B10-B11)</f>
        <v>-0.30000000000000004</v>
      </c>
    </row>
    <row r="20" spans="1:2" x14ac:dyDescent="0.3">
      <c r="A20" s="372"/>
      <c r="B20" s="45"/>
    </row>
    <row r="21" spans="1:2" x14ac:dyDescent="0.3">
      <c r="A21" s="512" t="s">
        <v>1641</v>
      </c>
      <c r="B21" s="45"/>
    </row>
    <row r="22" spans="1:2" x14ac:dyDescent="0.3">
      <c r="A22" s="511" t="s">
        <v>1638</v>
      </c>
      <c r="B22" s="45">
        <f>B15-B10-B23</f>
        <v>0.7</v>
      </c>
    </row>
    <row r="23" spans="1:2" x14ac:dyDescent="0.3">
      <c r="A23" s="511" t="s">
        <v>1639</v>
      </c>
      <c r="B23" s="45">
        <f>B10-B11+(B15-B10+B11)*B13-(B10-B11)</f>
        <v>0.30000000000000004</v>
      </c>
    </row>
    <row r="24" spans="1:2" x14ac:dyDescent="0.3">
      <c r="A24" s="372"/>
      <c r="B24" s="45"/>
    </row>
    <row r="25" spans="1:2" x14ac:dyDescent="0.3">
      <c r="A25" s="12" t="s">
        <v>244</v>
      </c>
      <c r="B25" s="45"/>
    </row>
    <row r="26" spans="1:2" x14ac:dyDescent="0.3">
      <c r="A26" s="372"/>
      <c r="B26" s="45"/>
    </row>
    <row r="27" spans="1:2" x14ac:dyDescent="0.3">
      <c r="A27" s="511" t="s">
        <v>1642</v>
      </c>
      <c r="B27" s="45">
        <f>(B10-B11)/B13-(B10-B11)-B11</f>
        <v>2.2000000000000002</v>
      </c>
    </row>
    <row r="28" spans="1:2" x14ac:dyDescent="0.3">
      <c r="A28" s="372"/>
      <c r="B28" s="45"/>
    </row>
    <row r="29" spans="1:2" x14ac:dyDescent="0.3">
      <c r="A29" s="12" t="s">
        <v>208</v>
      </c>
      <c r="B29" s="45"/>
    </row>
    <row r="30" spans="1:2" x14ac:dyDescent="0.3">
      <c r="A30" s="372"/>
      <c r="B30" s="45"/>
    </row>
    <row r="31" spans="1:2" x14ac:dyDescent="0.3">
      <c r="A31" s="511" t="s">
        <v>1644</v>
      </c>
      <c r="B31" s="513">
        <v>1000000</v>
      </c>
    </row>
    <row r="32" spans="1:2" x14ac:dyDescent="0.3">
      <c r="A32" s="511" t="s">
        <v>1646</v>
      </c>
      <c r="B32" s="45">
        <v>1</v>
      </c>
    </row>
    <row r="33" spans="1:2" x14ac:dyDescent="0.3">
      <c r="A33" s="511" t="s">
        <v>1645</v>
      </c>
      <c r="B33" s="513">
        <v>800000</v>
      </c>
    </row>
    <row r="34" spans="1:2" x14ac:dyDescent="0.3">
      <c r="A34" s="511" t="s">
        <v>1643</v>
      </c>
      <c r="B34" s="306">
        <v>10</v>
      </c>
    </row>
    <row r="35" spans="1:2" x14ac:dyDescent="0.3">
      <c r="A35" s="511"/>
      <c r="B35" s="306"/>
    </row>
    <row r="36" spans="1:2" x14ac:dyDescent="0.3">
      <c r="A36" s="511" t="s">
        <v>1649</v>
      </c>
      <c r="B36" s="514">
        <f>B31/(B31+B33)</f>
        <v>0.55555555555555558</v>
      </c>
    </row>
    <row r="37" spans="1:2" x14ac:dyDescent="0.3">
      <c r="A37" s="511" t="s">
        <v>1650</v>
      </c>
      <c r="B37" s="514">
        <f>B33/(B31+B33)</f>
        <v>0.44444444444444442</v>
      </c>
    </row>
    <row r="38" spans="1:2" x14ac:dyDescent="0.3">
      <c r="A38" s="372"/>
      <c r="B38" s="45"/>
    </row>
    <row r="39" spans="1:2" x14ac:dyDescent="0.3">
      <c r="A39" s="511" t="s">
        <v>1647</v>
      </c>
      <c r="B39" s="513">
        <v>5000000</v>
      </c>
    </row>
    <row r="40" spans="1:2" x14ac:dyDescent="0.3">
      <c r="A40" s="511" t="s">
        <v>1648</v>
      </c>
      <c r="B40" s="103">
        <v>0.36</v>
      </c>
    </row>
    <row r="41" spans="1:2" x14ac:dyDescent="0.3">
      <c r="A41" s="511" t="s">
        <v>1654</v>
      </c>
      <c r="B41" s="513">
        <f>B39/B40</f>
        <v>13888888.88888889</v>
      </c>
    </row>
    <row r="42" spans="1:2" x14ac:dyDescent="0.3">
      <c r="A42" s="511"/>
      <c r="B42" s="103"/>
    </row>
    <row r="43" spans="1:2" x14ac:dyDescent="0.3">
      <c r="A43" s="512" t="s">
        <v>1652</v>
      </c>
      <c r="B43" s="45"/>
    </row>
    <row r="44" spans="1:2" x14ac:dyDescent="0.3">
      <c r="A44" s="511" t="s">
        <v>1651</v>
      </c>
      <c r="B44" s="103">
        <f>B40</f>
        <v>0.36</v>
      </c>
    </row>
    <row r="45" spans="1:2" x14ac:dyDescent="0.3">
      <c r="A45" s="511" t="s">
        <v>1649</v>
      </c>
      <c r="B45" s="238">
        <f>B36*(1-$B$44)</f>
        <v>0.35555555555555557</v>
      </c>
    </row>
    <row r="46" spans="1:2" x14ac:dyDescent="0.3">
      <c r="A46" s="511" t="s">
        <v>1650</v>
      </c>
      <c r="B46" s="238">
        <f>B37*(1-$B$44)</f>
        <v>0.28444444444444444</v>
      </c>
    </row>
    <row r="47" spans="1:2" x14ac:dyDescent="0.3">
      <c r="A47" s="372"/>
      <c r="B47" s="45"/>
    </row>
    <row r="48" spans="1:2" x14ac:dyDescent="0.3">
      <c r="A48" s="512" t="s">
        <v>1653</v>
      </c>
      <c r="B48" s="45"/>
    </row>
    <row r="49" spans="1:4" x14ac:dyDescent="0.3">
      <c r="A49" s="511" t="s">
        <v>1651</v>
      </c>
      <c r="B49" s="103">
        <f>B40</f>
        <v>0.36</v>
      </c>
    </row>
    <row r="50" spans="1:4" x14ac:dyDescent="0.3">
      <c r="A50" s="511" t="s">
        <v>1649</v>
      </c>
      <c r="B50" s="238">
        <f>1-B51-B49</f>
        <v>6.4000000000000057E-2</v>
      </c>
    </row>
    <row r="51" spans="1:4" x14ac:dyDescent="0.3">
      <c r="A51" s="511" t="s">
        <v>1650</v>
      </c>
      <c r="B51" s="238">
        <f>(B33*B34)/(B41-B39)*(1-B49)</f>
        <v>0.57599999999999996</v>
      </c>
    </row>
    <row r="52" spans="1:4" x14ac:dyDescent="0.3">
      <c r="A52" s="372"/>
      <c r="B52" s="45"/>
    </row>
    <row r="53" spans="1:4" x14ac:dyDescent="0.3">
      <c r="A53" s="12" t="s">
        <v>222</v>
      </c>
      <c r="B53" s="45"/>
    </row>
    <row r="54" spans="1:4" x14ac:dyDescent="0.3">
      <c r="A54" s="372"/>
      <c r="B54" s="45"/>
    </row>
    <row r="55" spans="1:4" x14ac:dyDescent="0.3">
      <c r="A55" s="511" t="s">
        <v>1644</v>
      </c>
      <c r="B55" s="513">
        <v>200000</v>
      </c>
    </row>
    <row r="56" spans="1:4" x14ac:dyDescent="0.3">
      <c r="A56" s="511" t="s">
        <v>1646</v>
      </c>
      <c r="B56" s="45">
        <v>1</v>
      </c>
    </row>
    <row r="57" spans="1:4" x14ac:dyDescent="0.3">
      <c r="A57" s="511" t="s">
        <v>1645</v>
      </c>
      <c r="B57" s="513">
        <v>800000</v>
      </c>
    </row>
    <row r="58" spans="1:4" x14ac:dyDescent="0.3">
      <c r="A58" s="511" t="s">
        <v>1643</v>
      </c>
      <c r="B58" s="306">
        <v>1</v>
      </c>
    </row>
    <row r="59" spans="1:4" x14ac:dyDescent="0.3">
      <c r="A59" s="511"/>
      <c r="B59" s="306"/>
    </row>
    <row r="60" spans="1:4" x14ac:dyDescent="0.3">
      <c r="A60" s="415" t="s">
        <v>830</v>
      </c>
      <c r="B60" s="92" t="s">
        <v>1656</v>
      </c>
      <c r="C60" s="92" t="s">
        <v>1657</v>
      </c>
      <c r="D60" s="92" t="s">
        <v>1658</v>
      </c>
    </row>
    <row r="61" spans="1:4" x14ac:dyDescent="0.3">
      <c r="A61" s="415" t="s">
        <v>1655</v>
      </c>
      <c r="B61" s="513">
        <f>B57/3</f>
        <v>266666.66666666669</v>
      </c>
      <c r="C61" s="513">
        <f>B57/2</f>
        <v>400000</v>
      </c>
      <c r="D61" s="513">
        <f>B57*2/3</f>
        <v>533333.33333333337</v>
      </c>
    </row>
    <row r="62" spans="1:4" x14ac:dyDescent="0.3">
      <c r="A62" s="415" t="s">
        <v>816</v>
      </c>
      <c r="B62">
        <v>1</v>
      </c>
      <c r="C62">
        <f>B62</f>
        <v>1</v>
      </c>
      <c r="D62">
        <f>C62</f>
        <v>1</v>
      </c>
    </row>
    <row r="64" spans="1:4" x14ac:dyDescent="0.3">
      <c r="A64" s="415" t="s">
        <v>1659</v>
      </c>
      <c r="B64">
        <v>3.7</v>
      </c>
    </row>
    <row r="65" spans="1:2" x14ac:dyDescent="0.3">
      <c r="A65" s="415" t="s">
        <v>1660</v>
      </c>
      <c r="B65" s="69">
        <f>(B64/B56)^(1/5)-1</f>
        <v>0.29909330563866021</v>
      </c>
    </row>
    <row r="66" spans="1:2" x14ac:dyDescent="0.3">
      <c r="A66" s="415" t="s">
        <v>1661</v>
      </c>
      <c r="B66" s="69">
        <f>(((B57-B61)*B64+B61*B62)/(B57*B58))^(1/5)-1</f>
        <v>0.22865967908314722</v>
      </c>
    </row>
    <row r="68" spans="1:2" x14ac:dyDescent="0.3">
      <c r="A68" s="415" t="s">
        <v>1659</v>
      </c>
      <c r="B68">
        <v>3.73</v>
      </c>
    </row>
    <row r="69" spans="1:2" x14ac:dyDescent="0.3">
      <c r="A69" s="415" t="s">
        <v>1660</v>
      </c>
      <c r="B69" s="69">
        <f>(B68/B56)^(1/5)-1</f>
        <v>0.30119314414370946</v>
      </c>
    </row>
    <row r="70" spans="1:2" x14ac:dyDescent="0.3">
      <c r="A70" s="415" t="s">
        <v>1661</v>
      </c>
      <c r="B70" s="69">
        <f>(((B57-C61)*B64+C61*C62)/(B57*B58))^(1/5)-1</f>
        <v>0.18635201558641534</v>
      </c>
    </row>
  </sheetData>
  <pageMargins left="0.78740157480314965" right="0.78740157480314965" top="0.98425196850393704" bottom="0.98425196850393704" header="0.51181102362204722" footer="0.51181102362204722"/>
  <pageSetup paperSize="9" fitToHeight="6"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D45"/>
  <sheetViews>
    <sheetView showGridLines="0" workbookViewId="0">
      <selection activeCell="A6" sqref="A6"/>
    </sheetView>
  </sheetViews>
  <sheetFormatPr baseColWidth="10" defaultRowHeight="13.5" x14ac:dyDescent="0.3"/>
  <cols>
    <col min="1" max="1" width="24.3828125" customWidth="1"/>
  </cols>
  <sheetData>
    <row r="1" spans="1:4" x14ac:dyDescent="0.3">
      <c r="A1" s="12" t="s">
        <v>1418</v>
      </c>
    </row>
    <row r="2" spans="1:4" x14ac:dyDescent="0.3">
      <c r="A2" s="12"/>
    </row>
    <row r="3" spans="1:4" x14ac:dyDescent="0.3">
      <c r="A3" s="302" t="s">
        <v>161</v>
      </c>
    </row>
    <row r="4" spans="1:4" x14ac:dyDescent="0.3">
      <c r="A4" s="280"/>
      <c r="B4" s="127" t="s">
        <v>163</v>
      </c>
      <c r="C4" s="25" t="s">
        <v>156</v>
      </c>
      <c r="D4" s="25" t="s">
        <v>159</v>
      </c>
    </row>
    <row r="5" spans="1:4" x14ac:dyDescent="0.3">
      <c r="A5" s="57" t="s">
        <v>164</v>
      </c>
      <c r="B5" s="221">
        <f>1/3</f>
        <v>0.33333333333333331</v>
      </c>
      <c r="C5" s="146">
        <v>2</v>
      </c>
      <c r="D5" s="37">
        <f>B5*C5/(B5*C5+B6*C6)</f>
        <v>0.49999999999999994</v>
      </c>
    </row>
    <row r="6" spans="1:4" x14ac:dyDescent="0.3">
      <c r="A6" s="57" t="s">
        <v>165</v>
      </c>
      <c r="B6" s="221">
        <f>1-B5</f>
        <v>0.66666666666666674</v>
      </c>
      <c r="C6" s="146">
        <v>1</v>
      </c>
      <c r="D6" s="37">
        <f>1-D5</f>
        <v>0.5</v>
      </c>
    </row>
    <row r="7" spans="1:4" x14ac:dyDescent="0.3">
      <c r="B7" s="221"/>
      <c r="C7" s="146"/>
      <c r="D7" s="37"/>
    </row>
    <row r="8" spans="1:4" x14ac:dyDescent="0.3">
      <c r="A8" s="22" t="s">
        <v>157</v>
      </c>
    </row>
    <row r="9" spans="1:4" x14ac:dyDescent="0.3">
      <c r="A9" s="22"/>
    </row>
    <row r="10" spans="1:4" x14ac:dyDescent="0.3">
      <c r="A10" s="85" t="s">
        <v>162</v>
      </c>
    </row>
    <row r="11" spans="1:4" x14ac:dyDescent="0.3">
      <c r="A11" s="280"/>
      <c r="B11" s="127" t="s">
        <v>163</v>
      </c>
      <c r="C11" s="25" t="s">
        <v>156</v>
      </c>
      <c r="D11" s="25" t="s">
        <v>160</v>
      </c>
    </row>
    <row r="12" spans="1:4" x14ac:dyDescent="0.3">
      <c r="A12" s="57" t="s">
        <v>164</v>
      </c>
      <c r="B12" s="221">
        <v>0.5</v>
      </c>
      <c r="C12" s="146">
        <v>2</v>
      </c>
      <c r="D12" s="37">
        <f>B12*C12/(B12*C12+B13*C13)</f>
        <v>0.66666666666666663</v>
      </c>
    </row>
    <row r="13" spans="1:4" x14ac:dyDescent="0.3">
      <c r="A13" s="57" t="s">
        <v>165</v>
      </c>
      <c r="B13" s="221">
        <f>1-B12</f>
        <v>0.5</v>
      </c>
      <c r="C13" s="146">
        <v>1</v>
      </c>
      <c r="D13" s="37">
        <f>1-D12</f>
        <v>0.33333333333333337</v>
      </c>
    </row>
    <row r="14" spans="1:4" x14ac:dyDescent="0.3">
      <c r="A14" s="22"/>
    </row>
    <row r="15" spans="1:4" x14ac:dyDescent="0.3">
      <c r="A15" s="22" t="s">
        <v>158</v>
      </c>
    </row>
    <row r="16" spans="1:4" x14ac:dyDescent="0.3">
      <c r="A16" s="22"/>
    </row>
    <row r="18" spans="1:1" x14ac:dyDescent="0.3">
      <c r="A18" s="33" t="s">
        <v>1420</v>
      </c>
    </row>
    <row r="34" spans="1:3" x14ac:dyDescent="0.3">
      <c r="A34" s="33" t="s">
        <v>244</v>
      </c>
    </row>
    <row r="36" spans="1:3" x14ac:dyDescent="0.3">
      <c r="A36" t="s">
        <v>1590</v>
      </c>
    </row>
    <row r="37" spans="1:3" x14ac:dyDescent="0.3">
      <c r="A37" t="s">
        <v>1589</v>
      </c>
      <c r="B37" s="86">
        <v>0.32500000000000001</v>
      </c>
    </row>
    <row r="38" spans="1:3" x14ac:dyDescent="0.3">
      <c r="A38" t="s">
        <v>1592</v>
      </c>
      <c r="B38" s="86">
        <v>0.65</v>
      </c>
    </row>
    <row r="39" spans="1:3" x14ac:dyDescent="0.3">
      <c r="A39" t="s">
        <v>1593</v>
      </c>
      <c r="B39" s="86">
        <f>B37/B38</f>
        <v>0.5</v>
      </c>
    </row>
    <row r="40" spans="1:3" x14ac:dyDescent="0.3">
      <c r="B40" s="86"/>
    </row>
    <row r="41" spans="1:3" x14ac:dyDescent="0.3">
      <c r="A41" t="s">
        <v>1591</v>
      </c>
    </row>
    <row r="42" spans="1:3" x14ac:dyDescent="0.3">
      <c r="A42" t="s">
        <v>1589</v>
      </c>
      <c r="B42" s="86">
        <v>0.2165</v>
      </c>
    </row>
    <row r="43" spans="1:3" x14ac:dyDescent="0.3">
      <c r="A43" t="s">
        <v>159</v>
      </c>
      <c r="B43" s="86">
        <f>B42*2/(1+B42)</f>
        <v>0.35593916974928075</v>
      </c>
    </row>
    <row r="44" spans="1:3" x14ac:dyDescent="0.3">
      <c r="A44" t="s">
        <v>1592</v>
      </c>
      <c r="B44" s="86">
        <f>B38</f>
        <v>0.65</v>
      </c>
      <c r="C44" t="s">
        <v>1594</v>
      </c>
    </row>
    <row r="45" spans="1:3" x14ac:dyDescent="0.3">
      <c r="A45" t="s">
        <v>1593</v>
      </c>
      <c r="B45" s="86">
        <f>B42*2/(B44+B42)</f>
        <v>0.49971148297749562</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K95"/>
  <sheetViews>
    <sheetView showGridLines="0" workbookViewId="0">
      <selection activeCell="B22" sqref="B22"/>
    </sheetView>
  </sheetViews>
  <sheetFormatPr baseColWidth="10" defaultRowHeight="13.5" x14ac:dyDescent="0.3"/>
  <cols>
    <col min="1" max="1" width="52.61328125" bestFit="1" customWidth="1"/>
    <col min="2" max="4" width="11.84375" customWidth="1"/>
    <col min="5" max="5" width="12" customWidth="1"/>
  </cols>
  <sheetData>
    <row r="1" spans="1:6" x14ac:dyDescent="0.3">
      <c r="A1" t="s">
        <v>244</v>
      </c>
    </row>
    <row r="3" spans="1:6" x14ac:dyDescent="0.3">
      <c r="A3" s="12" t="s">
        <v>1358</v>
      </c>
      <c r="B3" s="15"/>
      <c r="C3" s="15"/>
      <c r="D3" s="15"/>
      <c r="E3" s="15"/>
      <c r="F3" s="15"/>
    </row>
    <row r="4" spans="1:6" ht="9" customHeight="1" x14ac:dyDescent="0.3">
      <c r="A4" s="12"/>
      <c r="B4" s="15"/>
      <c r="C4" s="15"/>
      <c r="D4" s="15"/>
      <c r="E4" s="15"/>
      <c r="F4" s="15"/>
    </row>
    <row r="5" spans="1:6" x14ac:dyDescent="0.3">
      <c r="A5" s="452" t="s">
        <v>1359</v>
      </c>
      <c r="B5" s="453">
        <v>1</v>
      </c>
      <c r="C5" s="453">
        <v>2</v>
      </c>
      <c r="D5" s="453">
        <v>3</v>
      </c>
      <c r="E5" s="453">
        <v>4</v>
      </c>
      <c r="F5" s="453">
        <v>5</v>
      </c>
    </row>
    <row r="6" spans="1:6" x14ac:dyDescent="0.3">
      <c r="A6" t="s">
        <v>1360</v>
      </c>
      <c r="B6" s="65">
        <v>3320</v>
      </c>
      <c r="C6" s="65">
        <v>5868</v>
      </c>
      <c r="D6" s="65">
        <v>846</v>
      </c>
      <c r="E6" s="70">
        <v>348</v>
      </c>
      <c r="F6" s="65">
        <v>252</v>
      </c>
    </row>
    <row r="7" spans="1:6" x14ac:dyDescent="0.3">
      <c r="A7" t="s">
        <v>1116</v>
      </c>
      <c r="B7" s="65">
        <v>3320</v>
      </c>
      <c r="C7" s="65">
        <v>5815</v>
      </c>
      <c r="D7" s="65">
        <v>1059</v>
      </c>
      <c r="E7" s="70">
        <v>353</v>
      </c>
      <c r="F7" s="65">
        <v>252</v>
      </c>
    </row>
    <row r="8" spans="1:6" x14ac:dyDescent="0.3">
      <c r="A8" t="s">
        <v>1361</v>
      </c>
      <c r="B8" s="65">
        <v>2673</v>
      </c>
      <c r="C8" s="65">
        <v>1059</v>
      </c>
      <c r="D8" s="65">
        <v>480</v>
      </c>
      <c r="E8" s="70">
        <v>236</v>
      </c>
      <c r="F8" s="65">
        <v>36</v>
      </c>
    </row>
    <row r="9" spans="1:6" x14ac:dyDescent="0.3">
      <c r="A9" t="s">
        <v>1362</v>
      </c>
      <c r="B9" s="65">
        <v>556</v>
      </c>
      <c r="C9" s="65">
        <v>4184</v>
      </c>
      <c r="D9" s="65">
        <v>216</v>
      </c>
      <c r="E9" s="70">
        <v>106.3</v>
      </c>
      <c r="F9" s="65">
        <v>162</v>
      </c>
    </row>
    <row r="10" spans="1:6" x14ac:dyDescent="0.3">
      <c r="A10" t="s">
        <v>1363</v>
      </c>
      <c r="B10" s="65">
        <v>320</v>
      </c>
      <c r="C10" s="65">
        <v>1365</v>
      </c>
      <c r="D10" s="65">
        <v>183</v>
      </c>
      <c r="E10" s="70">
        <v>46.7</v>
      </c>
      <c r="F10" s="65">
        <v>36</v>
      </c>
    </row>
    <row r="11" spans="1:6" x14ac:dyDescent="0.3">
      <c r="A11" t="s">
        <v>1218</v>
      </c>
      <c r="B11" s="65">
        <v>41</v>
      </c>
      <c r="C11" s="65">
        <v>316</v>
      </c>
      <c r="D11" s="65">
        <v>245</v>
      </c>
      <c r="E11" s="70">
        <v>5.5</v>
      </c>
      <c r="F11" s="65">
        <v>20</v>
      </c>
    </row>
    <row r="12" spans="1:6" x14ac:dyDescent="0.3">
      <c r="A12" t="s">
        <v>1364</v>
      </c>
      <c r="B12" s="65">
        <v>11</v>
      </c>
      <c r="C12" s="65">
        <v>194</v>
      </c>
      <c r="D12" s="65">
        <v>100</v>
      </c>
      <c r="E12" s="70">
        <v>2</v>
      </c>
      <c r="F12" s="65">
        <v>36</v>
      </c>
    </row>
    <row r="13" spans="1:6" x14ac:dyDescent="0.3">
      <c r="A13" t="s">
        <v>1384</v>
      </c>
      <c r="B13" s="65">
        <v>9</v>
      </c>
      <c r="C13" s="65">
        <v>49</v>
      </c>
      <c r="D13" s="65"/>
      <c r="E13" s="70"/>
      <c r="F13" s="65"/>
    </row>
    <row r="14" spans="1:6" x14ac:dyDescent="0.3">
      <c r="A14" t="s">
        <v>411</v>
      </c>
      <c r="B14" s="65">
        <v>5</v>
      </c>
      <c r="C14" s="65">
        <v>-7</v>
      </c>
      <c r="D14" s="65">
        <v>-11</v>
      </c>
      <c r="E14" s="70">
        <v>-0.5</v>
      </c>
      <c r="F14" s="65">
        <v>2</v>
      </c>
    </row>
    <row r="15" spans="1:6" x14ac:dyDescent="0.3">
      <c r="A15" t="s">
        <v>1118</v>
      </c>
      <c r="B15" s="65">
        <v>20</v>
      </c>
      <c r="C15" s="65">
        <v>52</v>
      </c>
      <c r="D15" s="65">
        <v>0</v>
      </c>
      <c r="E15" s="70">
        <v>1.4</v>
      </c>
      <c r="F15" s="65"/>
    </row>
    <row r="16" spans="1:6" x14ac:dyDescent="0.3">
      <c r="A16" s="49" t="s">
        <v>1189</v>
      </c>
      <c r="B16" s="71">
        <f>MAX(B6,B7)-B8-B9-B12+B13-B11+B14-B15</f>
        <v>33</v>
      </c>
      <c r="C16" s="71">
        <f>MAX(C6,C7)-C8-C9-C12+C13-C11+C14-C15</f>
        <v>105</v>
      </c>
      <c r="D16" s="71">
        <f>MAX(D6,D7)-D8-D9-D12+D13-D11+D14-D15</f>
        <v>7</v>
      </c>
      <c r="E16" s="454">
        <f>MAX(E6,E7)-E8-E9-E12+E13-E11+E14-E15</f>
        <v>1.3000000000000029</v>
      </c>
      <c r="F16" s="455">
        <f>MAX(F6,F7)-F8-F9-F12+F13-F11+F14-F15</f>
        <v>0</v>
      </c>
    </row>
    <row r="17" spans="1:6" x14ac:dyDescent="0.3">
      <c r="B17" s="65"/>
      <c r="C17" s="65"/>
      <c r="D17" s="65"/>
      <c r="E17" s="70"/>
      <c r="F17" s="65"/>
    </row>
    <row r="18" spans="1:6" x14ac:dyDescent="0.3">
      <c r="A18" s="12" t="s">
        <v>76</v>
      </c>
      <c r="B18" s="65"/>
      <c r="C18" s="65"/>
      <c r="D18" s="65"/>
      <c r="E18" s="70"/>
      <c r="F18" s="65"/>
    </row>
    <row r="19" spans="1:6" ht="9" customHeight="1" x14ac:dyDescent="0.3">
      <c r="A19" s="12"/>
      <c r="B19" s="65"/>
      <c r="C19" s="65"/>
      <c r="D19" s="65"/>
      <c r="E19" s="70"/>
      <c r="F19" s="65"/>
    </row>
    <row r="20" spans="1:6" x14ac:dyDescent="0.3">
      <c r="A20" s="452" t="s">
        <v>1359</v>
      </c>
      <c r="B20" s="453">
        <v>1</v>
      </c>
      <c r="C20" s="453">
        <v>2</v>
      </c>
      <c r="D20" s="453">
        <v>3</v>
      </c>
      <c r="E20" s="453">
        <v>4</v>
      </c>
      <c r="F20" s="453">
        <v>5</v>
      </c>
    </row>
    <row r="21" spans="1:6" x14ac:dyDescent="0.3">
      <c r="A21" t="s">
        <v>1366</v>
      </c>
      <c r="B21" s="65"/>
      <c r="C21" s="65"/>
      <c r="D21" s="65">
        <v>601</v>
      </c>
      <c r="E21" s="70"/>
      <c r="F21" s="65"/>
    </row>
    <row r="22" spans="1:6" x14ac:dyDescent="0.3">
      <c r="A22" t="s">
        <v>1367</v>
      </c>
      <c r="B22" s="65">
        <v>162</v>
      </c>
      <c r="C22" s="65">
        <v>2233</v>
      </c>
      <c r="D22" s="65">
        <v>12733</v>
      </c>
      <c r="E22" s="65">
        <v>32</v>
      </c>
      <c r="F22" s="65">
        <v>226</v>
      </c>
    </row>
    <row r="23" spans="1:6" x14ac:dyDescent="0.3">
      <c r="A23" t="s">
        <v>1368</v>
      </c>
      <c r="B23" s="65">
        <v>51</v>
      </c>
      <c r="C23" s="65"/>
      <c r="D23" s="65">
        <v>12290</v>
      </c>
      <c r="E23" s="65" t="s">
        <v>458</v>
      </c>
      <c r="F23" s="65">
        <v>133</v>
      </c>
    </row>
    <row r="24" spans="1:6" x14ac:dyDescent="0.3">
      <c r="A24" t="s">
        <v>1369</v>
      </c>
      <c r="B24" s="65">
        <v>70</v>
      </c>
      <c r="C24" s="65"/>
      <c r="D24" s="65"/>
      <c r="E24" s="65"/>
      <c r="F24" s="65"/>
    </row>
    <row r="25" spans="1:6" x14ac:dyDescent="0.3">
      <c r="A25" t="s">
        <v>1370</v>
      </c>
      <c r="B25" s="65"/>
      <c r="C25" s="65">
        <v>1663</v>
      </c>
      <c r="D25" s="65"/>
      <c r="E25" s="65"/>
      <c r="F25" s="65"/>
    </row>
    <row r="26" spans="1:6" x14ac:dyDescent="0.3">
      <c r="A26" t="s">
        <v>1371</v>
      </c>
      <c r="B26" s="65">
        <v>27</v>
      </c>
      <c r="C26" s="65"/>
      <c r="D26" s="65"/>
      <c r="E26" s="65"/>
      <c r="F26" s="65"/>
    </row>
    <row r="27" spans="1:6" x14ac:dyDescent="0.3">
      <c r="A27" t="s">
        <v>1373</v>
      </c>
      <c r="B27" s="65">
        <v>44</v>
      </c>
      <c r="C27" s="65"/>
      <c r="D27" s="65"/>
      <c r="E27" s="65"/>
      <c r="F27" s="65"/>
    </row>
    <row r="28" spans="1:6" x14ac:dyDescent="0.3">
      <c r="A28" t="s">
        <v>1372</v>
      </c>
      <c r="B28" s="65">
        <v>30</v>
      </c>
      <c r="C28" s="65">
        <v>690</v>
      </c>
      <c r="D28" s="65">
        <v>106</v>
      </c>
      <c r="E28" s="65">
        <v>3</v>
      </c>
      <c r="F28" s="65">
        <v>17</v>
      </c>
    </row>
    <row r="29" spans="1:6" x14ac:dyDescent="0.3">
      <c r="A29" t="s">
        <v>1374</v>
      </c>
      <c r="B29" s="65">
        <v>282</v>
      </c>
      <c r="C29" s="65">
        <v>277</v>
      </c>
      <c r="D29" s="65">
        <v>213</v>
      </c>
      <c r="E29" s="65">
        <v>39</v>
      </c>
      <c r="F29" s="65">
        <v>25</v>
      </c>
    </row>
    <row r="30" spans="1:6" x14ac:dyDescent="0.3">
      <c r="A30" t="s">
        <v>1375</v>
      </c>
      <c r="B30" s="65">
        <v>142</v>
      </c>
      <c r="C30" s="65">
        <v>1193</v>
      </c>
      <c r="D30" s="65">
        <v>1068</v>
      </c>
      <c r="E30" s="65">
        <v>28</v>
      </c>
      <c r="F30" s="65">
        <v>8</v>
      </c>
    </row>
    <row r="31" spans="1:6" x14ac:dyDescent="0.3">
      <c r="A31" t="s">
        <v>1376</v>
      </c>
      <c r="B31" s="65">
        <v>247</v>
      </c>
      <c r="C31" s="65">
        <v>692</v>
      </c>
      <c r="D31" s="65">
        <v>40</v>
      </c>
      <c r="E31" s="65">
        <v>11</v>
      </c>
      <c r="F31" s="65">
        <v>4</v>
      </c>
    </row>
    <row r="32" spans="1:6" x14ac:dyDescent="0.3">
      <c r="A32" s="1" t="s">
        <v>1377</v>
      </c>
      <c r="B32" s="67">
        <f>B21+B22+B27+B28+B29+B30+B31</f>
        <v>907</v>
      </c>
      <c r="C32" s="67">
        <f>C21+C22+C27+C28+C29+C30+C31</f>
        <v>5085</v>
      </c>
      <c r="D32" s="67">
        <f>D21+D22+D27+D28+D29+D30+D31</f>
        <v>14761</v>
      </c>
      <c r="E32" s="67">
        <f>E21+E22+E27+E28+E29+E30+E31</f>
        <v>113</v>
      </c>
      <c r="F32" s="67">
        <f>F21+F22+F27+F28+F29+F30+F31</f>
        <v>280</v>
      </c>
    </row>
    <row r="33" spans="1:6" ht="4.5" customHeight="1" x14ac:dyDescent="0.3">
      <c r="B33" s="65"/>
      <c r="C33" s="65"/>
      <c r="D33" s="65"/>
      <c r="E33" s="65"/>
      <c r="F33" s="65"/>
    </row>
    <row r="34" spans="1:6" x14ac:dyDescent="0.3">
      <c r="A34" t="s">
        <v>1378</v>
      </c>
      <c r="B34" s="65">
        <v>174</v>
      </c>
      <c r="C34" s="65">
        <v>1088</v>
      </c>
      <c r="D34" s="65">
        <v>2021</v>
      </c>
      <c r="E34" s="65">
        <v>65</v>
      </c>
      <c r="F34" s="65">
        <v>77</v>
      </c>
    </row>
    <row r="35" spans="1:6" x14ac:dyDescent="0.3">
      <c r="A35" t="s">
        <v>1379</v>
      </c>
      <c r="B35" s="65">
        <v>72</v>
      </c>
      <c r="C35" s="65">
        <v>2182</v>
      </c>
      <c r="D35" s="65">
        <v>9655</v>
      </c>
      <c r="E35" s="65">
        <v>2</v>
      </c>
      <c r="F35" s="65">
        <v>169</v>
      </c>
    </row>
    <row r="36" spans="1:6" x14ac:dyDescent="0.3">
      <c r="A36" t="s">
        <v>1380</v>
      </c>
      <c r="B36" s="65">
        <v>661</v>
      </c>
      <c r="C36" s="65"/>
      <c r="D36" s="65">
        <v>793</v>
      </c>
      <c r="E36" s="65">
        <v>33</v>
      </c>
      <c r="F36" s="65">
        <v>20</v>
      </c>
    </row>
    <row r="37" spans="1:6" x14ac:dyDescent="0.3">
      <c r="A37" t="s">
        <v>1381</v>
      </c>
      <c r="B37" s="65"/>
      <c r="C37" s="65">
        <v>1815</v>
      </c>
      <c r="D37" s="65">
        <v>0</v>
      </c>
      <c r="E37" s="65"/>
      <c r="F37" s="65">
        <v>14</v>
      </c>
    </row>
    <row r="38" spans="1:6" x14ac:dyDescent="0.3">
      <c r="A38" t="s">
        <v>1382</v>
      </c>
      <c r="B38" s="65"/>
      <c r="C38" s="65"/>
      <c r="D38" s="65">
        <v>2292</v>
      </c>
      <c r="E38" s="65">
        <v>13</v>
      </c>
      <c r="F38" s="65"/>
    </row>
    <row r="39" spans="1:6" x14ac:dyDescent="0.3">
      <c r="A39" s="49" t="s">
        <v>1383</v>
      </c>
      <c r="B39" s="71">
        <f>SUM(B34:B38)</f>
        <v>907</v>
      </c>
      <c r="C39" s="71">
        <f>SUM(C34:C38)</f>
        <v>5085</v>
      </c>
      <c r="D39" s="71">
        <f>SUM(D34:D38)</f>
        <v>14761</v>
      </c>
      <c r="E39" s="71">
        <f>SUM(E34:E38)</f>
        <v>113</v>
      </c>
      <c r="F39" s="71">
        <f>SUM(F34:F38)</f>
        <v>280</v>
      </c>
    </row>
    <row r="40" spans="1:6" x14ac:dyDescent="0.3">
      <c r="A40" s="47"/>
      <c r="B40" s="229"/>
      <c r="C40" s="229"/>
      <c r="D40" s="229"/>
      <c r="E40" s="456"/>
      <c r="F40" s="229"/>
    </row>
    <row r="41" spans="1:6" x14ac:dyDescent="0.3">
      <c r="A41" s="12" t="s">
        <v>1606</v>
      </c>
      <c r="B41" s="229"/>
      <c r="C41" s="229"/>
      <c r="D41" s="229"/>
      <c r="E41" s="456"/>
      <c r="F41" s="229"/>
    </row>
    <row r="42" spans="1:6" ht="9" customHeight="1" x14ac:dyDescent="0.3">
      <c r="B42" s="65"/>
      <c r="C42" s="65"/>
      <c r="D42" s="65"/>
      <c r="E42" s="70"/>
      <c r="F42" s="65"/>
    </row>
    <row r="43" spans="1:6" x14ac:dyDescent="0.3">
      <c r="A43" s="452" t="s">
        <v>1359</v>
      </c>
      <c r="B43" s="453">
        <v>1</v>
      </c>
      <c r="C43" s="453">
        <v>2</v>
      </c>
      <c r="D43" s="453">
        <v>3</v>
      </c>
      <c r="E43" s="453">
        <v>4</v>
      </c>
      <c r="F43" s="453">
        <v>5</v>
      </c>
    </row>
    <row r="44" spans="1:6" x14ac:dyDescent="0.3">
      <c r="A44" t="s">
        <v>1385</v>
      </c>
      <c r="B44" s="65">
        <f>MAX(B6,B7)-B8-B9</f>
        <v>91</v>
      </c>
      <c r="C44" s="65">
        <f>MAX(C6,C7)-C8-C9</f>
        <v>625</v>
      </c>
      <c r="D44" s="65">
        <f>MAX(D6,D7)-D8-D9</f>
        <v>363</v>
      </c>
      <c r="E44" s="70">
        <f>MAX(E6,E7)-E8-E9</f>
        <v>10.700000000000003</v>
      </c>
      <c r="F44" s="408">
        <f>F6-F8-F9</f>
        <v>54</v>
      </c>
    </row>
    <row r="45" spans="1:6" x14ac:dyDescent="0.3">
      <c r="A45" t="s">
        <v>1347</v>
      </c>
      <c r="B45" s="65">
        <f>B16+B11-B14</f>
        <v>69</v>
      </c>
      <c r="C45" s="65">
        <f>C16+C11-C14</f>
        <v>428</v>
      </c>
      <c r="D45" s="65">
        <f>D16+D11-D14</f>
        <v>263</v>
      </c>
      <c r="E45" s="70">
        <f>E16+E11-E14</f>
        <v>7.3000000000000025</v>
      </c>
      <c r="F45" s="65">
        <f>F16+F11-F14</f>
        <v>18</v>
      </c>
    </row>
    <row r="46" spans="1:6" x14ac:dyDescent="0.3">
      <c r="A46" t="s">
        <v>1184</v>
      </c>
      <c r="B46" s="65">
        <f>B44-B11</f>
        <v>50</v>
      </c>
      <c r="C46" s="65">
        <f>C44-C11</f>
        <v>309</v>
      </c>
      <c r="D46" s="65">
        <f>D44-D11</f>
        <v>118</v>
      </c>
      <c r="E46" s="70">
        <f>E44-E11</f>
        <v>5.2000000000000028</v>
      </c>
      <c r="F46" s="408">
        <f>F44-F11</f>
        <v>34</v>
      </c>
    </row>
    <row r="47" spans="1:6" x14ac:dyDescent="0.3">
      <c r="A47" t="s">
        <v>1220</v>
      </c>
      <c r="B47" s="65">
        <f>B46-B12+B13</f>
        <v>48</v>
      </c>
      <c r="C47" s="65">
        <f>C46-C12+C13</f>
        <v>164</v>
      </c>
      <c r="D47" s="65">
        <f>D46-D12+D13</f>
        <v>18</v>
      </c>
      <c r="E47" s="70">
        <f>E46-E12+E13</f>
        <v>3.2000000000000028</v>
      </c>
      <c r="F47" s="408">
        <f>F46-F12+F13</f>
        <v>-2</v>
      </c>
    </row>
    <row r="48" spans="1:6" x14ac:dyDescent="0.3">
      <c r="A48" s="148" t="s">
        <v>1221</v>
      </c>
      <c r="B48" s="409">
        <f>B47-B15+B14</f>
        <v>33</v>
      </c>
      <c r="C48" s="409">
        <f>C47-C15+C14</f>
        <v>105</v>
      </c>
      <c r="D48" s="409">
        <f>D47-D15+D14</f>
        <v>7</v>
      </c>
      <c r="E48" s="407">
        <f>E47-E15+E14</f>
        <v>1.3000000000000029</v>
      </c>
      <c r="F48" s="410">
        <f>F47-F15+F14</f>
        <v>0</v>
      </c>
    </row>
    <row r="49" spans="1:11" x14ac:dyDescent="0.3">
      <c r="A49" t="s">
        <v>1386</v>
      </c>
      <c r="B49" s="65">
        <f>B29+B30-B36-B37</f>
        <v>-237</v>
      </c>
      <c r="C49" s="65">
        <f>C29+C30-C36-C37</f>
        <v>-345</v>
      </c>
      <c r="D49" s="65">
        <f>D29+D30-D36-D37</f>
        <v>488</v>
      </c>
      <c r="E49" s="65">
        <f>E29+E30-E36-E37</f>
        <v>34</v>
      </c>
      <c r="F49" s="65">
        <f>F29+F30-F36-F37</f>
        <v>-1</v>
      </c>
    </row>
    <row r="50" spans="1:11" x14ac:dyDescent="0.3">
      <c r="A50" t="s">
        <v>1387</v>
      </c>
      <c r="B50" s="65">
        <f>B21+B22+B27+B28+B49</f>
        <v>-1</v>
      </c>
      <c r="C50" s="408">
        <f>C21+C22+C27+C28+C49</f>
        <v>2578</v>
      </c>
      <c r="D50" s="65">
        <f>D21+D22+D27+D28+D49</f>
        <v>13928</v>
      </c>
      <c r="E50" s="65">
        <f>E21+E22+E27+E28+E49</f>
        <v>69</v>
      </c>
      <c r="F50" s="408">
        <f>F21+F22+F27+F28+F49</f>
        <v>242</v>
      </c>
    </row>
    <row r="51" spans="1:11" x14ac:dyDescent="0.3">
      <c r="A51" t="s">
        <v>1388</v>
      </c>
      <c r="B51" s="65">
        <f>B50-B34</f>
        <v>-175</v>
      </c>
      <c r="C51" s="408">
        <f>C50-C34</f>
        <v>1490</v>
      </c>
      <c r="D51" s="65">
        <f>D50-D34</f>
        <v>11907</v>
      </c>
      <c r="E51" s="65">
        <f>E50-E34</f>
        <v>4</v>
      </c>
      <c r="F51" s="408">
        <f>F50-F34</f>
        <v>165</v>
      </c>
    </row>
    <row r="52" spans="1:11" x14ac:dyDescent="0.3">
      <c r="A52" s="457" t="s">
        <v>707</v>
      </c>
      <c r="B52" s="458">
        <f>B34+B51</f>
        <v>-1</v>
      </c>
      <c r="C52" s="458">
        <f>C34+C51</f>
        <v>2578</v>
      </c>
      <c r="D52" s="458">
        <f>D34+D51</f>
        <v>13928</v>
      </c>
      <c r="E52" s="458">
        <f>E34+E51</f>
        <v>69</v>
      </c>
      <c r="F52" s="458">
        <f>F34+F51</f>
        <v>242</v>
      </c>
    </row>
    <row r="53" spans="1:11" x14ac:dyDescent="0.3">
      <c r="B53" s="15"/>
      <c r="C53" s="15"/>
      <c r="D53" s="15"/>
      <c r="E53" s="15"/>
      <c r="F53" s="15"/>
    </row>
    <row r="54" spans="1:11" x14ac:dyDescent="0.3">
      <c r="A54" t="s">
        <v>208</v>
      </c>
    </row>
    <row r="56" spans="1:11" x14ac:dyDescent="0.3">
      <c r="A56" s="33" t="s">
        <v>1607</v>
      </c>
    </row>
    <row r="58" spans="1:11" s="1" customFormat="1" x14ac:dyDescent="0.3">
      <c r="A58" s="89" t="s">
        <v>71</v>
      </c>
      <c r="B58" s="64">
        <v>2013</v>
      </c>
      <c r="C58" s="64">
        <v>2014</v>
      </c>
    </row>
    <row r="59" spans="1:11" x14ac:dyDescent="0.3">
      <c r="A59" t="s">
        <v>1221</v>
      </c>
      <c r="B59" s="314">
        <v>0.7</v>
      </c>
      <c r="C59" s="314">
        <v>0.6</v>
      </c>
    </row>
    <row r="60" spans="1:11" x14ac:dyDescent="0.3">
      <c r="A60" s="22" t="s">
        <v>1330</v>
      </c>
      <c r="B60" s="314">
        <v>4.9000000000000004</v>
      </c>
      <c r="C60" s="314">
        <v>4.8</v>
      </c>
      <c r="E60" s="1" t="s">
        <v>1565</v>
      </c>
      <c r="I60" s="105" t="s">
        <v>1563</v>
      </c>
      <c r="J60" s="105" t="s">
        <v>1560</v>
      </c>
      <c r="K60" s="105" t="s">
        <v>1561</v>
      </c>
    </row>
    <row r="61" spans="1:11" x14ac:dyDescent="0.3">
      <c r="A61" s="22" t="s">
        <v>1552</v>
      </c>
      <c r="B61" s="314"/>
      <c r="C61" s="314"/>
      <c r="E61" s="68" t="s">
        <v>1104</v>
      </c>
      <c r="I61" s="68">
        <v>23.3</v>
      </c>
      <c r="J61" s="68">
        <v>24.2</v>
      </c>
      <c r="K61" s="68">
        <v>28.6</v>
      </c>
    </row>
    <row r="62" spans="1:11" x14ac:dyDescent="0.3">
      <c r="A62" s="22" t="s">
        <v>416</v>
      </c>
      <c r="B62" s="314">
        <f>SUM(B59:B61)</f>
        <v>5.6000000000000005</v>
      </c>
      <c r="C62" s="314">
        <f>SUM(C59:C61)</f>
        <v>5.3999999999999995</v>
      </c>
      <c r="E62" t="s">
        <v>415</v>
      </c>
      <c r="I62">
        <v>25.7</v>
      </c>
      <c r="J62">
        <v>31.5</v>
      </c>
      <c r="K62">
        <v>42.9</v>
      </c>
    </row>
    <row r="63" spans="1:11" x14ac:dyDescent="0.3">
      <c r="A63" s="22" t="s">
        <v>1553</v>
      </c>
      <c r="B63" s="314">
        <f>J67</f>
        <v>6.9000000000000057</v>
      </c>
      <c r="C63" s="314">
        <f>K67</f>
        <v>11.099999999999994</v>
      </c>
      <c r="E63" t="s">
        <v>1471</v>
      </c>
      <c r="I63">
        <v>10.7</v>
      </c>
      <c r="J63">
        <v>9.5</v>
      </c>
      <c r="K63">
        <v>14.2</v>
      </c>
    </row>
    <row r="64" spans="1:11" x14ac:dyDescent="0.3">
      <c r="A64" s="215" t="s">
        <v>1554</v>
      </c>
      <c r="B64" s="315">
        <f>+B62-B63</f>
        <v>-1.3000000000000052</v>
      </c>
      <c r="C64" s="315">
        <f>+C62-C63</f>
        <v>-5.6999999999999948</v>
      </c>
      <c r="E64" t="s">
        <v>1419</v>
      </c>
      <c r="I64">
        <f>I61+I62-I63</f>
        <v>38.299999999999997</v>
      </c>
      <c r="J64">
        <f>J61+J62-J63</f>
        <v>46.2</v>
      </c>
      <c r="K64">
        <f>K61+K62-K63</f>
        <v>57.3</v>
      </c>
    </row>
    <row r="65" spans="1:11" x14ac:dyDescent="0.3">
      <c r="A65" t="s">
        <v>1555</v>
      </c>
      <c r="B65" s="314">
        <v>2.6</v>
      </c>
      <c r="C65" s="314">
        <v>3.1</v>
      </c>
      <c r="E65" t="s">
        <v>95</v>
      </c>
      <c r="I65">
        <v>13</v>
      </c>
      <c r="J65">
        <v>12</v>
      </c>
      <c r="K65">
        <v>12</v>
      </c>
    </row>
    <row r="66" spans="1:11" x14ac:dyDescent="0.3">
      <c r="A66" s="22" t="s">
        <v>1556</v>
      </c>
      <c r="B66" s="314"/>
      <c r="C66" s="314"/>
      <c r="E66" t="s">
        <v>1564</v>
      </c>
      <c r="I66" t="s">
        <v>290</v>
      </c>
      <c r="J66">
        <f>J65-I65</f>
        <v>-1</v>
      </c>
      <c r="K66">
        <f>K65-J65</f>
        <v>0</v>
      </c>
    </row>
    <row r="67" spans="1:11" x14ac:dyDescent="0.3">
      <c r="A67" s="22" t="s">
        <v>1557</v>
      </c>
      <c r="B67" s="314"/>
      <c r="C67" s="314"/>
      <c r="E67" t="s">
        <v>1562</v>
      </c>
      <c r="I67" t="s">
        <v>290</v>
      </c>
      <c r="J67">
        <f>J64-I64+J66</f>
        <v>6.9000000000000057</v>
      </c>
      <c r="K67">
        <f>K64-J64+K66</f>
        <v>11.099999999999994</v>
      </c>
    </row>
    <row r="68" spans="1:11" x14ac:dyDescent="0.3">
      <c r="A68" s="215" t="s">
        <v>94</v>
      </c>
      <c r="B68" s="315">
        <f>+B65</f>
        <v>2.6</v>
      </c>
      <c r="C68" s="315">
        <f>+C65</f>
        <v>3.1</v>
      </c>
    </row>
    <row r="69" spans="1:11" x14ac:dyDescent="0.3">
      <c r="A69" t="s">
        <v>1558</v>
      </c>
      <c r="B69" s="314"/>
      <c r="C69" s="314"/>
    </row>
    <row r="70" spans="1:11" x14ac:dyDescent="0.3">
      <c r="A70" s="45" t="s">
        <v>93</v>
      </c>
      <c r="B70" s="316">
        <v>0.6</v>
      </c>
      <c r="C70" s="316">
        <v>0.6</v>
      </c>
    </row>
    <row r="71" spans="1:11" x14ac:dyDescent="0.3">
      <c r="A71" s="25" t="s">
        <v>1559</v>
      </c>
      <c r="B71" s="315">
        <f>+B64-B65-B70</f>
        <v>-4.5000000000000053</v>
      </c>
      <c r="C71" s="315">
        <f>+C64-C65-C70</f>
        <v>-9.399999999999995</v>
      </c>
    </row>
    <row r="74" spans="1:11" x14ac:dyDescent="0.3">
      <c r="A74" t="s">
        <v>222</v>
      </c>
    </row>
    <row r="76" spans="1:11" x14ac:dyDescent="0.3">
      <c r="A76" s="33" t="s">
        <v>70</v>
      </c>
    </row>
    <row r="77" spans="1:11" x14ac:dyDescent="0.3">
      <c r="A77" t="s">
        <v>71</v>
      </c>
      <c r="B77" s="4" t="s">
        <v>1355</v>
      </c>
      <c r="C77" s="4" t="s">
        <v>1356</v>
      </c>
      <c r="D77" s="4" t="s">
        <v>1357</v>
      </c>
    </row>
    <row r="78" spans="1:11" x14ac:dyDescent="0.3">
      <c r="A78" s="1" t="s">
        <v>1221</v>
      </c>
      <c r="B78" s="90">
        <f>' Chapitre 3'!B79</f>
        <v>14.1</v>
      </c>
      <c r="C78" s="90">
        <f>' Chapitre 3'!C79</f>
        <v>16.5</v>
      </c>
      <c r="D78" s="90">
        <f>' Chapitre 3'!D79</f>
        <v>16.899999999999999</v>
      </c>
    </row>
    <row r="79" spans="1:11" x14ac:dyDescent="0.3">
      <c r="A79" s="22" t="s">
        <v>1330</v>
      </c>
      <c r="B79" s="65">
        <f>' Chapitre 3'!B74</f>
        <v>6</v>
      </c>
      <c r="C79" s="65">
        <f>' Chapitre 3'!C74</f>
        <v>6</v>
      </c>
      <c r="D79" s="65">
        <f>' Chapitre 3'!D74</f>
        <v>6</v>
      </c>
    </row>
    <row r="80" spans="1:11" x14ac:dyDescent="0.3">
      <c r="A80" s="22" t="s">
        <v>1331</v>
      </c>
      <c r="B80" s="65">
        <v>0</v>
      </c>
      <c r="C80" s="65">
        <v>0</v>
      </c>
      <c r="D80" s="65">
        <v>0</v>
      </c>
    </row>
    <row r="81" spans="1:4" x14ac:dyDescent="0.3">
      <c r="A81" s="1" t="s">
        <v>1347</v>
      </c>
      <c r="B81" s="90">
        <f>B78+B79+B80</f>
        <v>20.100000000000001</v>
      </c>
      <c r="C81" s="90">
        <f>C78+C79+C80</f>
        <v>22.5</v>
      </c>
      <c r="D81" s="90">
        <f>D78+D79+D80</f>
        <v>22.9</v>
      </c>
    </row>
    <row r="82" spans="1:4" x14ac:dyDescent="0.3">
      <c r="A82" s="22" t="s">
        <v>1332</v>
      </c>
      <c r="B82" s="65">
        <f>'Chapitre 4'!C9-'Chapitre 4'!B9</f>
        <v>36</v>
      </c>
      <c r="C82" s="65">
        <f>'Chapitre 4'!D9-'Chapitre 4'!C9</f>
        <v>0</v>
      </c>
      <c r="D82" s="65">
        <f>'Chapitre 4'!E9-'Chapitre 4'!D9</f>
        <v>0</v>
      </c>
    </row>
    <row r="83" spans="1:4" x14ac:dyDescent="0.3">
      <c r="A83" s="1" t="s">
        <v>1349</v>
      </c>
      <c r="B83" s="90">
        <f>B81-B82</f>
        <v>-15.899999999999999</v>
      </c>
      <c r="C83" s="90">
        <f>C81-C82</f>
        <v>22.5</v>
      </c>
      <c r="D83" s="90">
        <f>D81-D82</f>
        <v>22.9</v>
      </c>
    </row>
    <row r="84" spans="1:4" x14ac:dyDescent="0.3">
      <c r="A84" s="22" t="s">
        <v>1333</v>
      </c>
      <c r="B84" s="65">
        <f>-'Chapitre 2'!C34</f>
        <v>30</v>
      </c>
      <c r="C84" s="65">
        <f>'Chapitre 2'!D34</f>
        <v>0</v>
      </c>
      <c r="D84" s="65">
        <f>'Chapitre 2'!E34</f>
        <v>0</v>
      </c>
    </row>
    <row r="85" spans="1:4" x14ac:dyDescent="0.3">
      <c r="A85" s="22" t="s">
        <v>1334</v>
      </c>
      <c r="B85" s="65">
        <v>0</v>
      </c>
      <c r="C85" s="65">
        <v>0</v>
      </c>
      <c r="D85" s="65">
        <v>0</v>
      </c>
    </row>
    <row r="86" spans="1:4" x14ac:dyDescent="0.3">
      <c r="A86" s="1" t="s">
        <v>1348</v>
      </c>
      <c r="B86" s="90">
        <f>B83-B84+B85</f>
        <v>-45.9</v>
      </c>
      <c r="C86" s="90">
        <f>C83-C84+C85</f>
        <v>22.5</v>
      </c>
      <c r="D86" s="90">
        <f>D83-D84+D85</f>
        <v>22.9</v>
      </c>
    </row>
    <row r="87" spans="1:4" x14ac:dyDescent="0.3">
      <c r="A87" s="22" t="s">
        <v>1335</v>
      </c>
      <c r="B87" s="65">
        <v>0</v>
      </c>
      <c r="C87" s="65">
        <v>0</v>
      </c>
      <c r="D87" s="65">
        <v>0</v>
      </c>
    </row>
    <row r="88" spans="1:4" x14ac:dyDescent="0.3">
      <c r="A88" s="22" t="s">
        <v>1336</v>
      </c>
      <c r="B88" s="65">
        <f>'Chapitre 4'!B15</f>
        <v>0</v>
      </c>
      <c r="C88" s="65">
        <f>'Chapitre 4'!C15</f>
        <v>0</v>
      </c>
      <c r="D88" s="65">
        <f>'Chapitre 4'!D15</f>
        <v>0</v>
      </c>
    </row>
    <row r="89" spans="1:4" x14ac:dyDescent="0.3">
      <c r="A89" s="1" t="s">
        <v>1329</v>
      </c>
      <c r="B89" s="90">
        <f>B78+B79+B80-B82-B84+B85+B87-B88</f>
        <v>-45.9</v>
      </c>
      <c r="C89" s="90">
        <f>C78+C79+C80-C82-C84+C87-C88</f>
        <v>22.5</v>
      </c>
      <c r="D89" s="90">
        <f>D78+D79+D80-D82-D84+D87-D88</f>
        <v>22.9</v>
      </c>
    </row>
    <row r="90" spans="1:4" x14ac:dyDescent="0.3">
      <c r="B90" s="70"/>
      <c r="C90" s="70"/>
      <c r="D90" s="70"/>
    </row>
    <row r="91" spans="1:4" x14ac:dyDescent="0.3">
      <c r="A91" s="22" t="s">
        <v>1350</v>
      </c>
      <c r="B91" s="65">
        <f>-('Chapitre 4'!C16-'Chapitre 4'!B16)+B92</f>
        <v>4</v>
      </c>
      <c r="C91" s="65">
        <f>-('Chapitre 4'!D16-'Chapitre 4'!C16)</f>
        <v>4</v>
      </c>
      <c r="D91" s="65">
        <f>-('Chapitre 4'!E16-'Chapitre 4'!D16)</f>
        <v>4</v>
      </c>
    </row>
    <row r="92" spans="1:4" x14ac:dyDescent="0.3">
      <c r="A92" s="22" t="s">
        <v>1351</v>
      </c>
      <c r="B92" s="65">
        <v>20</v>
      </c>
      <c r="C92" s="65">
        <v>0</v>
      </c>
      <c r="D92" s="65">
        <v>0</v>
      </c>
    </row>
    <row r="93" spans="1:4" x14ac:dyDescent="0.3">
      <c r="A93" s="22" t="s">
        <v>1352</v>
      </c>
      <c r="B93" s="65">
        <v>0</v>
      </c>
      <c r="C93" s="65">
        <v>0</v>
      </c>
      <c r="D93" s="65">
        <v>0</v>
      </c>
    </row>
    <row r="94" spans="1:4" x14ac:dyDescent="0.3">
      <c r="A94" s="22" t="s">
        <v>1353</v>
      </c>
      <c r="B94" s="70">
        <f>'Chapitre 4'!C18-'Chapitre 4'!B18</f>
        <v>-29.9</v>
      </c>
      <c r="C94" s="70">
        <f>'Chapitre 4'!D18-'Chapitre 4'!C18</f>
        <v>18.5</v>
      </c>
      <c r="D94" s="70">
        <f>'Chapitre 4'!E18-'Chapitre 4'!D18</f>
        <v>18.899999999999999</v>
      </c>
    </row>
    <row r="95" spans="1:4" x14ac:dyDescent="0.3">
      <c r="A95" s="1" t="s">
        <v>1329</v>
      </c>
      <c r="B95" s="90">
        <f>B91-B92+B93+B94</f>
        <v>-45.9</v>
      </c>
      <c r="C95" s="90">
        <f>C91-C92+C93+C94</f>
        <v>22.5</v>
      </c>
      <c r="D95" s="90">
        <f>D91-D92+D93+D94</f>
        <v>22.9</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workbookViewId="0">
      <selection activeCell="A13" sqref="A13"/>
    </sheetView>
  </sheetViews>
  <sheetFormatPr baseColWidth="10" defaultColWidth="59.765625" defaultRowHeight="13.5" x14ac:dyDescent="0.3"/>
  <cols>
    <col min="1" max="1" width="79.15234375" style="416" customWidth="1"/>
    <col min="2" max="16384" width="59.765625" style="416"/>
  </cols>
  <sheetData>
    <row r="1" spans="1:1" x14ac:dyDescent="0.3">
      <c r="A1" s="1" t="s">
        <v>1769</v>
      </c>
    </row>
    <row r="3" spans="1:1" x14ac:dyDescent="0.3">
      <c r="A3" s="416" t="s">
        <v>1683</v>
      </c>
    </row>
  </sheetData>
  <phoneticPr fontId="4" type="noConversion"/>
  <pageMargins left="0.78740157499999996" right="0.78740157499999996" top="0.984251969" bottom="0.984251969" header="0.4921259845" footer="0.4921259845"/>
  <headerFooter alignWithMargins="0"/>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dimension ref="A1:H55"/>
  <sheetViews>
    <sheetView showGridLines="0" workbookViewId="0">
      <selection activeCell="C1" sqref="C1"/>
    </sheetView>
  </sheetViews>
  <sheetFormatPr baseColWidth="10" defaultRowHeight="13.5" x14ac:dyDescent="0.3"/>
  <cols>
    <col min="1" max="1" width="26.3828125" customWidth="1"/>
  </cols>
  <sheetData>
    <row r="1" spans="1:8" x14ac:dyDescent="0.3">
      <c r="A1" s="33" t="s">
        <v>1418</v>
      </c>
    </row>
    <row r="2" spans="1:8" ht="24" customHeight="1" x14ac:dyDescent="0.3">
      <c r="A2" s="161" t="s">
        <v>1078</v>
      </c>
      <c r="B2" s="66" t="s">
        <v>1169</v>
      </c>
      <c r="C2" s="66" t="s">
        <v>1171</v>
      </c>
      <c r="D2" s="66"/>
      <c r="F2" s="207" t="s">
        <v>1168</v>
      </c>
      <c r="G2" s="207" t="s">
        <v>1170</v>
      </c>
    </row>
    <row r="3" spans="1:8" x14ac:dyDescent="0.3">
      <c r="A3" s="207" t="s">
        <v>1168</v>
      </c>
      <c r="B3" s="37">
        <v>1</v>
      </c>
      <c r="E3" s="66" t="s">
        <v>714</v>
      </c>
      <c r="F3">
        <v>60</v>
      </c>
      <c r="G3">
        <v>30</v>
      </c>
    </row>
    <row r="4" spans="1:8" x14ac:dyDescent="0.3">
      <c r="A4" s="207" t="s">
        <v>1170</v>
      </c>
      <c r="C4" s="37">
        <v>1</v>
      </c>
      <c r="E4" s="66" t="s">
        <v>733</v>
      </c>
      <c r="F4">
        <v>750</v>
      </c>
      <c r="G4">
        <v>1500</v>
      </c>
    </row>
    <row r="5" spans="1:8" x14ac:dyDescent="0.3">
      <c r="E5" s="66" t="s">
        <v>938</v>
      </c>
      <c r="F5">
        <v>800</v>
      </c>
      <c r="G5">
        <v>400</v>
      </c>
    </row>
    <row r="6" spans="1:8" x14ac:dyDescent="0.3">
      <c r="A6" s="160" t="s">
        <v>1079</v>
      </c>
    </row>
    <row r="7" spans="1:8" x14ac:dyDescent="0.3">
      <c r="A7" t="s">
        <v>1080</v>
      </c>
      <c r="B7" s="17">
        <f t="shared" ref="B7:C9" si="0">F3/($F3+$G3)</f>
        <v>0.66666666666666663</v>
      </c>
      <c r="C7" s="17">
        <f t="shared" si="0"/>
        <v>0.33333333333333331</v>
      </c>
    </row>
    <row r="8" spans="1:8" x14ac:dyDescent="0.3">
      <c r="A8" t="s">
        <v>1081</v>
      </c>
      <c r="B8" s="17">
        <f t="shared" si="0"/>
        <v>0.33333333333333331</v>
      </c>
      <c r="C8" s="17">
        <f t="shared" si="0"/>
        <v>0.66666666666666663</v>
      </c>
    </row>
    <row r="9" spans="1:8" x14ac:dyDescent="0.3">
      <c r="A9" t="s">
        <v>1082</v>
      </c>
      <c r="B9" s="17">
        <f t="shared" si="0"/>
        <v>0.66666666666666663</v>
      </c>
      <c r="C9" s="17">
        <f t="shared" si="0"/>
        <v>0.33333333333333331</v>
      </c>
    </row>
    <row r="11" spans="1:8" x14ac:dyDescent="0.3">
      <c r="A11" s="12" t="s">
        <v>1420</v>
      </c>
    </row>
    <row r="12" spans="1:8" ht="30" x14ac:dyDescent="0.3">
      <c r="A12" s="161" t="s">
        <v>1078</v>
      </c>
      <c r="B12" s="66" t="s">
        <v>714</v>
      </c>
      <c r="C12" s="66" t="s">
        <v>1058</v>
      </c>
      <c r="D12" s="66" t="s">
        <v>666</v>
      </c>
      <c r="E12" s="66" t="s">
        <v>1083</v>
      </c>
      <c r="G12" s="76" t="s">
        <v>664</v>
      </c>
      <c r="H12" s="76" t="s">
        <v>1061</v>
      </c>
    </row>
    <row r="13" spans="1:8" x14ac:dyDescent="0.3">
      <c r="A13" t="s">
        <v>1172</v>
      </c>
      <c r="B13">
        <v>20</v>
      </c>
      <c r="C13">
        <v>60</v>
      </c>
      <c r="D13">
        <v>50</v>
      </c>
      <c r="E13">
        <v>2000</v>
      </c>
      <c r="G13" s="5">
        <f>B13/E13</f>
        <v>0.01</v>
      </c>
      <c r="H13" s="5">
        <f>C13/E13</f>
        <v>0.03</v>
      </c>
    </row>
    <row r="14" spans="1:8" x14ac:dyDescent="0.3">
      <c r="A14" t="s">
        <v>1173</v>
      </c>
      <c r="B14">
        <v>40</v>
      </c>
      <c r="C14">
        <v>300</v>
      </c>
      <c r="D14">
        <v>8</v>
      </c>
      <c r="E14">
        <v>1000</v>
      </c>
      <c r="G14" s="5">
        <f>B14/E14</f>
        <v>0.04</v>
      </c>
      <c r="H14" s="5">
        <f>C14/E14</f>
        <v>0.3</v>
      </c>
    </row>
    <row r="16" spans="1:8" x14ac:dyDescent="0.3">
      <c r="A16" s="160" t="s">
        <v>1174</v>
      </c>
    </row>
    <row r="17" spans="1:5" ht="20" x14ac:dyDescent="0.3">
      <c r="D17" s="66" t="s">
        <v>675</v>
      </c>
      <c r="E17">
        <f>E13*100%/B18</f>
        <v>2640</v>
      </c>
    </row>
    <row r="18" spans="1:5" x14ac:dyDescent="0.3">
      <c r="A18" s="1" t="s">
        <v>1175</v>
      </c>
      <c r="B18" s="69">
        <f>B13*D13/(B$13*D$13+B$14*D$14)</f>
        <v>0.75757575757575757</v>
      </c>
    </row>
    <row r="19" spans="1:5" x14ac:dyDescent="0.3">
      <c r="A19" s="1" t="s">
        <v>1176</v>
      </c>
      <c r="B19" s="69">
        <f>B14*D14/(B$13*D$13+B$14*D$14)</f>
        <v>0.24242424242424243</v>
      </c>
    </row>
    <row r="21" spans="1:5" x14ac:dyDescent="0.3">
      <c r="A21" s="1" t="s">
        <v>664</v>
      </c>
      <c r="B21" s="214">
        <f>(B13+B14)/E17</f>
        <v>2.2727272727272728E-2</v>
      </c>
    </row>
    <row r="22" spans="1:5" x14ac:dyDescent="0.3">
      <c r="A22" s="1" t="s">
        <v>1061</v>
      </c>
      <c r="B22" s="214">
        <f>($C$13+$C$14)/E17</f>
        <v>0.13636363636363635</v>
      </c>
    </row>
    <row r="24" spans="1:5" x14ac:dyDescent="0.3">
      <c r="A24" s="160" t="s">
        <v>1084</v>
      </c>
    </row>
    <row r="26" spans="1:5" x14ac:dyDescent="0.3">
      <c r="A26" t="s">
        <v>1177</v>
      </c>
      <c r="B26">
        <v>15</v>
      </c>
      <c r="C26">
        <v>6</v>
      </c>
    </row>
    <row r="27" spans="1:5" x14ac:dyDescent="0.3">
      <c r="A27" s="1" t="s">
        <v>1175</v>
      </c>
      <c r="B27" s="69">
        <f>B13*B26/(B$13*B26+B$14*D$14)</f>
        <v>0.4838709677419355</v>
      </c>
      <c r="C27" s="69">
        <f>B13*C26/(B$13*C$26+B$14*D$14)</f>
        <v>0.27272727272727271</v>
      </c>
    </row>
    <row r="28" spans="1:5" x14ac:dyDescent="0.3">
      <c r="A28" s="1" t="s">
        <v>1176</v>
      </c>
      <c r="B28" s="69">
        <f>B14*D14/(B$13*B26+B$14*D$14)</f>
        <v>0.5161290322580645</v>
      </c>
      <c r="C28" s="69">
        <f>B14*D14/(B$13*C26+B$14*D$14)</f>
        <v>0.72727272727272729</v>
      </c>
    </row>
    <row r="29" spans="1:5" x14ac:dyDescent="0.3">
      <c r="A29" s="1" t="s">
        <v>1261</v>
      </c>
      <c r="B29" s="107">
        <f>$E$13*100%/B27</f>
        <v>4133.333333333333</v>
      </c>
      <c r="C29" s="107">
        <f>$E$13*100%/C27</f>
        <v>7333.3333333333339</v>
      </c>
    </row>
    <row r="30" spans="1:5" x14ac:dyDescent="0.3">
      <c r="A30" s="1" t="s">
        <v>664</v>
      </c>
      <c r="B30" s="214">
        <f>($B$13+$B$14)/B29</f>
        <v>1.4516129032258065E-2</v>
      </c>
      <c r="C30" s="214">
        <f>($B$13+$B$14)/C29</f>
        <v>8.1818181818181807E-3</v>
      </c>
    </row>
    <row r="31" spans="1:5" x14ac:dyDescent="0.3">
      <c r="A31" s="1" t="s">
        <v>1061</v>
      </c>
      <c r="B31" s="214">
        <f>($C$13+$C$14)/B29</f>
        <v>8.7096774193548387E-2</v>
      </c>
      <c r="C31" s="214">
        <f>($C$13+$C$14)/C29</f>
        <v>4.9090909090909088E-2</v>
      </c>
    </row>
    <row r="32" spans="1:5" x14ac:dyDescent="0.3">
      <c r="A32" s="1"/>
      <c r="B32" s="69"/>
      <c r="C32" s="69"/>
    </row>
    <row r="34" spans="1:5" x14ac:dyDescent="0.3">
      <c r="A34" s="160" t="s">
        <v>1085</v>
      </c>
    </row>
    <row r="36" spans="1:5" x14ac:dyDescent="0.3">
      <c r="A36" t="s">
        <v>1086</v>
      </c>
      <c r="B36">
        <v>10</v>
      </c>
    </row>
    <row r="37" spans="1:5" x14ac:dyDescent="0.3">
      <c r="A37" t="s">
        <v>1087</v>
      </c>
      <c r="B37">
        <v>21</v>
      </c>
    </row>
    <row r="39" spans="1:5" x14ac:dyDescent="0.3">
      <c r="A39" t="s">
        <v>1088</v>
      </c>
      <c r="B39">
        <f>(B13+B14+B36)*B37-(D13*B13+D14*B14)</f>
        <v>150</v>
      </c>
    </row>
    <row r="41" spans="1:5" x14ac:dyDescent="0.3">
      <c r="A41" s="1" t="s">
        <v>1178</v>
      </c>
      <c r="B41" s="141">
        <f>D13*B13/(B39+D14*B14)</f>
        <v>2.1276595744680851</v>
      </c>
      <c r="C41" s="105" t="s">
        <v>1252</v>
      </c>
      <c r="D41" s="99">
        <f>2/B41</f>
        <v>0.94000000000000006</v>
      </c>
      <c r="E41" t="s">
        <v>1262</v>
      </c>
    </row>
    <row r="42" spans="1:5" x14ac:dyDescent="0.3">
      <c r="A42" s="1" t="s">
        <v>1179</v>
      </c>
      <c r="B42" s="141">
        <f>(B39+D13*B13)/(D14*B14)</f>
        <v>3.59375</v>
      </c>
      <c r="C42" s="105" t="s">
        <v>1252</v>
      </c>
      <c r="D42" s="99">
        <f>2/B42</f>
        <v>0.55652173913043479</v>
      </c>
      <c r="E42" t="s">
        <v>1262</v>
      </c>
    </row>
    <row r="44" spans="1:5" x14ac:dyDescent="0.3">
      <c r="A44" s="160" t="s">
        <v>1180</v>
      </c>
    </row>
    <row r="46" spans="1:5" x14ac:dyDescent="0.3">
      <c r="A46" t="s">
        <v>1086</v>
      </c>
      <c r="B46">
        <v>10</v>
      </c>
    </row>
    <row r="47" spans="1:5" x14ac:dyDescent="0.3">
      <c r="A47" t="s">
        <v>1087</v>
      </c>
      <c r="B47">
        <v>50</v>
      </c>
    </row>
    <row r="49" spans="1:2" x14ac:dyDescent="0.3">
      <c r="A49" s="1" t="s">
        <v>1181</v>
      </c>
      <c r="B49">
        <f>B47*(B46+B13+B14)</f>
        <v>3500</v>
      </c>
    </row>
    <row r="51" spans="1:2" x14ac:dyDescent="0.3">
      <c r="A51" s="160" t="s">
        <v>1089</v>
      </c>
    </row>
    <row r="53" spans="1:2" x14ac:dyDescent="0.3">
      <c r="A53" t="s">
        <v>1090</v>
      </c>
      <c r="B53">
        <f>B49-(D13*B13+D14*B14)</f>
        <v>2180</v>
      </c>
    </row>
    <row r="54" spans="1:2" x14ac:dyDescent="0.3">
      <c r="A54" s="14" t="s">
        <v>1091</v>
      </c>
      <c r="B54">
        <f>B46*B47</f>
        <v>500</v>
      </c>
    </row>
    <row r="55" spans="1:2" x14ac:dyDescent="0.3">
      <c r="A55" s="14" t="s">
        <v>1182</v>
      </c>
      <c r="B55">
        <f>B53-B54</f>
        <v>1680</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dimension ref="A1:H95"/>
  <sheetViews>
    <sheetView showGridLines="0" topLeftCell="A50" workbookViewId="0">
      <selection activeCell="C84" sqref="C84"/>
    </sheetView>
  </sheetViews>
  <sheetFormatPr baseColWidth="10" defaultRowHeight="13.5" x14ac:dyDescent="0.3"/>
  <cols>
    <col min="1" max="1" width="30.15234375" customWidth="1"/>
    <col min="2" max="3" width="13.61328125" customWidth="1"/>
  </cols>
  <sheetData>
    <row r="1" spans="1:3" x14ac:dyDescent="0.3">
      <c r="A1" s="33" t="s">
        <v>1629</v>
      </c>
    </row>
    <row r="2" spans="1:3" x14ac:dyDescent="0.3">
      <c r="B2" s="221"/>
      <c r="C2" s="221"/>
    </row>
    <row r="3" spans="1:3" x14ac:dyDescent="0.3">
      <c r="A3" s="467" t="s">
        <v>1421</v>
      </c>
      <c r="B3" s="515" t="s">
        <v>290</v>
      </c>
      <c r="C3" s="515" t="s">
        <v>289</v>
      </c>
    </row>
    <row r="4" spans="1:3" x14ac:dyDescent="0.3">
      <c r="A4" t="s">
        <v>1094</v>
      </c>
      <c r="B4" s="105">
        <v>500</v>
      </c>
      <c r="C4" s="105">
        <v>1000</v>
      </c>
    </row>
    <row r="5" spans="1:3" x14ac:dyDescent="0.3">
      <c r="A5" t="s">
        <v>1422</v>
      </c>
      <c r="B5" s="105">
        <v>-500</v>
      </c>
      <c r="C5" s="105">
        <v>-500</v>
      </c>
    </row>
    <row r="6" spans="1:3" s="68" customFormat="1" x14ac:dyDescent="0.3">
      <c r="A6" s="68" t="s">
        <v>1423</v>
      </c>
      <c r="B6" s="105">
        <f>B4+B5</f>
        <v>0</v>
      </c>
      <c r="C6" s="105">
        <f>C4+C5</f>
        <v>500</v>
      </c>
    </row>
    <row r="7" spans="1:3" s="68" customFormat="1" x14ac:dyDescent="0.3">
      <c r="A7" s="68" t="s">
        <v>1100</v>
      </c>
      <c r="B7" s="105">
        <v>0</v>
      </c>
      <c r="C7" s="105">
        <v>300</v>
      </c>
    </row>
    <row r="8" spans="1:3" s="68" customFormat="1" x14ac:dyDescent="0.3">
      <c r="B8" s="105"/>
      <c r="C8" s="105"/>
    </row>
    <row r="9" spans="1:3" s="68" customFormat="1" x14ac:dyDescent="0.3">
      <c r="A9" s="68" t="s">
        <v>101</v>
      </c>
    </row>
    <row r="10" spans="1:3" s="68" customFormat="1" x14ac:dyDescent="0.3">
      <c r="A10" s="68" t="s">
        <v>1425</v>
      </c>
      <c r="B10" s="68">
        <f>AVERAGE(B4:C4)</f>
        <v>750</v>
      </c>
    </row>
    <row r="11" spans="1:3" s="68" customFormat="1" x14ac:dyDescent="0.3">
      <c r="A11" s="68" t="s">
        <v>1424</v>
      </c>
      <c r="B11" s="68">
        <f>-AVERAGE(B5,C5)</f>
        <v>500</v>
      </c>
    </row>
    <row r="12" spans="1:3" s="68" customFormat="1" x14ac:dyDescent="0.3">
      <c r="A12" s="68" t="s">
        <v>341</v>
      </c>
      <c r="B12" s="68">
        <f>B10-B11</f>
        <v>250</v>
      </c>
    </row>
    <row r="13" spans="1:3" s="68" customFormat="1" x14ac:dyDescent="0.3"/>
    <row r="14" spans="1:3" s="68" customFormat="1" x14ac:dyDescent="0.3">
      <c r="A14" s="68" t="s">
        <v>102</v>
      </c>
    </row>
    <row r="15" spans="1:3" s="68" customFormat="1" x14ac:dyDescent="0.3">
      <c r="A15" s="68" t="s">
        <v>1426</v>
      </c>
      <c r="B15" s="68">
        <f>AVERAGE(B7,C7)</f>
        <v>150</v>
      </c>
    </row>
    <row r="16" spans="1:3" s="68" customFormat="1" x14ac:dyDescent="0.3">
      <c r="A16" s="68" t="s">
        <v>1427</v>
      </c>
    </row>
    <row r="17" spans="1:8" s="68" customFormat="1" x14ac:dyDescent="0.3">
      <c r="A17" s="68" t="s">
        <v>1428</v>
      </c>
      <c r="B17" s="68">
        <f>B15+150</f>
        <v>300</v>
      </c>
    </row>
    <row r="18" spans="1:8" s="68" customFormat="1" x14ac:dyDescent="0.3">
      <c r="A18" s="68" t="s">
        <v>1429</v>
      </c>
      <c r="B18" s="68">
        <f>B15</f>
        <v>150</v>
      </c>
    </row>
    <row r="19" spans="1:8" s="68" customFormat="1" x14ac:dyDescent="0.3"/>
    <row r="20" spans="1:8" s="68" customFormat="1" x14ac:dyDescent="0.3">
      <c r="A20" s="68" t="s">
        <v>298</v>
      </c>
    </row>
    <row r="21" spans="1:8" s="68" customFormat="1" x14ac:dyDescent="0.3">
      <c r="A21" s="68" t="s">
        <v>1430</v>
      </c>
    </row>
    <row r="22" spans="1:8" s="68" customFormat="1" x14ac:dyDescent="0.3"/>
    <row r="23" spans="1:8" s="68" customFormat="1" x14ac:dyDescent="0.3">
      <c r="A23" s="68" t="s">
        <v>299</v>
      </c>
    </row>
    <row r="24" spans="1:8" s="68" customFormat="1" x14ac:dyDescent="0.3">
      <c r="A24" s="68" t="s">
        <v>1431</v>
      </c>
    </row>
    <row r="25" spans="1:8" s="68" customFormat="1" x14ac:dyDescent="0.3"/>
    <row r="26" spans="1:8" x14ac:dyDescent="0.3">
      <c r="A26" s="33" t="s">
        <v>1573</v>
      </c>
    </row>
    <row r="27" spans="1:8" x14ac:dyDescent="0.3">
      <c r="A27" s="161"/>
      <c r="B27" s="66"/>
      <c r="C27" s="66"/>
      <c r="D27" s="66"/>
      <c r="E27" s="66"/>
      <c r="G27" s="76"/>
      <c r="H27" s="76"/>
    </row>
    <row r="28" spans="1:8" x14ac:dyDescent="0.3">
      <c r="A28" s="467"/>
      <c r="B28" s="467"/>
      <c r="C28" s="467">
        <v>2014</v>
      </c>
      <c r="D28" s="467">
        <f>C28+1</f>
        <v>2015</v>
      </c>
      <c r="E28" s="467">
        <f>D28+1</f>
        <v>2016</v>
      </c>
      <c r="G28" s="5"/>
      <c r="H28" s="5"/>
    </row>
    <row r="29" spans="1:8" x14ac:dyDescent="0.3">
      <c r="A29" t="s">
        <v>1360</v>
      </c>
      <c r="C29">
        <v>8026</v>
      </c>
      <c r="D29">
        <v>5208</v>
      </c>
      <c r="E29">
        <v>3018</v>
      </c>
      <c r="G29" s="5"/>
      <c r="H29" s="5"/>
    </row>
    <row r="30" spans="1:8" x14ac:dyDescent="0.3">
      <c r="A30" t="s">
        <v>1184</v>
      </c>
      <c r="C30">
        <v>130</v>
      </c>
      <c r="D30">
        <v>-168</v>
      </c>
      <c r="E30">
        <v>-100</v>
      </c>
      <c r="G30" s="5"/>
      <c r="H30" s="5"/>
    </row>
    <row r="31" spans="1:8" x14ac:dyDescent="0.3">
      <c r="A31" t="s">
        <v>1364</v>
      </c>
      <c r="C31">
        <v>330</v>
      </c>
      <c r="D31">
        <v>144</v>
      </c>
      <c r="E31">
        <v>62</v>
      </c>
      <c r="G31" s="5"/>
      <c r="H31" s="5"/>
    </row>
    <row r="32" spans="1:8" x14ac:dyDescent="0.3">
      <c r="A32" t="s">
        <v>89</v>
      </c>
      <c r="C32">
        <v>-1020</v>
      </c>
      <c r="D32">
        <v>-314</v>
      </c>
      <c r="G32" s="5"/>
      <c r="H32" s="5"/>
    </row>
    <row r="33" spans="1:8" x14ac:dyDescent="0.3">
      <c r="A33" t="s">
        <v>1221</v>
      </c>
      <c r="C33">
        <f>C30-C31+C32</f>
        <v>-1220</v>
      </c>
      <c r="D33">
        <f>D30-D31+D32</f>
        <v>-626</v>
      </c>
      <c r="E33">
        <f>E30-E31+E32</f>
        <v>-162</v>
      </c>
      <c r="G33" s="5"/>
      <c r="H33" s="5"/>
    </row>
    <row r="34" spans="1:8" x14ac:dyDescent="0.3">
      <c r="G34" s="5"/>
      <c r="H34" s="5"/>
    </row>
    <row r="35" spans="1:8" x14ac:dyDescent="0.3">
      <c r="A35" t="s">
        <v>263</v>
      </c>
      <c r="D35">
        <v>122</v>
      </c>
      <c r="E35">
        <v>72</v>
      </c>
      <c r="G35" s="5"/>
      <c r="H35" s="5"/>
    </row>
    <row r="36" spans="1:8" x14ac:dyDescent="0.3">
      <c r="A36" t="s">
        <v>1419</v>
      </c>
      <c r="D36">
        <v>614</v>
      </c>
      <c r="E36">
        <v>330</v>
      </c>
      <c r="G36" s="5"/>
      <c r="H36" s="5"/>
    </row>
    <row r="37" spans="1:8" x14ac:dyDescent="0.3">
      <c r="A37" t="s">
        <v>1378</v>
      </c>
      <c r="D37">
        <v>-620</v>
      </c>
      <c r="E37">
        <v>-784</v>
      </c>
      <c r="G37" s="5"/>
      <c r="H37" s="5"/>
    </row>
    <row r="38" spans="1:8" x14ac:dyDescent="0.3">
      <c r="A38" t="s">
        <v>1432</v>
      </c>
      <c r="D38">
        <v>616</v>
      </c>
      <c r="E38">
        <v>616</v>
      </c>
      <c r="G38" s="5"/>
      <c r="H38" s="5"/>
    </row>
    <row r="39" spans="1:8" x14ac:dyDescent="0.3">
      <c r="A39" t="s">
        <v>1433</v>
      </c>
      <c r="D39">
        <v>740</v>
      </c>
      <c r="E39">
        <v>570</v>
      </c>
    </row>
    <row r="41" spans="1:8" x14ac:dyDescent="0.3">
      <c r="A41" t="s">
        <v>1008</v>
      </c>
      <c r="B41" s="301">
        <v>8910000</v>
      </c>
    </row>
    <row r="42" spans="1:8" x14ac:dyDescent="0.3">
      <c r="A42" t="s">
        <v>653</v>
      </c>
      <c r="B42" s="105">
        <v>24</v>
      </c>
    </row>
    <row r="46" spans="1:8" x14ac:dyDescent="0.3">
      <c r="A46" t="s">
        <v>101</v>
      </c>
    </row>
    <row r="47" spans="1:8" x14ac:dyDescent="0.3">
      <c r="A47" t="s">
        <v>1436</v>
      </c>
    </row>
    <row r="48" spans="1:8" x14ac:dyDescent="0.3">
      <c r="A48" t="s">
        <v>1437</v>
      </c>
    </row>
    <row r="49" spans="1:2" x14ac:dyDescent="0.3">
      <c r="A49" t="s">
        <v>404</v>
      </c>
    </row>
    <row r="50" spans="1:2" x14ac:dyDescent="0.3">
      <c r="A50" t="s">
        <v>1439</v>
      </c>
    </row>
    <row r="52" spans="1:2" x14ac:dyDescent="0.3">
      <c r="A52" s="22" t="s">
        <v>1438</v>
      </c>
    </row>
    <row r="53" spans="1:2" x14ac:dyDescent="0.3">
      <c r="A53" s="22"/>
    </row>
    <row r="54" spans="1:2" x14ac:dyDescent="0.3">
      <c r="A54" t="s">
        <v>102</v>
      </c>
    </row>
    <row r="55" spans="1:2" x14ac:dyDescent="0.3">
      <c r="A55" t="s">
        <v>341</v>
      </c>
      <c r="B55" s="5">
        <f>B41*B42/1000000</f>
        <v>213.84</v>
      </c>
    </row>
    <row r="56" spans="1:2" x14ac:dyDescent="0.3">
      <c r="A56" t="s">
        <v>1435</v>
      </c>
      <c r="B56" s="5">
        <f>0.5*E39</f>
        <v>285</v>
      </c>
    </row>
    <row r="57" spans="1:2" x14ac:dyDescent="0.3">
      <c r="A57" t="s">
        <v>1434</v>
      </c>
      <c r="B57" s="5">
        <f>21%*E38</f>
        <v>129.35999999999999</v>
      </c>
    </row>
    <row r="58" spans="1:2" x14ac:dyDescent="0.3">
      <c r="A58" t="s">
        <v>1425</v>
      </c>
      <c r="B58" s="5">
        <f>B55+B56+B57</f>
        <v>628.20000000000005</v>
      </c>
    </row>
    <row r="59" spans="1:2" x14ac:dyDescent="0.3">
      <c r="B59" s="107"/>
    </row>
    <row r="60" spans="1:2" x14ac:dyDescent="0.3">
      <c r="A60" t="s">
        <v>298</v>
      </c>
      <c r="B60" s="107"/>
    </row>
    <row r="61" spans="1:2" x14ac:dyDescent="0.3">
      <c r="A61" t="s">
        <v>798</v>
      </c>
      <c r="B61" s="107"/>
    </row>
    <row r="62" spans="1:2" x14ac:dyDescent="0.3">
      <c r="A62" t="s">
        <v>1440</v>
      </c>
      <c r="B62" s="122">
        <v>15500000</v>
      </c>
    </row>
    <row r="63" spans="1:2" x14ac:dyDescent="0.3">
      <c r="A63" s="25" t="s">
        <v>1441</v>
      </c>
      <c r="B63" s="304">
        <v>20</v>
      </c>
    </row>
    <row r="64" spans="1:2" x14ac:dyDescent="0.3">
      <c r="A64" t="s">
        <v>590</v>
      </c>
      <c r="B64" s="303">
        <f>B62*B63/1000000</f>
        <v>310</v>
      </c>
    </row>
    <row r="65" spans="1:4" x14ac:dyDescent="0.3">
      <c r="B65" s="303"/>
    </row>
    <row r="66" spans="1:4" x14ac:dyDescent="0.3">
      <c r="A66" t="s">
        <v>1442</v>
      </c>
      <c r="B66" s="303"/>
    </row>
    <row r="67" spans="1:4" x14ac:dyDescent="0.3">
      <c r="A67" t="s">
        <v>1440</v>
      </c>
      <c r="B67" s="122">
        <v>3850000</v>
      </c>
    </row>
    <row r="68" spans="1:4" x14ac:dyDescent="0.3">
      <c r="A68" t="s">
        <v>1443</v>
      </c>
      <c r="B68" s="305">
        <v>36.96</v>
      </c>
    </row>
    <row r="69" spans="1:4" x14ac:dyDescent="0.3">
      <c r="B69" s="303"/>
    </row>
    <row r="70" spans="1:4" x14ac:dyDescent="0.3">
      <c r="A70" t="s">
        <v>1444</v>
      </c>
      <c r="B70" s="303"/>
    </row>
    <row r="71" spans="1:4" x14ac:dyDescent="0.3">
      <c r="A71" t="s">
        <v>1445</v>
      </c>
      <c r="B71" s="303">
        <v>160</v>
      </c>
    </row>
    <row r="72" spans="1:4" x14ac:dyDescent="0.3">
      <c r="A72" t="s">
        <v>1446</v>
      </c>
      <c r="B72" s="122">
        <v>1250000</v>
      </c>
    </row>
    <row r="73" spans="1:4" x14ac:dyDescent="0.3">
      <c r="A73" t="s">
        <v>1447</v>
      </c>
      <c r="B73" s="303">
        <v>4</v>
      </c>
      <c r="C73" s="605" t="s">
        <v>1264</v>
      </c>
      <c r="D73" s="605"/>
    </row>
    <row r="74" spans="1:4" x14ac:dyDescent="0.3">
      <c r="B74" s="303"/>
    </row>
    <row r="75" spans="1:4" x14ac:dyDescent="0.3">
      <c r="A75" s="1" t="s">
        <v>1448</v>
      </c>
      <c r="B75" s="303"/>
    </row>
    <row r="76" spans="1:4" x14ac:dyDescent="0.3">
      <c r="A76" t="s">
        <v>1450</v>
      </c>
      <c r="B76" s="303">
        <f>B64-B68</f>
        <v>273.04000000000002</v>
      </c>
    </row>
    <row r="77" spans="1:4" x14ac:dyDescent="0.3">
      <c r="A77" t="s">
        <v>1449</v>
      </c>
      <c r="B77" s="303">
        <f>80%*(E39-B71-(B64-B68))</f>
        <v>109.56799999999998</v>
      </c>
    </row>
    <row r="78" spans="1:4" x14ac:dyDescent="0.3">
      <c r="A78" s="25" t="s">
        <v>1451</v>
      </c>
      <c r="B78" s="304">
        <f>B72*B73/1000000</f>
        <v>5</v>
      </c>
    </row>
    <row r="79" spans="1:4" x14ac:dyDescent="0.3">
      <c r="A79" t="s">
        <v>1452</v>
      </c>
      <c r="B79" s="252">
        <f>SUM(B76:B78)</f>
        <v>387.608</v>
      </c>
      <c r="C79" s="77">
        <f>+B79-B56</f>
        <v>102.608</v>
      </c>
    </row>
    <row r="80" spans="1:4" x14ac:dyDescent="0.3">
      <c r="B80" s="303"/>
    </row>
    <row r="81" spans="1:3" x14ac:dyDescent="0.3">
      <c r="A81" s="1" t="s">
        <v>386</v>
      </c>
      <c r="B81" s="303"/>
    </row>
    <row r="82" spans="1:3" x14ac:dyDescent="0.3">
      <c r="A82" t="s">
        <v>1453</v>
      </c>
      <c r="B82" s="303">
        <f>B58</f>
        <v>628.20000000000005</v>
      </c>
    </row>
    <row r="83" spans="1:3" x14ac:dyDescent="0.3">
      <c r="A83" t="s">
        <v>1444</v>
      </c>
      <c r="B83" s="303">
        <f>80%*(E39-B71-B64+B68)</f>
        <v>109.56800000000001</v>
      </c>
    </row>
    <row r="84" spans="1:3" x14ac:dyDescent="0.3">
      <c r="A84" s="25" t="s">
        <v>1454</v>
      </c>
      <c r="B84" s="304">
        <f>B72*B73/1000000</f>
        <v>5</v>
      </c>
    </row>
    <row r="85" spans="1:3" x14ac:dyDescent="0.3">
      <c r="A85" s="306" t="s">
        <v>341</v>
      </c>
      <c r="B85" s="252">
        <f>B82-B83-B84</f>
        <v>513.63200000000006</v>
      </c>
    </row>
    <row r="86" spans="1:3" x14ac:dyDescent="0.3">
      <c r="B86" s="303"/>
    </row>
    <row r="87" spans="1:3" x14ac:dyDescent="0.3">
      <c r="A87" t="s">
        <v>1455</v>
      </c>
      <c r="B87" s="252">
        <f>B85/(B41+B62+B67)*1000000</f>
        <v>18.175230007077143</v>
      </c>
    </row>
    <row r="88" spans="1:3" x14ac:dyDescent="0.3">
      <c r="B88" s="252"/>
    </row>
    <row r="89" spans="1:3" s="375" customFormat="1" ht="15.75" customHeight="1" x14ac:dyDescent="0.3">
      <c r="A89" s="373" t="s">
        <v>1263</v>
      </c>
      <c r="B89" s="374">
        <f>+B87*B41/1000000</f>
        <v>161.94129936305734</v>
      </c>
      <c r="C89" s="376">
        <f>+B89-B55</f>
        <v>-51.898700636942664</v>
      </c>
    </row>
    <row r="90" spans="1:3" ht="27" x14ac:dyDescent="0.3">
      <c r="A90" s="373" t="s">
        <v>1265</v>
      </c>
      <c r="B90" s="252">
        <f>+B87*B62/1000000</f>
        <v>281.71606510969571</v>
      </c>
      <c r="C90" s="77">
        <f>+B90-B64</f>
        <v>-28.283934890304295</v>
      </c>
    </row>
    <row r="91" spans="1:3" x14ac:dyDescent="0.3">
      <c r="B91" s="252"/>
    </row>
    <row r="92" spans="1:3" x14ac:dyDescent="0.3">
      <c r="A92" s="1" t="s">
        <v>1456</v>
      </c>
      <c r="B92" s="252"/>
    </row>
    <row r="93" spans="1:3" x14ac:dyDescent="0.3">
      <c r="A93" t="s">
        <v>590</v>
      </c>
      <c r="B93" s="252">
        <f>B68+B87*B67/1000000</f>
        <v>106.934635527247</v>
      </c>
      <c r="C93" s="77">
        <f>+B93-B57</f>
        <v>-22.425364472752989</v>
      </c>
    </row>
    <row r="94" spans="1:3" x14ac:dyDescent="0.3">
      <c r="B94" s="252"/>
    </row>
    <row r="95" spans="1:3" x14ac:dyDescent="0.3">
      <c r="A95" t="s">
        <v>1457</v>
      </c>
      <c r="B95" s="252"/>
    </row>
  </sheetData>
  <mergeCells count="1">
    <mergeCell ref="C73:D73"/>
  </mergeCells>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27"/>
  <sheetViews>
    <sheetView showGridLines="0" workbookViewId="0">
      <selection activeCell="H1" sqref="H1"/>
    </sheetView>
  </sheetViews>
  <sheetFormatPr baseColWidth="10" defaultColWidth="11" defaultRowHeight="13.5" x14ac:dyDescent="0.3"/>
  <cols>
    <col min="1" max="1" width="37.23046875" style="416" customWidth="1"/>
    <col min="2" max="2" width="11.61328125" style="416" customWidth="1"/>
    <col min="3" max="3" width="9.3828125" style="416" customWidth="1"/>
    <col min="4" max="5" width="11" style="416"/>
    <col min="6" max="6" width="12" style="416" customWidth="1"/>
    <col min="7" max="16384" width="11" style="416"/>
  </cols>
  <sheetData>
    <row r="3" spans="1:7" x14ac:dyDescent="0.3">
      <c r="A3" s="1" t="s">
        <v>1</v>
      </c>
    </row>
    <row r="5" spans="1:7" ht="162" x14ac:dyDescent="0.3">
      <c r="A5" s="509" t="s">
        <v>1619</v>
      </c>
    </row>
    <row r="6" spans="1:7" ht="87" customHeight="1" x14ac:dyDescent="0.3">
      <c r="A6" s="509" t="s">
        <v>0</v>
      </c>
    </row>
    <row r="8" spans="1:7" x14ac:dyDescent="0.3">
      <c r="A8" s="1" t="s">
        <v>2</v>
      </c>
    </row>
    <row r="10" spans="1:7" ht="94.5" x14ac:dyDescent="0.3">
      <c r="A10" s="509" t="s">
        <v>1620</v>
      </c>
    </row>
    <row r="12" spans="1:7" x14ac:dyDescent="0.3">
      <c r="A12" s="1" t="s">
        <v>3</v>
      </c>
    </row>
    <row r="14" spans="1:7" x14ac:dyDescent="0.3">
      <c r="A14" s="416" t="s">
        <v>4</v>
      </c>
      <c r="B14" s="416" t="s">
        <v>5</v>
      </c>
      <c r="C14" s="416">
        <v>10</v>
      </c>
      <c r="D14" s="416" t="s">
        <v>179</v>
      </c>
      <c r="E14" s="416" t="s">
        <v>6</v>
      </c>
      <c r="F14" s="416">
        <v>30</v>
      </c>
      <c r="G14" s="416" t="s">
        <v>179</v>
      </c>
    </row>
    <row r="16" spans="1:7" x14ac:dyDescent="0.3">
      <c r="C16" s="416">
        <v>98</v>
      </c>
      <c r="F16" s="416">
        <v>100</v>
      </c>
    </row>
    <row r="18" spans="1:3" x14ac:dyDescent="0.3">
      <c r="B18" s="416" t="s">
        <v>7</v>
      </c>
      <c r="C18" s="69">
        <f>(F16/C16)^(365/(F14-C14))-1</f>
        <v>0.4458529273124856</v>
      </c>
    </row>
    <row r="20" spans="1:3" x14ac:dyDescent="0.3">
      <c r="A20" s="1" t="s">
        <v>8</v>
      </c>
    </row>
    <row r="21" spans="1:3" x14ac:dyDescent="0.3">
      <c r="A21" s="1"/>
    </row>
    <row r="22" spans="1:3" x14ac:dyDescent="0.3">
      <c r="A22" s="416" t="s">
        <v>1360</v>
      </c>
      <c r="B22" s="416">
        <v>10</v>
      </c>
      <c r="C22" s="416" t="s">
        <v>10</v>
      </c>
    </row>
    <row r="23" spans="1:3" x14ac:dyDescent="0.3">
      <c r="A23" s="416" t="s">
        <v>11</v>
      </c>
      <c r="B23" s="69">
        <v>0.2</v>
      </c>
    </row>
    <row r="24" spans="1:3" x14ac:dyDescent="0.3">
      <c r="A24" s="416" t="s">
        <v>9</v>
      </c>
      <c r="B24" s="499">
        <f>B22*(1+B23)*75/365</f>
        <v>2.4657534246575343</v>
      </c>
    </row>
    <row r="25" spans="1:3" x14ac:dyDescent="0.3">
      <c r="A25" s="416" t="s">
        <v>12</v>
      </c>
      <c r="B25" s="499">
        <f>B22*(1+B23)*60/365</f>
        <v>1.9726027397260273</v>
      </c>
    </row>
    <row r="26" spans="1:3" x14ac:dyDescent="0.3">
      <c r="A26" s="416" t="s">
        <v>13</v>
      </c>
      <c r="B26" s="499">
        <f>B24-B25</f>
        <v>0.49315068493150704</v>
      </c>
    </row>
    <row r="27" spans="1:3" x14ac:dyDescent="0.3">
      <c r="A27" s="416" t="s">
        <v>1621</v>
      </c>
      <c r="B27" s="500">
        <f>B26*0.04</f>
        <v>1.9726027397260284E-2</v>
      </c>
      <c r="C27" s="416" t="s">
        <v>187</v>
      </c>
    </row>
    <row r="29" spans="1:3" x14ac:dyDescent="0.3">
      <c r="A29" s="1" t="s">
        <v>14</v>
      </c>
    </row>
    <row r="31" spans="1:3" ht="108" x14ac:dyDescent="0.3">
      <c r="A31" s="509" t="s">
        <v>15</v>
      </c>
    </row>
    <row r="34" spans="1:6" x14ac:dyDescent="0.3">
      <c r="A34" s="1" t="s">
        <v>1622</v>
      </c>
    </row>
    <row r="35" spans="1:6" x14ac:dyDescent="0.3">
      <c r="A35" s="302"/>
    </row>
    <row r="36" spans="1:6" x14ac:dyDescent="0.3">
      <c r="A36" s="302"/>
    </row>
    <row r="37" spans="1:6" x14ac:dyDescent="0.3">
      <c r="A37" s="415" t="s">
        <v>905</v>
      </c>
      <c r="B37" s="501">
        <v>1000</v>
      </c>
    </row>
    <row r="38" spans="1:6" x14ac:dyDescent="0.3">
      <c r="A38" s="415"/>
    </row>
    <row r="39" spans="1:6" x14ac:dyDescent="0.3">
      <c r="A39" s="415" t="s">
        <v>906</v>
      </c>
      <c r="B39" s="501">
        <v>4</v>
      </c>
    </row>
    <row r="40" spans="1:6" x14ac:dyDescent="0.3">
      <c r="A40" s="415" t="s">
        <v>907</v>
      </c>
      <c r="B40" s="501">
        <v>3.2</v>
      </c>
    </row>
    <row r="41" spans="1:6" x14ac:dyDescent="0.3">
      <c r="A41" s="415" t="s">
        <v>908</v>
      </c>
      <c r="B41" s="501">
        <v>1</v>
      </c>
    </row>
    <row r="42" spans="1:6" x14ac:dyDescent="0.3">
      <c r="A42" s="415"/>
    </row>
    <row r="43" spans="1:6" x14ac:dyDescent="0.3">
      <c r="A43" s="415" t="s">
        <v>909</v>
      </c>
      <c r="B43" s="502">
        <v>0.2</v>
      </c>
    </row>
    <row r="45" spans="1:6" x14ac:dyDescent="0.3">
      <c r="A45" s="415" t="s">
        <v>903</v>
      </c>
      <c r="B45" s="203">
        <v>0</v>
      </c>
      <c r="C45" s="4">
        <v>15</v>
      </c>
      <c r="D45" s="4">
        <v>30</v>
      </c>
      <c r="E45" s="4">
        <v>45</v>
      </c>
      <c r="F45" s="4">
        <v>60</v>
      </c>
    </row>
    <row r="46" spans="1:6" x14ac:dyDescent="0.3">
      <c r="A46" s="415" t="s">
        <v>904</v>
      </c>
      <c r="B46" s="501">
        <v>0</v>
      </c>
      <c r="C46" s="503">
        <v>40</v>
      </c>
      <c r="D46" s="503">
        <v>60</v>
      </c>
      <c r="E46" s="503">
        <v>70</v>
      </c>
      <c r="F46" s="503">
        <v>75</v>
      </c>
    </row>
    <row r="47" spans="1:6" x14ac:dyDescent="0.3">
      <c r="A47" s="415"/>
    </row>
    <row r="48" spans="1:6" x14ac:dyDescent="0.3">
      <c r="A48" s="160" t="s">
        <v>1113</v>
      </c>
    </row>
    <row r="49" spans="1:6" x14ac:dyDescent="0.3">
      <c r="A49" s="415" t="s">
        <v>910</v>
      </c>
      <c r="B49" s="501">
        <f>$B37+B46</f>
        <v>1000</v>
      </c>
      <c r="C49" s="503">
        <f>$B37+C46</f>
        <v>1040</v>
      </c>
      <c r="D49" s="503">
        <f>$B37+D46</f>
        <v>1060</v>
      </c>
      <c r="E49" s="503">
        <f>$B37+E46</f>
        <v>1070</v>
      </c>
      <c r="F49" s="503">
        <f>$B37+F46</f>
        <v>1075</v>
      </c>
    </row>
    <row r="50" spans="1:6" x14ac:dyDescent="0.3">
      <c r="A50" s="415" t="s">
        <v>921</v>
      </c>
      <c r="B50" s="501">
        <f>B49/$B39</f>
        <v>250</v>
      </c>
      <c r="C50" s="503">
        <f>C49/$B39</f>
        <v>260</v>
      </c>
      <c r="D50" s="503">
        <f>D49/$B39</f>
        <v>265</v>
      </c>
      <c r="E50" s="503">
        <f>E49/$B39</f>
        <v>267.5</v>
      </c>
      <c r="F50" s="503">
        <f>F49/$B39</f>
        <v>268.75</v>
      </c>
    </row>
    <row r="51" spans="1:6" x14ac:dyDescent="0.3">
      <c r="A51" s="415" t="s">
        <v>920</v>
      </c>
      <c r="B51" s="501">
        <f>(($B40-$B41)*B50+$B41*$B50)</f>
        <v>800</v>
      </c>
      <c r="C51" s="503">
        <f>(($B40-$B41)*C50+$B41*$B50)</f>
        <v>822</v>
      </c>
      <c r="D51" s="503">
        <f>(($B40-$B41)*D50+$B41*$B50)</f>
        <v>833</v>
      </c>
      <c r="E51" s="503">
        <f>(($B40-$B41)*E50+$B41*$B50)</f>
        <v>838.5</v>
      </c>
      <c r="F51" s="503">
        <f>(($B40-$B41)*F50+$B41*$B50)</f>
        <v>841.25</v>
      </c>
    </row>
    <row r="52" spans="1:6" x14ac:dyDescent="0.3">
      <c r="A52" s="415" t="s">
        <v>922</v>
      </c>
      <c r="B52" s="501">
        <f>B49-B51</f>
        <v>200</v>
      </c>
      <c r="C52" s="503">
        <f>C49-C51</f>
        <v>218</v>
      </c>
      <c r="D52" s="503">
        <f>D49-D51</f>
        <v>227</v>
      </c>
      <c r="E52" s="503">
        <f>E49-E51</f>
        <v>231.5</v>
      </c>
      <c r="F52" s="503">
        <f>F49-F51</f>
        <v>233.75</v>
      </c>
    </row>
    <row r="53" spans="1:6" x14ac:dyDescent="0.3">
      <c r="A53" s="416" t="s">
        <v>923</v>
      </c>
      <c r="B53" s="501">
        <f>B52-$B52</f>
        <v>0</v>
      </c>
      <c r="C53" s="503">
        <f>C52-$B52</f>
        <v>18</v>
      </c>
      <c r="D53" s="503">
        <f>D52-$B52</f>
        <v>27</v>
      </c>
      <c r="E53" s="503">
        <f>E52-$B52</f>
        <v>31.5</v>
      </c>
      <c r="F53" s="503">
        <f>F52-$B52</f>
        <v>33.75</v>
      </c>
    </row>
    <row r="54" spans="1:6" x14ac:dyDescent="0.3">
      <c r="A54" s="415"/>
      <c r="B54" s="503"/>
      <c r="C54" s="503"/>
      <c r="D54" s="503"/>
      <c r="E54" s="503"/>
      <c r="F54" s="503"/>
    </row>
    <row r="55" spans="1:6" x14ac:dyDescent="0.3">
      <c r="A55" s="416" t="s">
        <v>927</v>
      </c>
      <c r="B55" s="503"/>
      <c r="C55" s="503"/>
      <c r="D55" s="503"/>
      <c r="E55" s="503"/>
      <c r="F55" s="503"/>
    </row>
    <row r="56" spans="1:6" x14ac:dyDescent="0.3">
      <c r="A56" s="415" t="s">
        <v>920</v>
      </c>
      <c r="B56" s="501">
        <f>-B51+$B51</f>
        <v>0</v>
      </c>
      <c r="C56" s="503">
        <f>-C51+$B51</f>
        <v>-22</v>
      </c>
      <c r="D56" s="503">
        <f>-D51+$B51</f>
        <v>-33</v>
      </c>
      <c r="E56" s="503">
        <f>-E51+$B51</f>
        <v>-38.5</v>
      </c>
      <c r="F56" s="503">
        <f>-F51+$B51</f>
        <v>-41.25</v>
      </c>
    </row>
    <row r="57" spans="1:6" ht="27" x14ac:dyDescent="0.3">
      <c r="A57" s="415" t="s">
        <v>919</v>
      </c>
      <c r="B57" s="504">
        <f>B49/(1+$B43*B45/365)-$B49</f>
        <v>0</v>
      </c>
      <c r="C57" s="504">
        <f>C49/(1+$B43*C45/365)-$B49</f>
        <v>31.521739130434753</v>
      </c>
      <c r="D57" s="503">
        <f>D49/(1+$B43*D45/3650)-$B49</f>
        <v>58.260393873085377</v>
      </c>
      <c r="E57" s="503">
        <f>E49/(1+$B43*E45/365)-$B49</f>
        <v>44.251336898395721</v>
      </c>
      <c r="F57" s="503">
        <f>F49/(1+$B43*F45/365)-$B49</f>
        <v>40.782493368700216</v>
      </c>
    </row>
    <row r="58" spans="1:6" x14ac:dyDescent="0.3">
      <c r="A58" s="415" t="s">
        <v>1039</v>
      </c>
      <c r="B58" s="505"/>
      <c r="C58" s="503"/>
      <c r="D58" s="503"/>
      <c r="E58" s="503"/>
      <c r="F58" s="503"/>
    </row>
    <row r="60" spans="1:6" x14ac:dyDescent="0.3">
      <c r="A60" s="415" t="s">
        <v>519</v>
      </c>
      <c r="B60" s="500">
        <f>SUM(B56:B57)</f>
        <v>0</v>
      </c>
      <c r="C60" s="500">
        <f>SUM(C56:C57)</f>
        <v>9.521739130434753</v>
      </c>
      <c r="D60" s="500">
        <f>SUM(D56:D57)</f>
        <v>25.260393873085377</v>
      </c>
      <c r="E60" s="500">
        <f>SUM(E56:E57)</f>
        <v>5.7513368983957207</v>
      </c>
      <c r="F60" s="500">
        <f>SUM(F56:F57)</f>
        <v>-0.4675066312997842</v>
      </c>
    </row>
    <row r="61" spans="1:6" x14ac:dyDescent="0.3">
      <c r="A61" s="415"/>
      <c r="B61" s="500"/>
      <c r="C61" s="500"/>
      <c r="D61" s="500"/>
      <c r="E61" s="500"/>
      <c r="F61" s="500"/>
    </row>
    <row r="62" spans="1:6" x14ac:dyDescent="0.3">
      <c r="A62" s="415"/>
      <c r="B62" s="500"/>
      <c r="C62" s="500"/>
      <c r="D62" s="500"/>
      <c r="E62" s="500"/>
      <c r="F62" s="500"/>
    </row>
    <row r="80" spans="1:3" x14ac:dyDescent="0.3">
      <c r="A80" s="186" t="s">
        <v>912</v>
      </c>
      <c r="B80" s="292">
        <f>INDEX(B45:F45,1,MATCH(MAX(B60:F60),B60:F60,0))</f>
        <v>30</v>
      </c>
      <c r="C80" s="1" t="s">
        <v>179</v>
      </c>
    </row>
    <row r="82" spans="1:6" x14ac:dyDescent="0.3">
      <c r="A82" s="160" t="s">
        <v>913</v>
      </c>
    </row>
    <row r="83" spans="1:6" x14ac:dyDescent="0.3">
      <c r="A83" s="415" t="s">
        <v>903</v>
      </c>
      <c r="B83" s="506">
        <f>B45</f>
        <v>0</v>
      </c>
      <c r="C83" s="416">
        <f>C45</f>
        <v>15</v>
      </c>
      <c r="D83" s="416">
        <f>D45</f>
        <v>30</v>
      </c>
      <c r="E83" s="416">
        <f>E45</f>
        <v>45</v>
      </c>
      <c r="F83" s="416">
        <f>F45</f>
        <v>60</v>
      </c>
    </row>
    <row r="84" spans="1:6" x14ac:dyDescent="0.3">
      <c r="A84" s="415" t="s">
        <v>914</v>
      </c>
      <c r="B84" s="507">
        <v>1.2E-2</v>
      </c>
      <c r="C84" s="508">
        <v>0.02</v>
      </c>
      <c r="D84" s="508">
        <v>2.5000000000000001E-2</v>
      </c>
      <c r="E84" s="508">
        <v>0.03</v>
      </c>
      <c r="F84" s="508">
        <v>0.04</v>
      </c>
    </row>
    <row r="85" spans="1:6" x14ac:dyDescent="0.3">
      <c r="A85" s="415"/>
      <c r="B85" s="507"/>
      <c r="C85" s="508"/>
      <c r="D85" s="508"/>
      <c r="E85" s="508"/>
      <c r="F85" s="508"/>
    </row>
    <row r="86" spans="1:6" x14ac:dyDescent="0.3">
      <c r="A86" s="415" t="s">
        <v>910</v>
      </c>
      <c r="B86" s="501">
        <f>B49</f>
        <v>1000</v>
      </c>
      <c r="C86" s="503">
        <f>C49</f>
        <v>1040</v>
      </c>
      <c r="D86" s="503">
        <f>D49</f>
        <v>1060</v>
      </c>
      <c r="E86" s="503">
        <f>E49</f>
        <v>1070</v>
      </c>
      <c r="F86" s="503">
        <f>F49</f>
        <v>1075</v>
      </c>
    </row>
    <row r="87" spans="1:6" x14ac:dyDescent="0.3">
      <c r="A87" s="415" t="s">
        <v>921</v>
      </c>
      <c r="B87" s="501">
        <f>B86/$B39</f>
        <v>250</v>
      </c>
      <c r="C87" s="503">
        <f>C86/$B39</f>
        <v>260</v>
      </c>
      <c r="D87" s="503">
        <f>D86/$B39</f>
        <v>265</v>
      </c>
      <c r="E87" s="503">
        <f>E86/$B39</f>
        <v>267.5</v>
      </c>
      <c r="F87" s="503">
        <f>F86/$B39</f>
        <v>268.75</v>
      </c>
    </row>
    <row r="88" spans="1:6" x14ac:dyDescent="0.3">
      <c r="A88" s="415" t="s">
        <v>920</v>
      </c>
      <c r="B88" s="501">
        <f>(($B40-$B41)*B87+$B41*$B87)</f>
        <v>800</v>
      </c>
      <c r="C88" s="501">
        <f>(($B40-$B41)*C87+$B41*$B87)</f>
        <v>822</v>
      </c>
      <c r="D88" s="501">
        <f>(($B40-$B41)*D87+$B41*$B87)</f>
        <v>833</v>
      </c>
      <c r="E88" s="501">
        <f>(($B40-$B41)*E87+$B41*$B87)</f>
        <v>838.5</v>
      </c>
      <c r="F88" s="501">
        <f>(($B40-$B41)*F87+$B41*$B87)</f>
        <v>841.25</v>
      </c>
    </row>
    <row r="89" spans="1:6" x14ac:dyDescent="0.3">
      <c r="A89" s="415" t="s">
        <v>119</v>
      </c>
      <c r="B89" s="501">
        <f>B86*B84</f>
        <v>12</v>
      </c>
      <c r="C89" s="501">
        <f>C86*C84</f>
        <v>20.8</v>
      </c>
      <c r="D89" s="501">
        <f>D86*D84</f>
        <v>26.5</v>
      </c>
      <c r="E89" s="501">
        <f>E86*E84</f>
        <v>32.1</v>
      </c>
      <c r="F89" s="501">
        <f>F86*F84</f>
        <v>43</v>
      </c>
    </row>
    <row r="90" spans="1:6" x14ac:dyDescent="0.3">
      <c r="A90" s="415" t="s">
        <v>922</v>
      </c>
      <c r="B90" s="501">
        <f>B86-B88-B89</f>
        <v>188</v>
      </c>
      <c r="C90" s="501">
        <f>C86-C88-C89</f>
        <v>197.2</v>
      </c>
      <c r="D90" s="501">
        <f>D86-D88-D89</f>
        <v>200.5</v>
      </c>
      <c r="E90" s="501">
        <f>E86-E88-E89</f>
        <v>199.4</v>
      </c>
      <c r="F90" s="501">
        <f>F86-F88-F89</f>
        <v>190.75</v>
      </c>
    </row>
    <row r="91" spans="1:6" x14ac:dyDescent="0.3">
      <c r="A91" s="416" t="s">
        <v>923</v>
      </c>
      <c r="B91" s="501">
        <f>B90-$B90</f>
        <v>0</v>
      </c>
      <c r="C91" s="503">
        <f>C90-$B90</f>
        <v>9.1999999999999886</v>
      </c>
      <c r="D91" s="503">
        <f>D90-$B90</f>
        <v>12.5</v>
      </c>
      <c r="E91" s="503">
        <f>E90-$B90</f>
        <v>11.400000000000006</v>
      </c>
      <c r="F91" s="503">
        <f>F90-$B90</f>
        <v>2.75</v>
      </c>
    </row>
    <row r="92" spans="1:6" x14ac:dyDescent="0.3">
      <c r="A92" s="415"/>
      <c r="B92" s="503"/>
      <c r="C92" s="503"/>
      <c r="D92" s="503"/>
      <c r="E92" s="503"/>
      <c r="F92" s="503"/>
    </row>
    <row r="93" spans="1:6" x14ac:dyDescent="0.3">
      <c r="A93" s="416" t="s">
        <v>927</v>
      </c>
      <c r="B93" s="503"/>
      <c r="C93" s="503"/>
      <c r="D93" s="503"/>
      <c r="E93" s="503"/>
      <c r="F93" s="503"/>
    </row>
    <row r="94" spans="1:6" x14ac:dyDescent="0.3">
      <c r="A94" s="415" t="s">
        <v>920</v>
      </c>
      <c r="B94" s="501">
        <f>-B88+$B88</f>
        <v>0</v>
      </c>
      <c r="C94" s="503">
        <f>-C88+$B88</f>
        <v>-22</v>
      </c>
      <c r="D94" s="503">
        <f>-D88+$B88</f>
        <v>-33</v>
      </c>
      <c r="E94" s="503">
        <f>-E88+$B88</f>
        <v>-38.5</v>
      </c>
      <c r="F94" s="503">
        <f>-F88+$B88</f>
        <v>-41.25</v>
      </c>
    </row>
    <row r="95" spans="1:6" ht="27" x14ac:dyDescent="0.3">
      <c r="A95" s="415" t="s">
        <v>919</v>
      </c>
      <c r="B95" s="501">
        <f>B86*POWER(1+$B83,-B85/360)-$B86</f>
        <v>0</v>
      </c>
      <c r="C95" s="503">
        <f>C86*(1-C84)*POWER(1+$B43,-C83/360)-$B86</f>
        <v>11.486746075638393</v>
      </c>
      <c r="D95" s="503">
        <f>D86*(1-D84)*POWER(1+$B43,-D83/360)-$B86</f>
        <v>17.916241332128493</v>
      </c>
      <c r="E95" s="503">
        <f>E86*(1-E84)*POWER(1+$B43,-E83/360)-$B86</f>
        <v>14.513560005290287</v>
      </c>
      <c r="F95" s="503">
        <f>F86*(1-F84)*POWER(1+$B43,-F83/360)-$B86</f>
        <v>1.1123591400661326</v>
      </c>
    </row>
    <row r="97" spans="1:6" x14ac:dyDescent="0.3">
      <c r="A97" s="415" t="s">
        <v>519</v>
      </c>
      <c r="B97" s="500">
        <f>SUM(B94:B95)</f>
        <v>0</v>
      </c>
      <c r="C97" s="500">
        <f>SUM(C94:C95)</f>
        <v>-10.513253924361607</v>
      </c>
      <c r="D97" s="500">
        <f>SUM(D94:D95)</f>
        <v>-15.083758667871507</v>
      </c>
      <c r="E97" s="500">
        <f>SUM(E94:E95)</f>
        <v>-23.986439994709713</v>
      </c>
      <c r="F97" s="500">
        <f>SUM(F94:F95)</f>
        <v>-40.137640859933867</v>
      </c>
    </row>
    <row r="98" spans="1:6" x14ac:dyDescent="0.3">
      <c r="A98" s="415"/>
      <c r="B98" s="500"/>
      <c r="C98" s="500"/>
      <c r="D98" s="500"/>
      <c r="E98" s="500"/>
      <c r="F98" s="500"/>
    </row>
    <row r="116" spans="1:4" x14ac:dyDescent="0.3">
      <c r="A116" s="186" t="s">
        <v>912</v>
      </c>
      <c r="B116" s="292">
        <f>INDEX(B83:F83,1,MATCH(MAX(B97:F97),B97:F97,0))</f>
        <v>0</v>
      </c>
      <c r="C116" s="1" t="s">
        <v>179</v>
      </c>
      <c r="D116" s="500"/>
    </row>
    <row r="119" spans="1:4" x14ac:dyDescent="0.3">
      <c r="A119" s="1" t="s">
        <v>1623</v>
      </c>
    </row>
    <row r="121" spans="1:4" x14ac:dyDescent="0.3">
      <c r="A121" s="416" t="s">
        <v>420</v>
      </c>
      <c r="B121" s="510">
        <v>0.13</v>
      </c>
    </row>
    <row r="122" spans="1:4" x14ac:dyDescent="0.3">
      <c r="A122" s="416" t="s">
        <v>1624</v>
      </c>
      <c r="B122" s="510">
        <v>0.08</v>
      </c>
    </row>
    <row r="123" spans="1:4" x14ac:dyDescent="0.3">
      <c r="A123" s="416" t="s">
        <v>262</v>
      </c>
      <c r="B123" s="510">
        <v>0.1</v>
      </c>
    </row>
    <row r="124" spans="1:4" x14ac:dyDescent="0.3">
      <c r="A124" s="416" t="s">
        <v>1625</v>
      </c>
      <c r="B124" s="510">
        <v>0.5</v>
      </c>
    </row>
    <row r="125" spans="1:4" x14ac:dyDescent="0.3">
      <c r="A125" s="416" t="s">
        <v>1626</v>
      </c>
      <c r="B125" s="510">
        <v>0.04</v>
      </c>
    </row>
    <row r="127" spans="1:4" x14ac:dyDescent="0.3">
      <c r="A127" s="416" t="s">
        <v>1627</v>
      </c>
      <c r="B127" s="69">
        <f>(B125*B121)/(B123*B124)</f>
        <v>0.10400000000000001</v>
      </c>
      <c r="C127" s="416" t="s">
        <v>1628</v>
      </c>
    </row>
  </sheetData>
  <phoneticPr fontId="4" type="noConversion"/>
  <pageMargins left="0.78740157499999996" right="0.78740157499999996" top="0.984251969" bottom="0.984251969" header="0.4921259845" footer="0.4921259845"/>
  <headerFooter alignWithMargins="0"/>
  <drawing r:id="rId1"/>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dimension ref="A1:J68"/>
  <sheetViews>
    <sheetView showGridLines="0" workbookViewId="0">
      <selection activeCell="E21" sqref="E21"/>
    </sheetView>
  </sheetViews>
  <sheetFormatPr baseColWidth="10" defaultColWidth="11" defaultRowHeight="13.5" x14ac:dyDescent="0.3"/>
  <cols>
    <col min="1" max="1" width="23.61328125" style="68" bestFit="1" customWidth="1"/>
    <col min="2" max="2" width="15.765625" style="68" bestFit="1" customWidth="1"/>
    <col min="3" max="3" width="14.23046875" style="68" bestFit="1" customWidth="1"/>
    <col min="4" max="5" width="11.15234375" style="68" bestFit="1" customWidth="1"/>
    <col min="6" max="6" width="15.765625" style="68" bestFit="1" customWidth="1"/>
    <col min="7" max="10" width="11.15234375" style="68" bestFit="1" customWidth="1"/>
    <col min="11" max="16384" width="11" style="68"/>
  </cols>
  <sheetData>
    <row r="1" spans="1:10" x14ac:dyDescent="0.3">
      <c r="A1" s="388" t="s">
        <v>1418</v>
      </c>
    </row>
    <row r="2" spans="1:10" s="10" customFormat="1" ht="40.5" x14ac:dyDescent="0.3">
      <c r="B2" s="10" t="s">
        <v>853</v>
      </c>
      <c r="C2" s="10" t="s">
        <v>854</v>
      </c>
      <c r="D2" s="10" t="s">
        <v>855</v>
      </c>
    </row>
    <row r="3" spans="1:10" x14ac:dyDescent="0.3">
      <c r="A3" s="68" t="s">
        <v>1017</v>
      </c>
      <c r="B3" s="134">
        <v>4.7500000000000001E-2</v>
      </c>
      <c r="C3" s="134">
        <v>4.8750000000000002E-2</v>
      </c>
      <c r="F3" s="151"/>
      <c r="J3" s="529">
        <f>3%+7%/8</f>
        <v>3.875E-2</v>
      </c>
    </row>
    <row r="4" spans="1:10" x14ac:dyDescent="0.3">
      <c r="A4" s="68" t="s">
        <v>1018</v>
      </c>
      <c r="B4" s="134">
        <f>(3+7/8)/100</f>
        <v>3.875E-2</v>
      </c>
      <c r="C4" s="134">
        <v>0.04</v>
      </c>
      <c r="F4" s="151"/>
    </row>
    <row r="5" spans="1:10" x14ac:dyDescent="0.3">
      <c r="A5" s="68" t="s">
        <v>1019</v>
      </c>
      <c r="B5" s="68">
        <v>1.0209999999999999</v>
      </c>
      <c r="C5" s="68">
        <v>1.022</v>
      </c>
      <c r="D5" s="68" t="s">
        <v>1020</v>
      </c>
      <c r="F5" s="151"/>
    </row>
    <row r="6" spans="1:10" x14ac:dyDescent="0.3">
      <c r="A6" s="68" t="s">
        <v>852</v>
      </c>
      <c r="B6" s="68">
        <f>1/C5</f>
        <v>0.97847358121330719</v>
      </c>
      <c r="C6" s="68">
        <f>1/B5</f>
        <v>0.97943192948090119</v>
      </c>
      <c r="D6" s="68" t="s">
        <v>615</v>
      </c>
      <c r="F6" s="68">
        <f>B6*(1+C3/4)/(1+B4/4)</f>
        <v>0.98089629512531773</v>
      </c>
      <c r="G6" s="68">
        <f>B6*(1+B3/4)/(1+C4/4)</f>
        <v>0.98029005444575779</v>
      </c>
      <c r="H6" s="68">
        <f>C6*(1+C3/4)/(1+B4/4)</f>
        <v>0.9818570162762732</v>
      </c>
      <c r="I6" s="68">
        <f>C6*(1+B3/4)/(1+C4/4)</f>
        <v>0.9812501818252346</v>
      </c>
    </row>
    <row r="7" spans="1:10" x14ac:dyDescent="0.3">
      <c r="F7" s="68">
        <f>B6*(1+B3/4)/(1+B4/4)</f>
        <v>0.98059345588631652</v>
      </c>
      <c r="G7" s="68">
        <f>B6*(1+C3/4)/(1+C4/4)</f>
        <v>0.98059279998449933</v>
      </c>
      <c r="H7" s="68">
        <f>C6*(1+B3/4)/(1+B4/4)</f>
        <v>0.98155388042685177</v>
      </c>
      <c r="I7" s="68">
        <f>C6*(1+C3/4)/(1+C4/4)</f>
        <v>0.98155322388262345</v>
      </c>
    </row>
    <row r="8" spans="1:10" ht="40.5" x14ac:dyDescent="0.3">
      <c r="A8" s="68" t="s">
        <v>1022</v>
      </c>
      <c r="B8" s="10" t="s">
        <v>856</v>
      </c>
      <c r="C8" s="10" t="s">
        <v>862</v>
      </c>
      <c r="D8" s="68" t="s">
        <v>615</v>
      </c>
      <c r="F8" s="68">
        <f>B6*(1+B4/4)/(1+C3/4)</f>
        <v>0.97605685115782514</v>
      </c>
      <c r="G8" s="68">
        <f>B6*(1+C4/4)/(1+B3/4)</f>
        <v>0.97666047389790267</v>
      </c>
      <c r="H8" s="68">
        <f>C6*(1+B4/4)/(1+C3/4)</f>
        <v>0.97701283240283798</v>
      </c>
      <c r="I8" s="68">
        <f>C6*(1+C4/4)/(1+B3/4)</f>
        <v>0.97761704635030033</v>
      </c>
    </row>
    <row r="9" spans="1:10" x14ac:dyDescent="0.3">
      <c r="B9" s="10"/>
      <c r="C9" s="10"/>
      <c r="F9" s="68">
        <f>B6*(1+B4/4)/(1+B3/4)</f>
        <v>0.9763582893453352</v>
      </c>
      <c r="G9" s="68">
        <f>B6*(1+C4/4)/(1+C3/4)</f>
        <v>0.9763589424147604</v>
      </c>
      <c r="H9" s="68">
        <f>C6*(1+B4/4)/(1+B3/4)</f>
        <v>0.9773145658285336</v>
      </c>
      <c r="I9" s="68">
        <f>C6*(1+C4/4)/(1+C3/4)</f>
        <v>0.9773152195375957</v>
      </c>
    </row>
    <row r="10" spans="1:10" ht="27" x14ac:dyDescent="0.3">
      <c r="B10" s="10" t="s">
        <v>1023</v>
      </c>
      <c r="C10" s="10" t="s">
        <v>771</v>
      </c>
      <c r="F10" s="68">
        <f>B6*(1+F4/4)/(1+F3/4)</f>
        <v>0.97847358121330719</v>
      </c>
    </row>
    <row r="11" spans="1:10" x14ac:dyDescent="0.3">
      <c r="B11" s="10">
        <f>1/(1+C4*90/360)</f>
        <v>0.99009900990099009</v>
      </c>
      <c r="C11" s="10">
        <f>1/(1+B4/4)</f>
        <v>0.99040544722995971</v>
      </c>
    </row>
    <row r="12" spans="1:10" ht="27" x14ac:dyDescent="0.3">
      <c r="B12" s="10" t="s">
        <v>768</v>
      </c>
      <c r="C12" s="10" t="s">
        <v>770</v>
      </c>
    </row>
    <row r="13" spans="1:10" x14ac:dyDescent="0.3">
      <c r="A13" s="68" t="s">
        <v>1021</v>
      </c>
      <c r="B13" s="10">
        <f>B6</f>
        <v>0.97847358121330719</v>
      </c>
      <c r="C13" s="10">
        <f>C6</f>
        <v>0.97943192948090119</v>
      </c>
      <c r="D13" s="68" t="s">
        <v>615</v>
      </c>
    </row>
    <row r="14" spans="1:10" ht="27" x14ac:dyDescent="0.3">
      <c r="B14" s="10" t="s">
        <v>769</v>
      </c>
      <c r="C14" s="10" t="s">
        <v>772</v>
      </c>
    </row>
    <row r="15" spans="1:10" x14ac:dyDescent="0.3">
      <c r="B15" s="10">
        <f>(1+B3*90/360)</f>
        <v>1.0118750000000001</v>
      </c>
      <c r="C15" s="10">
        <f>(1+C3/4)</f>
        <v>1.0121875</v>
      </c>
    </row>
    <row r="17" spans="1:7" x14ac:dyDescent="0.3">
      <c r="A17" s="1" t="s">
        <v>1022</v>
      </c>
      <c r="B17" s="227">
        <f>B11*B13*B15</f>
        <v>0.98029005444575767</v>
      </c>
      <c r="C17" s="227">
        <f>C11*C13*C15</f>
        <v>0.98185701627627331</v>
      </c>
      <c r="D17" s="68" t="s">
        <v>615</v>
      </c>
    </row>
    <row r="18" spans="1:7" x14ac:dyDescent="0.3">
      <c r="A18" s="1" t="s">
        <v>861</v>
      </c>
      <c r="B18" s="300">
        <f>1/B17</f>
        <v>1.0201062384187771</v>
      </c>
      <c r="C18" s="300">
        <f>1/C17</f>
        <v>1.0184782340228464</v>
      </c>
      <c r="D18" s="68" t="s">
        <v>1020</v>
      </c>
    </row>
    <row r="22" spans="1:7" x14ac:dyDescent="0.3">
      <c r="A22" s="388" t="s">
        <v>1420</v>
      </c>
      <c r="G22" s="151"/>
    </row>
    <row r="23" spans="1:7" ht="27" x14ac:dyDescent="0.3">
      <c r="B23" s="10" t="s">
        <v>853</v>
      </c>
      <c r="C23" s="10" t="s">
        <v>854</v>
      </c>
    </row>
    <row r="24" spans="1:7" x14ac:dyDescent="0.3">
      <c r="A24" s="68" t="s">
        <v>1025</v>
      </c>
      <c r="B24" s="530">
        <v>4.4999999999999998E-2</v>
      </c>
      <c r="C24" s="531">
        <v>4.6249999999999999E-2</v>
      </c>
    </row>
    <row r="25" spans="1:7" x14ac:dyDescent="0.3">
      <c r="A25" s="68" t="s">
        <v>1026</v>
      </c>
      <c r="B25" s="68">
        <v>1.0209999999999999</v>
      </c>
      <c r="C25" s="68">
        <v>1.022</v>
      </c>
      <c r="D25" s="68" t="s">
        <v>1020</v>
      </c>
    </row>
    <row r="26" spans="1:7" x14ac:dyDescent="0.3">
      <c r="A26" s="68" t="s">
        <v>1027</v>
      </c>
      <c r="B26" s="68">
        <v>1.0149999999999999</v>
      </c>
      <c r="C26" s="68">
        <v>1.016</v>
      </c>
      <c r="D26" s="68" t="s">
        <v>1020</v>
      </c>
    </row>
    <row r="28" spans="1:7" ht="40.5" x14ac:dyDescent="0.3">
      <c r="B28" s="10" t="s">
        <v>1028</v>
      </c>
      <c r="C28" s="10" t="s">
        <v>1029</v>
      </c>
    </row>
    <row r="30" spans="1:7" ht="27" x14ac:dyDescent="0.3">
      <c r="B30" s="10" t="s">
        <v>1030</v>
      </c>
      <c r="C30" s="10" t="s">
        <v>1034</v>
      </c>
    </row>
    <row r="31" spans="1:7" x14ac:dyDescent="0.3">
      <c r="B31" s="530">
        <f>B24</f>
        <v>4.4999999999999998E-2</v>
      </c>
      <c r="C31" s="68">
        <f>1/B25</f>
        <v>0.97943192948090119</v>
      </c>
    </row>
    <row r="32" spans="1:7" x14ac:dyDescent="0.3">
      <c r="B32" s="10" t="s">
        <v>1031</v>
      </c>
      <c r="C32" s="10" t="s">
        <v>1035</v>
      </c>
    </row>
    <row r="33" spans="1:8" x14ac:dyDescent="0.3">
      <c r="B33" s="10">
        <f>1/C25</f>
        <v>0.97847358121330719</v>
      </c>
      <c r="C33" s="530">
        <f>C24</f>
        <v>4.6249999999999999E-2</v>
      </c>
    </row>
    <row r="34" spans="1:8" ht="27" x14ac:dyDescent="0.3">
      <c r="B34" s="10" t="s">
        <v>1032</v>
      </c>
      <c r="C34" s="10" t="s">
        <v>1036</v>
      </c>
    </row>
    <row r="35" spans="1:8" x14ac:dyDescent="0.3">
      <c r="B35" s="68">
        <f>B26</f>
        <v>1.0149999999999999</v>
      </c>
      <c r="C35" s="68">
        <f>C26</f>
        <v>1.016</v>
      </c>
    </row>
    <row r="37" spans="1:8" x14ac:dyDescent="0.3">
      <c r="A37" s="1" t="s">
        <v>1033</v>
      </c>
      <c r="B37" s="133">
        <f>((1+B31*180/360)*B33*B35-1)*360/180</f>
        <v>3.0993150684931248E-2</v>
      </c>
      <c r="C37" s="133">
        <f>((C31*(1+C33*180/360)*C35)-1)*360/180</f>
        <v>3.6229187071498803E-2</v>
      </c>
    </row>
    <row r="39" spans="1:8" x14ac:dyDescent="0.3">
      <c r="A39" s="388" t="s">
        <v>244</v>
      </c>
    </row>
    <row r="40" spans="1:8" ht="27" x14ac:dyDescent="0.3">
      <c r="B40" s="10" t="s">
        <v>853</v>
      </c>
      <c r="C40" s="10" t="s">
        <v>854</v>
      </c>
      <c r="D40" s="68" t="s">
        <v>678</v>
      </c>
    </row>
    <row r="41" spans="1:8" ht="27" x14ac:dyDescent="0.3">
      <c r="A41" s="10" t="s">
        <v>1037</v>
      </c>
      <c r="B41" s="134">
        <v>3.7499999999999999E-2</v>
      </c>
      <c r="C41" s="134">
        <v>3.875E-2</v>
      </c>
    </row>
    <row r="42" spans="1:8" x14ac:dyDescent="0.3">
      <c r="A42" s="10"/>
      <c r="B42" s="134"/>
      <c r="C42" s="134"/>
    </row>
    <row r="43" spans="1:8" x14ac:dyDescent="0.3">
      <c r="A43" s="10"/>
      <c r="B43" s="532" t="s">
        <v>487</v>
      </c>
      <c r="C43" s="217">
        <v>0.02</v>
      </c>
    </row>
    <row r="44" spans="1:8" x14ac:dyDescent="0.3">
      <c r="B44" s="68" t="s">
        <v>518</v>
      </c>
      <c r="C44" s="68" t="s">
        <v>524</v>
      </c>
      <c r="D44" s="68" t="s">
        <v>479</v>
      </c>
      <c r="E44" s="68" t="s">
        <v>482</v>
      </c>
      <c r="F44" s="68" t="s">
        <v>645</v>
      </c>
    </row>
    <row r="45" spans="1:8" x14ac:dyDescent="0.3">
      <c r="A45" s="160" t="s">
        <v>679</v>
      </c>
      <c r="B45" s="134"/>
      <c r="D45" s="134"/>
    </row>
    <row r="46" spans="1:8" x14ac:dyDescent="0.3">
      <c r="A46" s="10" t="s">
        <v>680</v>
      </c>
      <c r="B46" s="533">
        <v>500000000</v>
      </c>
      <c r="C46" s="68">
        <v>90</v>
      </c>
      <c r="D46" s="134">
        <f>C41</f>
        <v>3.875E-2</v>
      </c>
      <c r="E46" s="68">
        <v>90</v>
      </c>
      <c r="F46" s="533">
        <f>B46/(1+C$43*C46/360)</f>
        <v>497512437.81094533</v>
      </c>
    </row>
    <row r="47" spans="1:8" x14ac:dyDescent="0.3">
      <c r="A47" s="10" t="s">
        <v>681</v>
      </c>
      <c r="B47" s="533">
        <f>-B46*(1+D46*E46/360)</f>
        <v>-504843750.00000006</v>
      </c>
      <c r="C47" s="68">
        <v>180</v>
      </c>
      <c r="F47" s="533">
        <f>B47/(1+C$43*C47/360)</f>
        <v>-499845297.02970302</v>
      </c>
      <c r="H47" s="68">
        <f>+(3+6/8)/100</f>
        <v>3.7499999999999999E-2</v>
      </c>
    </row>
    <row r="48" spans="1:8" x14ac:dyDescent="0.3">
      <c r="A48" s="10"/>
      <c r="B48" s="533"/>
      <c r="E48" s="1" t="s">
        <v>1107</v>
      </c>
      <c r="F48" s="534">
        <f>SUM(F46:F47)</f>
        <v>-2332859.218757689</v>
      </c>
    </row>
    <row r="49" spans="1:7" x14ac:dyDescent="0.3">
      <c r="A49" s="160" t="s">
        <v>682</v>
      </c>
      <c r="B49" s="533"/>
    </row>
    <row r="50" spans="1:7" ht="27" x14ac:dyDescent="0.3">
      <c r="A50" s="10" t="s">
        <v>1038</v>
      </c>
      <c r="B50" s="533">
        <f>B46/(1+D51/4)</f>
        <v>495202723.61497986</v>
      </c>
      <c r="C50" s="10">
        <v>0</v>
      </c>
      <c r="D50" s="134">
        <f>C37</f>
        <v>3.6229187071498803E-2</v>
      </c>
      <c r="E50" s="68">
        <v>180</v>
      </c>
      <c r="F50" s="533">
        <f>B50/(1+C$43*C50/360)</f>
        <v>495202723.61497986</v>
      </c>
      <c r="G50" s="10"/>
    </row>
    <row r="51" spans="1:7" x14ac:dyDescent="0.3">
      <c r="A51" s="68" t="s">
        <v>683</v>
      </c>
      <c r="B51" s="533">
        <f>-B50</f>
        <v>-495202723.61497986</v>
      </c>
      <c r="C51" s="10">
        <v>0</v>
      </c>
      <c r="D51" s="134">
        <f>B4</f>
        <v>3.875E-2</v>
      </c>
      <c r="E51" s="10">
        <v>90</v>
      </c>
      <c r="F51" s="533">
        <f>B51/(1+C$43*C51/360)</f>
        <v>-495202723.61497986</v>
      </c>
      <c r="G51" s="10"/>
    </row>
    <row r="52" spans="1:7" x14ac:dyDescent="0.3">
      <c r="A52" s="68" t="s">
        <v>685</v>
      </c>
      <c r="B52" s="533">
        <f>-B51*(1+D51*E51/360)</f>
        <v>500000000</v>
      </c>
      <c r="C52" s="68">
        <v>90</v>
      </c>
      <c r="D52" s="530"/>
      <c r="F52" s="533">
        <f>B52/(1+C$43*C52/360)</f>
        <v>497512437.81094533</v>
      </c>
    </row>
    <row r="53" spans="1:7" x14ac:dyDescent="0.3">
      <c r="A53" s="68" t="s">
        <v>686</v>
      </c>
      <c r="B53" s="533">
        <f>-B50*(1+D50*E50/360)</f>
        <v>-504173119.67106128</v>
      </c>
      <c r="C53" s="10">
        <v>180</v>
      </c>
      <c r="D53" s="10"/>
      <c r="E53" s="10"/>
      <c r="F53" s="533">
        <f>B53/(1+C$43*C53/360)</f>
        <v>-499181306.60501117</v>
      </c>
    </row>
    <row r="54" spans="1:7" x14ac:dyDescent="0.3">
      <c r="E54" s="1" t="s">
        <v>1107</v>
      </c>
      <c r="F54" s="534">
        <f>SUM(F50:F53)</f>
        <v>-1668868.7940658331</v>
      </c>
    </row>
    <row r="56" spans="1:7" x14ac:dyDescent="0.3">
      <c r="A56" s="535" t="s">
        <v>687</v>
      </c>
      <c r="B56" s="536">
        <f>+B47-B53</f>
        <v>-670630.32893878222</v>
      </c>
      <c r="F56" s="534">
        <f>F54-F48</f>
        <v>663990.42469185591</v>
      </c>
    </row>
    <row r="58" spans="1:7" x14ac:dyDescent="0.3">
      <c r="A58" s="377" t="s">
        <v>1271</v>
      </c>
    </row>
    <row r="59" spans="1:7" ht="27" x14ac:dyDescent="0.3">
      <c r="A59" s="10" t="s">
        <v>1038</v>
      </c>
      <c r="B59" s="533">
        <v>495202723.61497986</v>
      </c>
      <c r="C59" s="10">
        <v>0</v>
      </c>
      <c r="D59" s="134">
        <v>3.6229187071498803E-2</v>
      </c>
      <c r="E59" s="68">
        <v>180</v>
      </c>
      <c r="F59" s="533">
        <f t="shared" ref="F59:F65" si="0">B59/(1+C$43*C59/360)</f>
        <v>495202723.61497986</v>
      </c>
    </row>
    <row r="60" spans="1:7" x14ac:dyDescent="0.3">
      <c r="A60" s="68" t="s">
        <v>683</v>
      </c>
      <c r="B60" s="533">
        <v>-495202723.61497986</v>
      </c>
      <c r="C60" s="10">
        <v>0</v>
      </c>
      <c r="D60" s="134">
        <v>3.875E-2</v>
      </c>
      <c r="E60" s="10">
        <v>90</v>
      </c>
      <c r="F60" s="533">
        <f t="shared" si="0"/>
        <v>-495202723.61497986</v>
      </c>
    </row>
    <row r="61" spans="1:7" x14ac:dyDescent="0.3">
      <c r="A61" s="68" t="s">
        <v>685</v>
      </c>
      <c r="B61" s="533">
        <v>500000000</v>
      </c>
      <c r="C61" s="68">
        <v>90</v>
      </c>
      <c r="D61" s="530"/>
      <c r="F61" s="533">
        <f t="shared" si="0"/>
        <v>497512437.81094533</v>
      </c>
    </row>
    <row r="62" spans="1:7" x14ac:dyDescent="0.3">
      <c r="A62" s="68" t="s">
        <v>1266</v>
      </c>
      <c r="B62" s="533">
        <v>500000000</v>
      </c>
      <c r="C62" s="68">
        <v>90</v>
      </c>
      <c r="D62" s="134">
        <f>+B41</f>
        <v>3.7499999999999999E-2</v>
      </c>
      <c r="E62" s="10">
        <v>90</v>
      </c>
      <c r="F62" s="533">
        <f t="shared" si="0"/>
        <v>497512437.81094533</v>
      </c>
      <c r="G62" s="10"/>
    </row>
    <row r="63" spans="1:7" x14ac:dyDescent="0.3">
      <c r="A63" s="68" t="s">
        <v>1267</v>
      </c>
      <c r="B63" s="533">
        <f>B62*(1+D62*E62/360)</f>
        <v>504687499.99999994</v>
      </c>
      <c r="C63" s="68">
        <v>180</v>
      </c>
      <c r="D63" s="134"/>
      <c r="E63" s="10"/>
      <c r="F63" s="533">
        <f t="shared" si="0"/>
        <v>499690594.05940586</v>
      </c>
      <c r="G63" s="10"/>
    </row>
    <row r="64" spans="1:7" x14ac:dyDescent="0.3">
      <c r="A64" s="68" t="s">
        <v>1272</v>
      </c>
      <c r="B64" s="533">
        <f>-B59*(1+D59*E59/360)</f>
        <v>-504173119.67106128</v>
      </c>
      <c r="C64" s="68">
        <v>180</v>
      </c>
      <c r="D64" s="134"/>
      <c r="E64" s="10"/>
      <c r="F64" s="533">
        <f t="shared" si="0"/>
        <v>-499181306.60501117</v>
      </c>
      <c r="G64" s="10"/>
    </row>
    <row r="65" spans="1:7" x14ac:dyDescent="0.3">
      <c r="A65" s="1" t="s">
        <v>1270</v>
      </c>
      <c r="B65" s="534">
        <f>+B63+B64</f>
        <v>514380.32893866301</v>
      </c>
      <c r="C65" s="1">
        <v>180</v>
      </c>
      <c r="D65" s="133"/>
      <c r="E65" s="2"/>
      <c r="F65" s="534">
        <f t="shared" si="0"/>
        <v>509287.45439471584</v>
      </c>
      <c r="G65" s="10"/>
    </row>
    <row r="66" spans="1:7" x14ac:dyDescent="0.3">
      <c r="B66" s="533"/>
      <c r="D66" s="134"/>
      <c r="E66" s="10"/>
      <c r="F66" s="10"/>
      <c r="G66" s="10"/>
    </row>
    <row r="67" spans="1:7" x14ac:dyDescent="0.3">
      <c r="B67" s="533"/>
      <c r="D67" s="134"/>
      <c r="E67" s="10"/>
      <c r="F67" s="10"/>
      <c r="G67" s="10"/>
    </row>
    <row r="68" spans="1:7" x14ac:dyDescent="0.3">
      <c r="B68" s="533"/>
      <c r="D68" s="134"/>
      <c r="E68" s="10"/>
      <c r="F68" s="10"/>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2"/>
  <sheetViews>
    <sheetView showGridLines="0" workbookViewId="0">
      <selection sqref="A1:H1"/>
    </sheetView>
  </sheetViews>
  <sheetFormatPr baseColWidth="10" defaultColWidth="10.765625" defaultRowHeight="13.5" outlineLevelRow="1" x14ac:dyDescent="0.3"/>
  <cols>
    <col min="1" max="1" width="56.84375" style="579" bestFit="1" customWidth="1"/>
    <col min="2" max="16384" width="10.765625" style="579"/>
  </cols>
  <sheetData>
    <row r="1" spans="1:22" x14ac:dyDescent="0.3">
      <c r="A1" s="619" t="s">
        <v>1742</v>
      </c>
      <c r="B1" s="619"/>
      <c r="C1" s="619"/>
      <c r="D1" s="619"/>
      <c r="E1" s="619"/>
      <c r="F1" s="619"/>
      <c r="G1" s="619"/>
      <c r="H1" s="619"/>
    </row>
    <row r="2" spans="1:22" x14ac:dyDescent="0.3">
      <c r="A2" s="593"/>
      <c r="B2" s="593"/>
      <c r="C2" s="593"/>
      <c r="D2" s="593"/>
      <c r="E2" s="593"/>
      <c r="F2" s="593"/>
      <c r="G2" s="593"/>
      <c r="H2" s="593"/>
    </row>
    <row r="4" spans="1:22" x14ac:dyDescent="0.3">
      <c r="A4" s="579" t="s">
        <v>1702</v>
      </c>
      <c r="H4" s="580"/>
      <c r="I4" s="580"/>
      <c r="J4" s="580"/>
      <c r="K4" s="580"/>
      <c r="L4" s="580"/>
      <c r="M4" s="580"/>
      <c r="N4" s="580"/>
      <c r="O4" s="580"/>
      <c r="P4" s="580"/>
      <c r="Q4" s="580"/>
      <c r="R4" s="580"/>
      <c r="S4" s="580"/>
      <c r="T4" s="580"/>
      <c r="U4" s="580"/>
      <c r="V4" s="580"/>
    </row>
    <row r="6" spans="1:22" x14ac:dyDescent="0.3">
      <c r="B6" s="580" t="s">
        <v>1703</v>
      </c>
      <c r="C6" s="580" t="s">
        <v>1704</v>
      </c>
      <c r="D6" s="580" t="s">
        <v>1705</v>
      </c>
      <c r="E6" s="580" t="s">
        <v>1706</v>
      </c>
      <c r="F6" s="580" t="s">
        <v>1707</v>
      </c>
      <c r="G6" s="580" t="s">
        <v>1708</v>
      </c>
      <c r="H6" s="580" t="s">
        <v>1709</v>
      </c>
      <c r="I6" s="580" t="s">
        <v>1710</v>
      </c>
      <c r="J6" s="580" t="s">
        <v>1711</v>
      </c>
      <c r="K6" s="580" t="s">
        <v>1712</v>
      </c>
      <c r="L6" s="580" t="s">
        <v>1713</v>
      </c>
      <c r="M6" s="580" t="s">
        <v>1714</v>
      </c>
      <c r="N6" s="580" t="s">
        <v>1715</v>
      </c>
      <c r="O6" s="580" t="s">
        <v>1716</v>
      </c>
      <c r="P6" s="580" t="s">
        <v>1717</v>
      </c>
      <c r="Q6" s="580" t="s">
        <v>1718</v>
      </c>
      <c r="R6" s="580" t="s">
        <v>1719</v>
      </c>
      <c r="S6" s="580" t="s">
        <v>1720</v>
      </c>
      <c r="T6" s="580" t="s">
        <v>1721</v>
      </c>
      <c r="U6" s="580" t="s">
        <v>1722</v>
      </c>
      <c r="V6" s="580" t="s">
        <v>1723</v>
      </c>
    </row>
    <row r="8" spans="1:22" x14ac:dyDescent="0.3">
      <c r="A8" s="579" t="s">
        <v>1360</v>
      </c>
      <c r="B8" s="581">
        <v>0</v>
      </c>
      <c r="C8" s="582">
        <v>3429</v>
      </c>
      <c r="D8" s="582">
        <v>5988</v>
      </c>
      <c r="E8" s="582">
        <v>6800</v>
      </c>
      <c r="F8" s="582">
        <v>7088</v>
      </c>
      <c r="G8" s="582">
        <v>7390</v>
      </c>
      <c r="H8" s="582">
        <v>7635</v>
      </c>
      <c r="I8" s="582">
        <f>H8</f>
        <v>7635</v>
      </c>
      <c r="J8" s="582">
        <f t="shared" ref="J8:V8" si="0">I8</f>
        <v>7635</v>
      </c>
      <c r="K8" s="582">
        <f t="shared" si="0"/>
        <v>7635</v>
      </c>
      <c r="L8" s="582">
        <f t="shared" si="0"/>
        <v>7635</v>
      </c>
      <c r="M8" s="582">
        <f t="shared" si="0"/>
        <v>7635</v>
      </c>
      <c r="N8" s="582">
        <f t="shared" si="0"/>
        <v>7635</v>
      </c>
      <c r="O8" s="582">
        <f t="shared" si="0"/>
        <v>7635</v>
      </c>
      <c r="P8" s="582">
        <f t="shared" si="0"/>
        <v>7635</v>
      </c>
      <c r="Q8" s="582">
        <f t="shared" si="0"/>
        <v>7635</v>
      </c>
      <c r="R8" s="582">
        <f t="shared" si="0"/>
        <v>7635</v>
      </c>
      <c r="S8" s="582">
        <f t="shared" si="0"/>
        <v>7635</v>
      </c>
      <c r="T8" s="582">
        <f t="shared" si="0"/>
        <v>7635</v>
      </c>
      <c r="U8" s="582">
        <f t="shared" si="0"/>
        <v>7635</v>
      </c>
      <c r="V8" s="582">
        <f t="shared" si="0"/>
        <v>7635</v>
      </c>
    </row>
    <row r="9" spans="1:22" x14ac:dyDescent="0.3">
      <c r="A9" s="579" t="s">
        <v>1337</v>
      </c>
      <c r="B9" s="583">
        <v>0</v>
      </c>
      <c r="C9" s="584">
        <v>-1484</v>
      </c>
      <c r="D9" s="584">
        <v>-2551</v>
      </c>
      <c r="E9" s="584">
        <v>-2912</v>
      </c>
      <c r="F9" s="584">
        <v>-3047</v>
      </c>
      <c r="G9" s="584">
        <v>-3190</v>
      </c>
      <c r="H9" s="584">
        <v>-3301</v>
      </c>
      <c r="I9" s="584">
        <f>H9</f>
        <v>-3301</v>
      </c>
      <c r="J9" s="584">
        <f t="shared" ref="J9:V9" si="1">I9</f>
        <v>-3301</v>
      </c>
      <c r="K9" s="584">
        <f t="shared" si="1"/>
        <v>-3301</v>
      </c>
      <c r="L9" s="584">
        <f t="shared" si="1"/>
        <v>-3301</v>
      </c>
      <c r="M9" s="584">
        <f t="shared" si="1"/>
        <v>-3301</v>
      </c>
      <c r="N9" s="584">
        <f t="shared" si="1"/>
        <v>-3301</v>
      </c>
      <c r="O9" s="584">
        <f t="shared" si="1"/>
        <v>-3301</v>
      </c>
      <c r="P9" s="584">
        <f t="shared" si="1"/>
        <v>-3301</v>
      </c>
      <c r="Q9" s="584">
        <f t="shared" si="1"/>
        <v>-3301</v>
      </c>
      <c r="R9" s="584">
        <f t="shared" si="1"/>
        <v>-3301</v>
      </c>
      <c r="S9" s="584">
        <f t="shared" si="1"/>
        <v>-3301</v>
      </c>
      <c r="T9" s="584">
        <f t="shared" si="1"/>
        <v>-3301</v>
      </c>
      <c r="U9" s="584">
        <f t="shared" si="1"/>
        <v>-3301</v>
      </c>
      <c r="V9" s="584">
        <f t="shared" si="1"/>
        <v>-3301</v>
      </c>
    </row>
    <row r="10" spans="1:22" x14ac:dyDescent="0.3">
      <c r="A10" s="579" t="s">
        <v>86</v>
      </c>
      <c r="B10" s="583">
        <v>0</v>
      </c>
      <c r="C10" s="584">
        <v>-667</v>
      </c>
      <c r="D10" s="584">
        <v>-887</v>
      </c>
      <c r="E10" s="584">
        <v>-913</v>
      </c>
      <c r="F10" s="584">
        <v>-941</v>
      </c>
      <c r="G10" s="584">
        <v>-969</v>
      </c>
      <c r="H10" s="584">
        <v>-988</v>
      </c>
      <c r="I10" s="584">
        <f>H10</f>
        <v>-988</v>
      </c>
      <c r="J10" s="584">
        <f t="shared" ref="J10:V10" si="2">I10</f>
        <v>-988</v>
      </c>
      <c r="K10" s="584">
        <f t="shared" si="2"/>
        <v>-988</v>
      </c>
      <c r="L10" s="584">
        <f t="shared" si="2"/>
        <v>-988</v>
      </c>
      <c r="M10" s="584">
        <f t="shared" si="2"/>
        <v>-988</v>
      </c>
      <c r="N10" s="584">
        <f t="shared" si="2"/>
        <v>-988</v>
      </c>
      <c r="O10" s="584">
        <f t="shared" si="2"/>
        <v>-988</v>
      </c>
      <c r="P10" s="584">
        <f t="shared" si="2"/>
        <v>-988</v>
      </c>
      <c r="Q10" s="584">
        <f t="shared" si="2"/>
        <v>-988</v>
      </c>
      <c r="R10" s="584">
        <f t="shared" si="2"/>
        <v>-988</v>
      </c>
      <c r="S10" s="584">
        <f t="shared" si="2"/>
        <v>-988</v>
      </c>
      <c r="T10" s="584">
        <f t="shared" si="2"/>
        <v>-988</v>
      </c>
      <c r="U10" s="584">
        <f t="shared" si="2"/>
        <v>-988</v>
      </c>
      <c r="V10" s="584">
        <f t="shared" si="2"/>
        <v>-988</v>
      </c>
    </row>
    <row r="11" spans="1:22" x14ac:dyDescent="0.3">
      <c r="A11" s="579" t="s">
        <v>1724</v>
      </c>
      <c r="B11" s="583">
        <v>0</v>
      </c>
      <c r="C11" s="584">
        <f>-1152+667+273</f>
        <v>-212</v>
      </c>
      <c r="D11" s="584">
        <v>-51</v>
      </c>
      <c r="E11" s="584">
        <v>169</v>
      </c>
      <c r="F11" s="584">
        <v>176</v>
      </c>
      <c r="G11" s="584">
        <v>181</v>
      </c>
      <c r="H11" s="584">
        <v>197</v>
      </c>
      <c r="I11" s="584">
        <f>H11</f>
        <v>197</v>
      </c>
      <c r="J11" s="584">
        <f t="shared" ref="J11:V11" si="3">I11</f>
        <v>197</v>
      </c>
      <c r="K11" s="584">
        <f t="shared" si="3"/>
        <v>197</v>
      </c>
      <c r="L11" s="584">
        <f t="shared" si="3"/>
        <v>197</v>
      </c>
      <c r="M11" s="584">
        <f t="shared" si="3"/>
        <v>197</v>
      </c>
      <c r="N11" s="584">
        <f t="shared" si="3"/>
        <v>197</v>
      </c>
      <c r="O11" s="584">
        <f t="shared" si="3"/>
        <v>197</v>
      </c>
      <c r="P11" s="584">
        <f t="shared" si="3"/>
        <v>197</v>
      </c>
      <c r="Q11" s="584">
        <f t="shared" si="3"/>
        <v>197</v>
      </c>
      <c r="R11" s="584">
        <f t="shared" si="3"/>
        <v>197</v>
      </c>
      <c r="S11" s="584">
        <f t="shared" si="3"/>
        <v>197</v>
      </c>
      <c r="T11" s="584">
        <f t="shared" si="3"/>
        <v>197</v>
      </c>
      <c r="U11" s="584">
        <f t="shared" si="3"/>
        <v>197</v>
      </c>
      <c r="V11" s="584">
        <f t="shared" si="3"/>
        <v>197</v>
      </c>
    </row>
    <row r="12" spans="1:22" x14ac:dyDescent="0.3">
      <c r="A12" s="579" t="s">
        <v>1725</v>
      </c>
      <c r="B12" s="583">
        <v>0</v>
      </c>
      <c r="C12" s="584">
        <v>0</v>
      </c>
      <c r="D12" s="584">
        <v>0</v>
      </c>
      <c r="E12" s="584">
        <v>0</v>
      </c>
      <c r="F12" s="584">
        <v>0</v>
      </c>
      <c r="G12" s="584">
        <v>0</v>
      </c>
      <c r="H12" s="584">
        <v>0</v>
      </c>
      <c r="I12" s="584">
        <f>H12</f>
        <v>0</v>
      </c>
      <c r="J12" s="584">
        <f t="shared" ref="J12:V12" si="4">I12</f>
        <v>0</v>
      </c>
      <c r="K12" s="584">
        <f t="shared" si="4"/>
        <v>0</v>
      </c>
      <c r="L12" s="584">
        <f t="shared" si="4"/>
        <v>0</v>
      </c>
      <c r="M12" s="584">
        <f t="shared" si="4"/>
        <v>0</v>
      </c>
      <c r="N12" s="584">
        <f t="shared" si="4"/>
        <v>0</v>
      </c>
      <c r="O12" s="584">
        <f t="shared" si="4"/>
        <v>0</v>
      </c>
      <c r="P12" s="584">
        <f t="shared" si="4"/>
        <v>0</v>
      </c>
      <c r="Q12" s="584">
        <f t="shared" si="4"/>
        <v>0</v>
      </c>
      <c r="R12" s="584">
        <f t="shared" si="4"/>
        <v>0</v>
      </c>
      <c r="S12" s="584">
        <f t="shared" si="4"/>
        <v>0</v>
      </c>
      <c r="T12" s="584">
        <f t="shared" si="4"/>
        <v>0</v>
      </c>
      <c r="U12" s="584">
        <f t="shared" si="4"/>
        <v>0</v>
      </c>
      <c r="V12" s="584">
        <f t="shared" si="4"/>
        <v>0</v>
      </c>
    </row>
    <row r="13" spans="1:22" x14ac:dyDescent="0.3">
      <c r="A13" s="585" t="s">
        <v>1293</v>
      </c>
      <c r="B13" s="586">
        <v>0</v>
      </c>
      <c r="C13" s="587">
        <f t="shared" ref="C13:V13" si="5">+SUM(C8:C12)</f>
        <v>1066</v>
      </c>
      <c r="D13" s="587">
        <f t="shared" si="5"/>
        <v>2499</v>
      </c>
      <c r="E13" s="587">
        <f t="shared" si="5"/>
        <v>3144</v>
      </c>
      <c r="F13" s="587">
        <f t="shared" si="5"/>
        <v>3276</v>
      </c>
      <c r="G13" s="587">
        <f t="shared" si="5"/>
        <v>3412</v>
      </c>
      <c r="H13" s="587">
        <f t="shared" si="5"/>
        <v>3543</v>
      </c>
      <c r="I13" s="587">
        <f t="shared" si="5"/>
        <v>3543</v>
      </c>
      <c r="J13" s="587">
        <f t="shared" si="5"/>
        <v>3543</v>
      </c>
      <c r="K13" s="587">
        <f t="shared" si="5"/>
        <v>3543</v>
      </c>
      <c r="L13" s="587">
        <f t="shared" si="5"/>
        <v>3543</v>
      </c>
      <c r="M13" s="587">
        <f t="shared" si="5"/>
        <v>3543</v>
      </c>
      <c r="N13" s="587">
        <f t="shared" si="5"/>
        <v>3543</v>
      </c>
      <c r="O13" s="587">
        <f t="shared" si="5"/>
        <v>3543</v>
      </c>
      <c r="P13" s="587">
        <f t="shared" si="5"/>
        <v>3543</v>
      </c>
      <c r="Q13" s="587">
        <f t="shared" si="5"/>
        <v>3543</v>
      </c>
      <c r="R13" s="587">
        <f t="shared" si="5"/>
        <v>3543</v>
      </c>
      <c r="S13" s="587">
        <f t="shared" si="5"/>
        <v>3543</v>
      </c>
      <c r="T13" s="587">
        <f t="shared" si="5"/>
        <v>3543</v>
      </c>
      <c r="U13" s="587">
        <f t="shared" si="5"/>
        <v>3543</v>
      </c>
      <c r="V13" s="587">
        <f t="shared" si="5"/>
        <v>3543</v>
      </c>
    </row>
    <row r="14" spans="1:22" outlineLevel="1" x14ac:dyDescent="0.3">
      <c r="A14" s="579" t="s">
        <v>1156</v>
      </c>
      <c r="B14" s="583">
        <v>0</v>
      </c>
      <c r="C14" s="584">
        <f>-(B26-3700)/15</f>
        <v>-1000</v>
      </c>
      <c r="D14" s="584">
        <f>C14</f>
        <v>-1000</v>
      </c>
      <c r="E14" s="584">
        <f t="shared" ref="E14:V14" si="6">D14</f>
        <v>-1000</v>
      </c>
      <c r="F14" s="584">
        <f t="shared" si="6"/>
        <v>-1000</v>
      </c>
      <c r="G14" s="584">
        <f t="shared" si="6"/>
        <v>-1000</v>
      </c>
      <c r="H14" s="584">
        <f t="shared" si="6"/>
        <v>-1000</v>
      </c>
      <c r="I14" s="584">
        <f t="shared" si="6"/>
        <v>-1000</v>
      </c>
      <c r="J14" s="584">
        <f t="shared" si="6"/>
        <v>-1000</v>
      </c>
      <c r="K14" s="584">
        <f t="shared" si="6"/>
        <v>-1000</v>
      </c>
      <c r="L14" s="584">
        <f t="shared" si="6"/>
        <v>-1000</v>
      </c>
      <c r="M14" s="584">
        <f t="shared" si="6"/>
        <v>-1000</v>
      </c>
      <c r="N14" s="584">
        <f t="shared" si="6"/>
        <v>-1000</v>
      </c>
      <c r="O14" s="584">
        <f t="shared" si="6"/>
        <v>-1000</v>
      </c>
      <c r="P14" s="584">
        <f t="shared" si="6"/>
        <v>-1000</v>
      </c>
      <c r="Q14" s="584">
        <f t="shared" si="6"/>
        <v>-1000</v>
      </c>
      <c r="R14" s="584">
        <v>0</v>
      </c>
      <c r="S14" s="584">
        <f t="shared" si="6"/>
        <v>0</v>
      </c>
      <c r="T14" s="584">
        <f t="shared" si="6"/>
        <v>0</v>
      </c>
      <c r="U14" s="584">
        <f t="shared" si="6"/>
        <v>0</v>
      </c>
      <c r="V14" s="584">
        <f t="shared" si="6"/>
        <v>0</v>
      </c>
    </row>
    <row r="15" spans="1:22" outlineLevel="1" x14ac:dyDescent="0.3">
      <c r="A15" s="585" t="s">
        <v>1184</v>
      </c>
      <c r="B15" s="586">
        <v>0</v>
      </c>
      <c r="C15" s="587">
        <f t="shared" ref="C15:V15" si="7">+C13+C14</f>
        <v>66</v>
      </c>
      <c r="D15" s="587">
        <f t="shared" si="7"/>
        <v>1499</v>
      </c>
      <c r="E15" s="587">
        <f t="shared" si="7"/>
        <v>2144</v>
      </c>
      <c r="F15" s="587">
        <f t="shared" si="7"/>
        <v>2276</v>
      </c>
      <c r="G15" s="587">
        <f t="shared" si="7"/>
        <v>2412</v>
      </c>
      <c r="H15" s="587">
        <f t="shared" si="7"/>
        <v>2543</v>
      </c>
      <c r="I15" s="587">
        <f t="shared" si="7"/>
        <v>2543</v>
      </c>
      <c r="J15" s="587">
        <f t="shared" si="7"/>
        <v>2543</v>
      </c>
      <c r="K15" s="587">
        <f t="shared" si="7"/>
        <v>2543</v>
      </c>
      <c r="L15" s="587">
        <f t="shared" si="7"/>
        <v>2543</v>
      </c>
      <c r="M15" s="587">
        <f t="shared" si="7"/>
        <v>2543</v>
      </c>
      <c r="N15" s="587">
        <f t="shared" si="7"/>
        <v>2543</v>
      </c>
      <c r="O15" s="587">
        <f t="shared" si="7"/>
        <v>2543</v>
      </c>
      <c r="P15" s="587">
        <f t="shared" si="7"/>
        <v>2543</v>
      </c>
      <c r="Q15" s="587">
        <f t="shared" si="7"/>
        <v>2543</v>
      </c>
      <c r="R15" s="587">
        <f t="shared" si="7"/>
        <v>3543</v>
      </c>
      <c r="S15" s="587">
        <f t="shared" si="7"/>
        <v>3543</v>
      </c>
      <c r="T15" s="587">
        <f t="shared" si="7"/>
        <v>3543</v>
      </c>
      <c r="U15" s="587">
        <f t="shared" si="7"/>
        <v>3543</v>
      </c>
      <c r="V15" s="587">
        <f t="shared" si="7"/>
        <v>3543</v>
      </c>
    </row>
    <row r="16" spans="1:22" outlineLevel="1" x14ac:dyDescent="0.3">
      <c r="A16" s="579" t="s">
        <v>1364</v>
      </c>
      <c r="B16" s="583">
        <v>0</v>
      </c>
      <c r="C16" s="584">
        <f t="shared" ref="C16:L16" si="8">-$B$30*$B$51</f>
        <v>-467.5</v>
      </c>
      <c r="D16" s="584">
        <f t="shared" si="8"/>
        <v>-467.5</v>
      </c>
      <c r="E16" s="584">
        <f t="shared" si="8"/>
        <v>-467.5</v>
      </c>
      <c r="F16" s="584">
        <f t="shared" si="8"/>
        <v>-467.5</v>
      </c>
      <c r="G16" s="584">
        <f t="shared" si="8"/>
        <v>-467.5</v>
      </c>
      <c r="H16" s="584">
        <f t="shared" si="8"/>
        <v>-467.5</v>
      </c>
      <c r="I16" s="584">
        <f t="shared" si="8"/>
        <v>-467.5</v>
      </c>
      <c r="J16" s="584">
        <f t="shared" si="8"/>
        <v>-467.5</v>
      </c>
      <c r="K16" s="584">
        <f t="shared" si="8"/>
        <v>-467.5</v>
      </c>
      <c r="L16" s="584">
        <f t="shared" si="8"/>
        <v>-467.5</v>
      </c>
      <c r="M16" s="584">
        <v>0</v>
      </c>
      <c r="N16" s="584">
        <v>0</v>
      </c>
      <c r="O16" s="584">
        <v>0</v>
      </c>
      <c r="P16" s="584">
        <v>0</v>
      </c>
      <c r="Q16" s="584">
        <v>0</v>
      </c>
      <c r="R16" s="584">
        <v>0</v>
      </c>
      <c r="S16" s="584">
        <v>0</v>
      </c>
      <c r="T16" s="584">
        <v>0</v>
      </c>
      <c r="U16" s="584">
        <v>0</v>
      </c>
      <c r="V16" s="584">
        <v>0</v>
      </c>
    </row>
    <row r="17" spans="1:256" outlineLevel="1" x14ac:dyDescent="0.3">
      <c r="A17" s="579" t="s">
        <v>1726</v>
      </c>
      <c r="B17" s="583">
        <v>0</v>
      </c>
      <c r="C17" s="584">
        <f>+IF((C15+C16)&lt;0,0,(C15+C16)*$B$20)</f>
        <v>0</v>
      </c>
      <c r="D17" s="584">
        <f t="shared" ref="D17:V17" si="9">+IF((D15+D16)&lt;0,0,-(D15+D16)*$B$20)</f>
        <v>-361.02499999999998</v>
      </c>
      <c r="E17" s="584">
        <f t="shared" si="9"/>
        <v>-586.77499999999998</v>
      </c>
      <c r="F17" s="584">
        <f t="shared" si="9"/>
        <v>-632.97499999999991</v>
      </c>
      <c r="G17" s="584">
        <f t="shared" si="9"/>
        <v>-680.57499999999993</v>
      </c>
      <c r="H17" s="584">
        <f t="shared" si="9"/>
        <v>-726.42499999999995</v>
      </c>
      <c r="I17" s="584">
        <f t="shared" si="9"/>
        <v>-726.42499999999995</v>
      </c>
      <c r="J17" s="584">
        <f t="shared" si="9"/>
        <v>-726.42499999999995</v>
      </c>
      <c r="K17" s="584">
        <f t="shared" si="9"/>
        <v>-726.42499999999995</v>
      </c>
      <c r="L17" s="584">
        <f t="shared" si="9"/>
        <v>-726.42499999999995</v>
      </c>
      <c r="M17" s="584">
        <f t="shared" si="9"/>
        <v>-890.05</v>
      </c>
      <c r="N17" s="584">
        <f t="shared" si="9"/>
        <v>-890.05</v>
      </c>
      <c r="O17" s="584">
        <f t="shared" si="9"/>
        <v>-890.05</v>
      </c>
      <c r="P17" s="584">
        <f t="shared" si="9"/>
        <v>-890.05</v>
      </c>
      <c r="Q17" s="584">
        <f t="shared" si="9"/>
        <v>-890.05</v>
      </c>
      <c r="R17" s="584">
        <f t="shared" si="9"/>
        <v>-1240.05</v>
      </c>
      <c r="S17" s="584">
        <f t="shared" si="9"/>
        <v>-1240.05</v>
      </c>
      <c r="T17" s="584">
        <f t="shared" si="9"/>
        <v>-1240.05</v>
      </c>
      <c r="U17" s="584">
        <f t="shared" si="9"/>
        <v>-1240.05</v>
      </c>
      <c r="V17" s="584">
        <f t="shared" si="9"/>
        <v>-1240.05</v>
      </c>
    </row>
    <row r="18" spans="1:256" outlineLevel="1" x14ac:dyDescent="0.3">
      <c r="A18" s="585" t="s">
        <v>1727</v>
      </c>
      <c r="B18" s="586">
        <v>0</v>
      </c>
      <c r="C18" s="587">
        <f t="shared" ref="C18:V18" si="10">+SUM(C15:C17)</f>
        <v>-401.5</v>
      </c>
      <c r="D18" s="587">
        <f t="shared" si="10"/>
        <v>670.47500000000002</v>
      </c>
      <c r="E18" s="587">
        <f t="shared" si="10"/>
        <v>1089.7249999999999</v>
      </c>
      <c r="F18" s="587">
        <f t="shared" si="10"/>
        <v>1175.5250000000001</v>
      </c>
      <c r="G18" s="587">
        <f t="shared" si="10"/>
        <v>1263.9250000000002</v>
      </c>
      <c r="H18" s="587">
        <f t="shared" si="10"/>
        <v>1349.075</v>
      </c>
      <c r="I18" s="587">
        <f t="shared" si="10"/>
        <v>1349.075</v>
      </c>
      <c r="J18" s="587">
        <f t="shared" si="10"/>
        <v>1349.075</v>
      </c>
      <c r="K18" s="587">
        <f t="shared" si="10"/>
        <v>1349.075</v>
      </c>
      <c r="L18" s="587">
        <f t="shared" si="10"/>
        <v>1349.075</v>
      </c>
      <c r="M18" s="587">
        <f t="shared" si="10"/>
        <v>1652.95</v>
      </c>
      <c r="N18" s="587">
        <f t="shared" si="10"/>
        <v>1652.95</v>
      </c>
      <c r="O18" s="587">
        <f t="shared" si="10"/>
        <v>1652.95</v>
      </c>
      <c r="P18" s="587">
        <f t="shared" si="10"/>
        <v>1652.95</v>
      </c>
      <c r="Q18" s="587">
        <f t="shared" si="10"/>
        <v>1652.95</v>
      </c>
      <c r="R18" s="587">
        <f t="shared" si="10"/>
        <v>2302.9499999999998</v>
      </c>
      <c r="S18" s="587">
        <f t="shared" si="10"/>
        <v>2302.9499999999998</v>
      </c>
      <c r="T18" s="587">
        <f t="shared" si="10"/>
        <v>2302.9499999999998</v>
      </c>
      <c r="U18" s="587">
        <f t="shared" si="10"/>
        <v>2302.9499999999998</v>
      </c>
      <c r="V18" s="587">
        <f t="shared" si="10"/>
        <v>2302.9499999999998</v>
      </c>
    </row>
    <row r="20" spans="1:256" x14ac:dyDescent="0.3">
      <c r="A20" s="594" t="s">
        <v>761</v>
      </c>
      <c r="B20" s="564">
        <v>0.35</v>
      </c>
    </row>
    <row r="24" spans="1:256" x14ac:dyDescent="0.3">
      <c r="A24" s="579" t="s">
        <v>1728</v>
      </c>
      <c r="B24" s="580" t="str">
        <f t="shared" ref="B24:V24" si="11">B6</f>
        <v>N</v>
      </c>
      <c r="C24" s="580" t="str">
        <f t="shared" si="11"/>
        <v>N+1</v>
      </c>
      <c r="D24" s="580" t="str">
        <f t="shared" si="11"/>
        <v>N+2</v>
      </c>
      <c r="E24" s="580" t="str">
        <f t="shared" si="11"/>
        <v>N+3</v>
      </c>
      <c r="F24" s="580" t="str">
        <f t="shared" si="11"/>
        <v>N+4</v>
      </c>
      <c r="G24" s="580" t="str">
        <f t="shared" si="11"/>
        <v>N+5</v>
      </c>
      <c r="H24" s="580" t="str">
        <f t="shared" si="11"/>
        <v>N+6</v>
      </c>
      <c r="I24" s="580" t="str">
        <f t="shared" si="11"/>
        <v>N+7</v>
      </c>
      <c r="J24" s="580" t="str">
        <f t="shared" si="11"/>
        <v>N+8</v>
      </c>
      <c r="K24" s="580" t="str">
        <f t="shared" si="11"/>
        <v>N+9</v>
      </c>
      <c r="L24" s="580" t="str">
        <f t="shared" si="11"/>
        <v>N+10</v>
      </c>
      <c r="M24" s="580" t="str">
        <f t="shared" si="11"/>
        <v>N+11</v>
      </c>
      <c r="N24" s="580" t="str">
        <f t="shared" si="11"/>
        <v>N+12</v>
      </c>
      <c r="O24" s="580" t="str">
        <f t="shared" si="11"/>
        <v>N+13</v>
      </c>
      <c r="P24" s="580" t="str">
        <f t="shared" si="11"/>
        <v>N+14</v>
      </c>
      <c r="Q24" s="580" t="str">
        <f t="shared" si="11"/>
        <v>N+15</v>
      </c>
      <c r="R24" s="580" t="str">
        <f t="shared" si="11"/>
        <v>N+16</v>
      </c>
      <c r="S24" s="580" t="str">
        <f t="shared" si="11"/>
        <v>N+17</v>
      </c>
      <c r="T24" s="580" t="str">
        <f t="shared" si="11"/>
        <v>N+18</v>
      </c>
      <c r="U24" s="580" t="str">
        <f t="shared" si="11"/>
        <v>N+19</v>
      </c>
      <c r="V24" s="580" t="str">
        <f t="shared" si="11"/>
        <v>N+20</v>
      </c>
    </row>
    <row r="26" spans="1:256" x14ac:dyDescent="0.3">
      <c r="A26" s="579" t="s">
        <v>1729</v>
      </c>
      <c r="B26" s="581">
        <v>18700</v>
      </c>
      <c r="C26" s="582">
        <f t="shared" ref="C26:V26" si="12">+B26+C14</f>
        <v>17700</v>
      </c>
      <c r="D26" s="582">
        <f t="shared" si="12"/>
        <v>16700</v>
      </c>
      <c r="E26" s="582">
        <f t="shared" si="12"/>
        <v>15700</v>
      </c>
      <c r="F26" s="582">
        <f t="shared" si="12"/>
        <v>14700</v>
      </c>
      <c r="G26" s="582">
        <f t="shared" si="12"/>
        <v>13700</v>
      </c>
      <c r="H26" s="582">
        <f t="shared" si="12"/>
        <v>12700</v>
      </c>
      <c r="I26" s="582">
        <f t="shared" si="12"/>
        <v>11700</v>
      </c>
      <c r="J26" s="582">
        <f t="shared" si="12"/>
        <v>10700</v>
      </c>
      <c r="K26" s="582">
        <f t="shared" si="12"/>
        <v>9700</v>
      </c>
      <c r="L26" s="582">
        <f t="shared" si="12"/>
        <v>8700</v>
      </c>
      <c r="M26" s="582">
        <f t="shared" si="12"/>
        <v>7700</v>
      </c>
      <c r="N26" s="582">
        <f t="shared" si="12"/>
        <v>6700</v>
      </c>
      <c r="O26" s="582">
        <f t="shared" si="12"/>
        <v>5700</v>
      </c>
      <c r="P26" s="582">
        <f t="shared" si="12"/>
        <v>4700</v>
      </c>
      <c r="Q26" s="582">
        <f t="shared" si="12"/>
        <v>3700</v>
      </c>
      <c r="R26" s="582">
        <f t="shared" si="12"/>
        <v>3700</v>
      </c>
      <c r="S26" s="582">
        <f t="shared" si="12"/>
        <v>3700</v>
      </c>
      <c r="T26" s="582">
        <f t="shared" si="12"/>
        <v>3700</v>
      </c>
      <c r="U26" s="582">
        <f t="shared" si="12"/>
        <v>3700</v>
      </c>
      <c r="V26" s="582">
        <f t="shared" si="12"/>
        <v>3700</v>
      </c>
    </row>
    <row r="27" spans="1:256" x14ac:dyDescent="0.3">
      <c r="A27" s="579" t="s">
        <v>1419</v>
      </c>
      <c r="B27" s="583">
        <v>0</v>
      </c>
      <c r="C27" s="584">
        <v>0</v>
      </c>
      <c r="D27" s="584">
        <v>0</v>
      </c>
      <c r="E27" s="584">
        <v>0</v>
      </c>
      <c r="F27" s="584">
        <v>0</v>
      </c>
      <c r="G27" s="584">
        <v>0</v>
      </c>
      <c r="H27" s="584">
        <v>0</v>
      </c>
      <c r="I27" s="584">
        <v>0</v>
      </c>
      <c r="J27" s="584">
        <v>0</v>
      </c>
      <c r="K27" s="584">
        <v>0</v>
      </c>
      <c r="L27" s="584">
        <v>0</v>
      </c>
      <c r="M27" s="584">
        <v>0</v>
      </c>
      <c r="N27" s="584">
        <v>0</v>
      </c>
      <c r="O27" s="584">
        <v>0</v>
      </c>
      <c r="P27" s="584">
        <v>0</v>
      </c>
      <c r="Q27" s="584">
        <v>0</v>
      </c>
      <c r="R27" s="584">
        <v>0</v>
      </c>
      <c r="S27" s="584">
        <v>0</v>
      </c>
      <c r="T27" s="584">
        <v>0</v>
      </c>
      <c r="U27" s="584">
        <v>0</v>
      </c>
      <c r="V27" s="584">
        <v>0</v>
      </c>
    </row>
    <row r="28" spans="1:256" x14ac:dyDescent="0.3">
      <c r="A28" s="585" t="s">
        <v>238</v>
      </c>
      <c r="B28" s="586">
        <f t="shared" ref="B28:V28" si="13">+B27+B26</f>
        <v>18700</v>
      </c>
      <c r="C28" s="587">
        <f t="shared" si="13"/>
        <v>17700</v>
      </c>
      <c r="D28" s="587">
        <f t="shared" si="13"/>
        <v>16700</v>
      </c>
      <c r="E28" s="587">
        <f t="shared" si="13"/>
        <v>15700</v>
      </c>
      <c r="F28" s="587">
        <f t="shared" si="13"/>
        <v>14700</v>
      </c>
      <c r="G28" s="587">
        <f t="shared" si="13"/>
        <v>13700</v>
      </c>
      <c r="H28" s="587">
        <f t="shared" si="13"/>
        <v>12700</v>
      </c>
      <c r="I28" s="587">
        <f t="shared" si="13"/>
        <v>11700</v>
      </c>
      <c r="J28" s="587">
        <f t="shared" si="13"/>
        <v>10700</v>
      </c>
      <c r="K28" s="587">
        <f t="shared" si="13"/>
        <v>9700</v>
      </c>
      <c r="L28" s="587">
        <f t="shared" si="13"/>
        <v>8700</v>
      </c>
      <c r="M28" s="587">
        <f t="shared" si="13"/>
        <v>7700</v>
      </c>
      <c r="N28" s="587">
        <f t="shared" si="13"/>
        <v>6700</v>
      </c>
      <c r="O28" s="587">
        <f t="shared" si="13"/>
        <v>5700</v>
      </c>
      <c r="P28" s="587">
        <f t="shared" si="13"/>
        <v>4700</v>
      </c>
      <c r="Q28" s="587">
        <f t="shared" si="13"/>
        <v>3700</v>
      </c>
      <c r="R28" s="587">
        <f t="shared" si="13"/>
        <v>3700</v>
      </c>
      <c r="S28" s="587">
        <f t="shared" si="13"/>
        <v>3700</v>
      </c>
      <c r="T28" s="587">
        <f t="shared" si="13"/>
        <v>3700</v>
      </c>
      <c r="U28" s="587">
        <f t="shared" si="13"/>
        <v>3700</v>
      </c>
      <c r="V28" s="587">
        <f t="shared" si="13"/>
        <v>3700</v>
      </c>
    </row>
    <row r="29" spans="1:256" x14ac:dyDescent="0.3">
      <c r="A29" s="579" t="s">
        <v>1378</v>
      </c>
      <c r="B29" s="583">
        <v>0</v>
      </c>
      <c r="C29" s="584">
        <f t="shared" ref="C29:V29" si="14">+B29+C18</f>
        <v>-401.5</v>
      </c>
      <c r="D29" s="584">
        <f t="shared" si="14"/>
        <v>268.97500000000002</v>
      </c>
      <c r="E29" s="584">
        <f t="shared" si="14"/>
        <v>1358.6999999999998</v>
      </c>
      <c r="F29" s="584">
        <f t="shared" si="14"/>
        <v>2534.2249999999999</v>
      </c>
      <c r="G29" s="584">
        <f t="shared" si="14"/>
        <v>3798.15</v>
      </c>
      <c r="H29" s="584">
        <f t="shared" si="14"/>
        <v>5147.2250000000004</v>
      </c>
      <c r="I29" s="584">
        <f t="shared" si="14"/>
        <v>6496.3</v>
      </c>
      <c r="J29" s="584">
        <f t="shared" si="14"/>
        <v>7845.375</v>
      </c>
      <c r="K29" s="584">
        <f t="shared" si="14"/>
        <v>9194.4500000000007</v>
      </c>
      <c r="L29" s="584">
        <f t="shared" si="14"/>
        <v>10543.525000000001</v>
      </c>
      <c r="M29" s="584">
        <f t="shared" si="14"/>
        <v>12196.475000000002</v>
      </c>
      <c r="N29" s="584">
        <f t="shared" si="14"/>
        <v>13849.425000000003</v>
      </c>
      <c r="O29" s="584">
        <f t="shared" si="14"/>
        <v>15502.375000000004</v>
      </c>
      <c r="P29" s="584">
        <f t="shared" si="14"/>
        <v>17155.325000000004</v>
      </c>
      <c r="Q29" s="584">
        <f t="shared" si="14"/>
        <v>18808.275000000005</v>
      </c>
      <c r="R29" s="584">
        <f t="shared" si="14"/>
        <v>21111.225000000006</v>
      </c>
      <c r="S29" s="584">
        <f t="shared" si="14"/>
        <v>23414.175000000007</v>
      </c>
      <c r="T29" s="584">
        <f t="shared" si="14"/>
        <v>25717.125000000007</v>
      </c>
      <c r="U29" s="584">
        <f t="shared" si="14"/>
        <v>28020.075000000008</v>
      </c>
      <c r="V29" s="584">
        <f t="shared" si="14"/>
        <v>30323.025000000009</v>
      </c>
    </row>
    <row r="30" spans="1:256" x14ac:dyDescent="0.3">
      <c r="A30" s="579" t="s">
        <v>1730</v>
      </c>
      <c r="B30" s="583">
        <f>+B26</f>
        <v>18700</v>
      </c>
      <c r="C30" s="584">
        <f t="shared" ref="C30:V30" si="15">+B30+C46</f>
        <v>18101.5</v>
      </c>
      <c r="D30" s="584">
        <f t="shared" si="15"/>
        <v>16431.025000000001</v>
      </c>
      <c r="E30" s="584">
        <f t="shared" si="15"/>
        <v>14341.300000000001</v>
      </c>
      <c r="F30" s="584">
        <f t="shared" si="15"/>
        <v>12165.775000000001</v>
      </c>
      <c r="G30" s="584">
        <f t="shared" si="15"/>
        <v>9901.8500000000022</v>
      </c>
      <c r="H30" s="584">
        <f t="shared" si="15"/>
        <v>7552.7750000000024</v>
      </c>
      <c r="I30" s="584">
        <f t="shared" si="15"/>
        <v>5203.7000000000025</v>
      </c>
      <c r="J30" s="584">
        <f t="shared" si="15"/>
        <v>2854.6250000000027</v>
      </c>
      <c r="K30" s="584">
        <f t="shared" si="15"/>
        <v>505.55000000000291</v>
      </c>
      <c r="L30" s="584">
        <f t="shared" si="15"/>
        <v>-1843.5249999999969</v>
      </c>
      <c r="M30" s="584">
        <f t="shared" si="15"/>
        <v>-4496.4749999999967</v>
      </c>
      <c r="N30" s="584">
        <f t="shared" si="15"/>
        <v>-7149.4249999999965</v>
      </c>
      <c r="O30" s="584">
        <f t="shared" si="15"/>
        <v>-9802.3749999999964</v>
      </c>
      <c r="P30" s="584">
        <f t="shared" si="15"/>
        <v>-12455.324999999997</v>
      </c>
      <c r="Q30" s="584">
        <f t="shared" si="15"/>
        <v>-15108.274999999998</v>
      </c>
      <c r="R30" s="584">
        <f t="shared" si="15"/>
        <v>-17411.224999999999</v>
      </c>
      <c r="S30" s="584">
        <f t="shared" si="15"/>
        <v>-19714.174999999999</v>
      </c>
      <c r="T30" s="584">
        <f t="shared" si="15"/>
        <v>-22017.125</v>
      </c>
      <c r="U30" s="584">
        <f t="shared" si="15"/>
        <v>-24320.075000000001</v>
      </c>
      <c r="V30" s="584">
        <f t="shared" si="15"/>
        <v>-26623.025000000001</v>
      </c>
    </row>
    <row r="31" spans="1:256" x14ac:dyDescent="0.3">
      <c r="A31" s="585" t="s">
        <v>1731</v>
      </c>
      <c r="B31" s="586">
        <f t="shared" ref="B31:V31" si="16">+B30+B29</f>
        <v>18700</v>
      </c>
      <c r="C31" s="587">
        <f t="shared" si="16"/>
        <v>17700</v>
      </c>
      <c r="D31" s="587">
        <f t="shared" si="16"/>
        <v>16700</v>
      </c>
      <c r="E31" s="587">
        <f t="shared" si="16"/>
        <v>15700</v>
      </c>
      <c r="F31" s="587">
        <f t="shared" si="16"/>
        <v>14700.000000000002</v>
      </c>
      <c r="G31" s="587">
        <f t="shared" si="16"/>
        <v>13700.000000000002</v>
      </c>
      <c r="H31" s="587">
        <f t="shared" si="16"/>
        <v>12700.000000000004</v>
      </c>
      <c r="I31" s="587">
        <f t="shared" si="16"/>
        <v>11700.000000000004</v>
      </c>
      <c r="J31" s="587">
        <f t="shared" si="16"/>
        <v>10700.000000000004</v>
      </c>
      <c r="K31" s="587">
        <f t="shared" si="16"/>
        <v>9700.0000000000036</v>
      </c>
      <c r="L31" s="587">
        <f t="shared" si="16"/>
        <v>8700.0000000000036</v>
      </c>
      <c r="M31" s="587">
        <f t="shared" si="16"/>
        <v>7700.0000000000055</v>
      </c>
      <c r="N31" s="587">
        <f t="shared" si="16"/>
        <v>6700.0000000000064</v>
      </c>
      <c r="O31" s="587">
        <f t="shared" si="16"/>
        <v>5700.0000000000073</v>
      </c>
      <c r="P31" s="587">
        <f t="shared" si="16"/>
        <v>4700.0000000000073</v>
      </c>
      <c r="Q31" s="587">
        <f t="shared" si="16"/>
        <v>3700.0000000000073</v>
      </c>
      <c r="R31" s="587">
        <f t="shared" si="16"/>
        <v>3700.0000000000073</v>
      </c>
      <c r="S31" s="587">
        <f t="shared" si="16"/>
        <v>3700.0000000000073</v>
      </c>
      <c r="T31" s="587">
        <f t="shared" si="16"/>
        <v>3700.0000000000073</v>
      </c>
      <c r="U31" s="587">
        <f t="shared" si="16"/>
        <v>3700.0000000000073</v>
      </c>
      <c r="V31" s="587">
        <f t="shared" si="16"/>
        <v>3700.0000000000073</v>
      </c>
      <c r="IV31" s="579">
        <f>+IV30+IV29</f>
        <v>0</v>
      </c>
    </row>
    <row r="37" spans="1:22" x14ac:dyDescent="0.3">
      <c r="A37" s="579" t="s">
        <v>1732</v>
      </c>
      <c r="B37" s="580" t="str">
        <f t="shared" ref="B37:V37" si="17">B6</f>
        <v>N</v>
      </c>
      <c r="C37" s="580" t="str">
        <f t="shared" si="17"/>
        <v>N+1</v>
      </c>
      <c r="D37" s="580" t="str">
        <f t="shared" si="17"/>
        <v>N+2</v>
      </c>
      <c r="E37" s="580" t="str">
        <f t="shared" si="17"/>
        <v>N+3</v>
      </c>
      <c r="F37" s="580" t="str">
        <f t="shared" si="17"/>
        <v>N+4</v>
      </c>
      <c r="G37" s="580" t="str">
        <f t="shared" si="17"/>
        <v>N+5</v>
      </c>
      <c r="H37" s="580" t="str">
        <f t="shared" si="17"/>
        <v>N+6</v>
      </c>
      <c r="I37" s="580" t="str">
        <f t="shared" si="17"/>
        <v>N+7</v>
      </c>
      <c r="J37" s="580" t="str">
        <f t="shared" si="17"/>
        <v>N+8</v>
      </c>
      <c r="K37" s="580" t="str">
        <f t="shared" si="17"/>
        <v>N+9</v>
      </c>
      <c r="L37" s="580" t="str">
        <f t="shared" si="17"/>
        <v>N+10</v>
      </c>
      <c r="M37" s="580" t="str">
        <f t="shared" si="17"/>
        <v>N+11</v>
      </c>
      <c r="N37" s="580" t="str">
        <f t="shared" si="17"/>
        <v>N+12</v>
      </c>
      <c r="O37" s="580" t="str">
        <f t="shared" si="17"/>
        <v>N+13</v>
      </c>
      <c r="P37" s="580" t="str">
        <f t="shared" si="17"/>
        <v>N+14</v>
      </c>
      <c r="Q37" s="580" t="str">
        <f t="shared" si="17"/>
        <v>N+15</v>
      </c>
      <c r="R37" s="580" t="str">
        <f t="shared" si="17"/>
        <v>N+16</v>
      </c>
      <c r="S37" s="580" t="str">
        <f t="shared" si="17"/>
        <v>N+17</v>
      </c>
      <c r="T37" s="580" t="str">
        <f t="shared" si="17"/>
        <v>N+18</v>
      </c>
      <c r="U37" s="580" t="str">
        <f t="shared" si="17"/>
        <v>N+19</v>
      </c>
      <c r="V37" s="580" t="str">
        <f t="shared" si="17"/>
        <v>N+20</v>
      </c>
    </row>
    <row r="39" spans="1:22" x14ac:dyDescent="0.3">
      <c r="A39" s="579" t="s">
        <v>1221</v>
      </c>
      <c r="B39" s="581">
        <v>0</v>
      </c>
      <c r="C39" s="582">
        <f t="shared" ref="C39:V39" si="18">+C18</f>
        <v>-401.5</v>
      </c>
      <c r="D39" s="582">
        <f t="shared" si="18"/>
        <v>670.47500000000002</v>
      </c>
      <c r="E39" s="582">
        <f t="shared" si="18"/>
        <v>1089.7249999999999</v>
      </c>
      <c r="F39" s="582">
        <f t="shared" si="18"/>
        <v>1175.5250000000001</v>
      </c>
      <c r="G39" s="582">
        <f t="shared" si="18"/>
        <v>1263.9250000000002</v>
      </c>
      <c r="H39" s="582">
        <f t="shared" si="18"/>
        <v>1349.075</v>
      </c>
      <c r="I39" s="582">
        <f t="shared" si="18"/>
        <v>1349.075</v>
      </c>
      <c r="J39" s="582">
        <f t="shared" si="18"/>
        <v>1349.075</v>
      </c>
      <c r="K39" s="582">
        <f t="shared" si="18"/>
        <v>1349.075</v>
      </c>
      <c r="L39" s="582">
        <f t="shared" si="18"/>
        <v>1349.075</v>
      </c>
      <c r="M39" s="582">
        <f t="shared" si="18"/>
        <v>1652.95</v>
      </c>
      <c r="N39" s="582">
        <f t="shared" si="18"/>
        <v>1652.95</v>
      </c>
      <c r="O39" s="582">
        <f t="shared" si="18"/>
        <v>1652.95</v>
      </c>
      <c r="P39" s="582">
        <f t="shared" si="18"/>
        <v>1652.95</v>
      </c>
      <c r="Q39" s="582">
        <f t="shared" si="18"/>
        <v>1652.95</v>
      </c>
      <c r="R39" s="582">
        <f t="shared" si="18"/>
        <v>2302.9499999999998</v>
      </c>
      <c r="S39" s="582">
        <f t="shared" si="18"/>
        <v>2302.9499999999998</v>
      </c>
      <c r="T39" s="582">
        <f t="shared" si="18"/>
        <v>2302.9499999999998</v>
      </c>
      <c r="U39" s="582">
        <f t="shared" si="18"/>
        <v>2302.9499999999998</v>
      </c>
      <c r="V39" s="582">
        <f t="shared" si="18"/>
        <v>2302.9499999999998</v>
      </c>
    </row>
    <row r="40" spans="1:22" x14ac:dyDescent="0.3">
      <c r="A40" s="579" t="s">
        <v>1156</v>
      </c>
      <c r="B40" s="583">
        <v>0</v>
      </c>
      <c r="C40" s="584">
        <f t="shared" ref="C40:V40" si="19">-C14</f>
        <v>1000</v>
      </c>
      <c r="D40" s="584">
        <f t="shared" si="19"/>
        <v>1000</v>
      </c>
      <c r="E40" s="584">
        <f t="shared" si="19"/>
        <v>1000</v>
      </c>
      <c r="F40" s="584">
        <f t="shared" si="19"/>
        <v>1000</v>
      </c>
      <c r="G40" s="584">
        <f t="shared" si="19"/>
        <v>1000</v>
      </c>
      <c r="H40" s="584">
        <f t="shared" si="19"/>
        <v>1000</v>
      </c>
      <c r="I40" s="584">
        <f t="shared" si="19"/>
        <v>1000</v>
      </c>
      <c r="J40" s="584">
        <f t="shared" si="19"/>
        <v>1000</v>
      </c>
      <c r="K40" s="584">
        <f t="shared" si="19"/>
        <v>1000</v>
      </c>
      <c r="L40" s="584">
        <f t="shared" si="19"/>
        <v>1000</v>
      </c>
      <c r="M40" s="584">
        <f t="shared" si="19"/>
        <v>1000</v>
      </c>
      <c r="N40" s="584">
        <f t="shared" si="19"/>
        <v>1000</v>
      </c>
      <c r="O40" s="584">
        <f t="shared" si="19"/>
        <v>1000</v>
      </c>
      <c r="P40" s="584">
        <f t="shared" si="19"/>
        <v>1000</v>
      </c>
      <c r="Q40" s="584">
        <f t="shared" si="19"/>
        <v>1000</v>
      </c>
      <c r="R40" s="584">
        <f t="shared" si="19"/>
        <v>0</v>
      </c>
      <c r="S40" s="584">
        <f t="shared" si="19"/>
        <v>0</v>
      </c>
      <c r="T40" s="584">
        <f t="shared" si="19"/>
        <v>0</v>
      </c>
      <c r="U40" s="584">
        <f t="shared" si="19"/>
        <v>0</v>
      </c>
      <c r="V40" s="584">
        <f t="shared" si="19"/>
        <v>0</v>
      </c>
    </row>
    <row r="41" spans="1:22" x14ac:dyDescent="0.3">
      <c r="A41" s="585" t="s">
        <v>1347</v>
      </c>
      <c r="B41" s="586">
        <v>0</v>
      </c>
      <c r="C41" s="587">
        <f t="shared" ref="C41:V41" si="20">+C40+C39</f>
        <v>598.5</v>
      </c>
      <c r="D41" s="587">
        <f t="shared" si="20"/>
        <v>1670.4749999999999</v>
      </c>
      <c r="E41" s="587">
        <f t="shared" si="20"/>
        <v>2089.7249999999999</v>
      </c>
      <c r="F41" s="587">
        <f t="shared" si="20"/>
        <v>2175.5250000000001</v>
      </c>
      <c r="G41" s="587">
        <f t="shared" si="20"/>
        <v>2263.9250000000002</v>
      </c>
      <c r="H41" s="587">
        <f t="shared" si="20"/>
        <v>2349.0749999999998</v>
      </c>
      <c r="I41" s="587">
        <f t="shared" si="20"/>
        <v>2349.0749999999998</v>
      </c>
      <c r="J41" s="587">
        <f t="shared" si="20"/>
        <v>2349.0749999999998</v>
      </c>
      <c r="K41" s="587">
        <f t="shared" si="20"/>
        <v>2349.0749999999998</v>
      </c>
      <c r="L41" s="587">
        <f t="shared" si="20"/>
        <v>2349.0749999999998</v>
      </c>
      <c r="M41" s="587">
        <f t="shared" si="20"/>
        <v>2652.95</v>
      </c>
      <c r="N41" s="587">
        <f t="shared" si="20"/>
        <v>2652.95</v>
      </c>
      <c r="O41" s="587">
        <f t="shared" si="20"/>
        <v>2652.95</v>
      </c>
      <c r="P41" s="587">
        <f t="shared" si="20"/>
        <v>2652.95</v>
      </c>
      <c r="Q41" s="587">
        <f t="shared" si="20"/>
        <v>2652.95</v>
      </c>
      <c r="R41" s="587">
        <f t="shared" si="20"/>
        <v>2302.9499999999998</v>
      </c>
      <c r="S41" s="587">
        <f t="shared" si="20"/>
        <v>2302.9499999999998</v>
      </c>
      <c r="T41" s="587">
        <f t="shared" si="20"/>
        <v>2302.9499999999998</v>
      </c>
      <c r="U41" s="587">
        <f t="shared" si="20"/>
        <v>2302.9499999999998</v>
      </c>
      <c r="V41" s="587">
        <f t="shared" si="20"/>
        <v>2302.9499999999998</v>
      </c>
    </row>
    <row r="42" spans="1:22" x14ac:dyDescent="0.3">
      <c r="A42" s="579" t="s">
        <v>1733</v>
      </c>
      <c r="B42" s="583">
        <v>0</v>
      </c>
      <c r="C42" s="584">
        <f t="shared" ref="C42:V42" si="21">+B27-C27</f>
        <v>0</v>
      </c>
      <c r="D42" s="584">
        <f t="shared" si="21"/>
        <v>0</v>
      </c>
      <c r="E42" s="584">
        <f t="shared" si="21"/>
        <v>0</v>
      </c>
      <c r="F42" s="584">
        <f t="shared" si="21"/>
        <v>0</v>
      </c>
      <c r="G42" s="584">
        <f t="shared" si="21"/>
        <v>0</v>
      </c>
      <c r="H42" s="584">
        <f t="shared" si="21"/>
        <v>0</v>
      </c>
      <c r="I42" s="584">
        <f t="shared" si="21"/>
        <v>0</v>
      </c>
      <c r="J42" s="584">
        <f t="shared" si="21"/>
        <v>0</v>
      </c>
      <c r="K42" s="584">
        <f t="shared" si="21"/>
        <v>0</v>
      </c>
      <c r="L42" s="584">
        <f t="shared" si="21"/>
        <v>0</v>
      </c>
      <c r="M42" s="584">
        <f t="shared" si="21"/>
        <v>0</v>
      </c>
      <c r="N42" s="584">
        <f t="shared" si="21"/>
        <v>0</v>
      </c>
      <c r="O42" s="584">
        <f t="shared" si="21"/>
        <v>0</v>
      </c>
      <c r="P42" s="584">
        <f t="shared" si="21"/>
        <v>0</v>
      </c>
      <c r="Q42" s="584">
        <f t="shared" si="21"/>
        <v>0</v>
      </c>
      <c r="R42" s="584">
        <f t="shared" si="21"/>
        <v>0</v>
      </c>
      <c r="S42" s="584">
        <f t="shared" si="21"/>
        <v>0</v>
      </c>
      <c r="T42" s="584">
        <f t="shared" si="21"/>
        <v>0</v>
      </c>
      <c r="U42" s="584">
        <f t="shared" si="21"/>
        <v>0</v>
      </c>
      <c r="V42" s="584">
        <f t="shared" si="21"/>
        <v>0</v>
      </c>
    </row>
    <row r="43" spans="1:22" x14ac:dyDescent="0.3">
      <c r="A43" s="585" t="s">
        <v>1734</v>
      </c>
      <c r="B43" s="586">
        <v>0</v>
      </c>
      <c r="C43" s="587">
        <f t="shared" ref="C43:V43" si="22">+SUM(C41:C42)</f>
        <v>598.5</v>
      </c>
      <c r="D43" s="587">
        <f t="shared" si="22"/>
        <v>1670.4749999999999</v>
      </c>
      <c r="E43" s="587">
        <f t="shared" si="22"/>
        <v>2089.7249999999999</v>
      </c>
      <c r="F43" s="587">
        <f t="shared" si="22"/>
        <v>2175.5250000000001</v>
      </c>
      <c r="G43" s="587">
        <f t="shared" si="22"/>
        <v>2263.9250000000002</v>
      </c>
      <c r="H43" s="587">
        <f t="shared" si="22"/>
        <v>2349.0749999999998</v>
      </c>
      <c r="I43" s="587">
        <f t="shared" si="22"/>
        <v>2349.0749999999998</v>
      </c>
      <c r="J43" s="587">
        <f t="shared" si="22"/>
        <v>2349.0749999999998</v>
      </c>
      <c r="K43" s="587">
        <f t="shared" si="22"/>
        <v>2349.0749999999998</v>
      </c>
      <c r="L43" s="587">
        <f t="shared" si="22"/>
        <v>2349.0749999999998</v>
      </c>
      <c r="M43" s="587">
        <f t="shared" si="22"/>
        <v>2652.95</v>
      </c>
      <c r="N43" s="587">
        <f t="shared" si="22"/>
        <v>2652.95</v>
      </c>
      <c r="O43" s="587">
        <f t="shared" si="22"/>
        <v>2652.95</v>
      </c>
      <c r="P43" s="587">
        <f t="shared" si="22"/>
        <v>2652.95</v>
      </c>
      <c r="Q43" s="587">
        <f t="shared" si="22"/>
        <v>2652.95</v>
      </c>
      <c r="R43" s="587">
        <f t="shared" si="22"/>
        <v>2302.9499999999998</v>
      </c>
      <c r="S43" s="587">
        <f t="shared" si="22"/>
        <v>2302.9499999999998</v>
      </c>
      <c r="T43" s="587">
        <f t="shared" si="22"/>
        <v>2302.9499999999998</v>
      </c>
      <c r="U43" s="587">
        <f t="shared" si="22"/>
        <v>2302.9499999999998</v>
      </c>
      <c r="V43" s="587">
        <f t="shared" si="22"/>
        <v>2302.9499999999998</v>
      </c>
    </row>
    <row r="44" spans="1:22" x14ac:dyDescent="0.3">
      <c r="A44" s="579" t="s">
        <v>1735</v>
      </c>
      <c r="B44" s="583">
        <f>-B26</f>
        <v>-18700</v>
      </c>
      <c r="C44" s="584">
        <v>0</v>
      </c>
      <c r="D44" s="584">
        <v>0</v>
      </c>
      <c r="E44" s="584">
        <v>0</v>
      </c>
      <c r="F44" s="584">
        <v>0</v>
      </c>
      <c r="G44" s="584">
        <v>0</v>
      </c>
      <c r="H44" s="584">
        <v>0</v>
      </c>
      <c r="I44" s="584">
        <v>0</v>
      </c>
      <c r="J44" s="584">
        <v>0</v>
      </c>
      <c r="K44" s="584">
        <v>0</v>
      </c>
      <c r="L44" s="584">
        <v>0</v>
      </c>
      <c r="M44" s="584">
        <v>0</v>
      </c>
      <c r="N44" s="584">
        <v>0</v>
      </c>
      <c r="O44" s="584">
        <v>0</v>
      </c>
      <c r="P44" s="584">
        <v>0</v>
      </c>
      <c r="Q44" s="584">
        <v>0</v>
      </c>
      <c r="R44" s="584">
        <v>0</v>
      </c>
      <c r="S44" s="584">
        <v>0</v>
      </c>
      <c r="T44" s="584">
        <v>0</v>
      </c>
      <c r="U44" s="584">
        <v>0</v>
      </c>
      <c r="V44" s="584">
        <v>0</v>
      </c>
    </row>
    <row r="45" spans="1:22" x14ac:dyDescent="0.3">
      <c r="A45" s="585" t="s">
        <v>253</v>
      </c>
      <c r="B45" s="586">
        <f t="shared" ref="B45:V45" si="23">+B43+B44</f>
        <v>-18700</v>
      </c>
      <c r="C45" s="587">
        <f t="shared" si="23"/>
        <v>598.5</v>
      </c>
      <c r="D45" s="587">
        <f t="shared" si="23"/>
        <v>1670.4749999999999</v>
      </c>
      <c r="E45" s="587">
        <f t="shared" si="23"/>
        <v>2089.7249999999999</v>
      </c>
      <c r="F45" s="587">
        <f t="shared" si="23"/>
        <v>2175.5250000000001</v>
      </c>
      <c r="G45" s="587">
        <f t="shared" si="23"/>
        <v>2263.9250000000002</v>
      </c>
      <c r="H45" s="587">
        <f t="shared" si="23"/>
        <v>2349.0749999999998</v>
      </c>
      <c r="I45" s="587">
        <f t="shared" si="23"/>
        <v>2349.0749999999998</v>
      </c>
      <c r="J45" s="587">
        <f t="shared" si="23"/>
        <v>2349.0749999999998</v>
      </c>
      <c r="K45" s="587">
        <f t="shared" si="23"/>
        <v>2349.0749999999998</v>
      </c>
      <c r="L45" s="587">
        <f t="shared" si="23"/>
        <v>2349.0749999999998</v>
      </c>
      <c r="M45" s="587">
        <f t="shared" si="23"/>
        <v>2652.95</v>
      </c>
      <c r="N45" s="587">
        <f t="shared" si="23"/>
        <v>2652.95</v>
      </c>
      <c r="O45" s="587">
        <f t="shared" si="23"/>
        <v>2652.95</v>
      </c>
      <c r="P45" s="587">
        <f t="shared" si="23"/>
        <v>2652.95</v>
      </c>
      <c r="Q45" s="587">
        <f t="shared" si="23"/>
        <v>2652.95</v>
      </c>
      <c r="R45" s="587">
        <f t="shared" si="23"/>
        <v>2302.9499999999998</v>
      </c>
      <c r="S45" s="587">
        <f t="shared" si="23"/>
        <v>2302.9499999999998</v>
      </c>
      <c r="T45" s="587">
        <f t="shared" si="23"/>
        <v>2302.9499999999998</v>
      </c>
      <c r="U45" s="587">
        <f t="shared" si="23"/>
        <v>2302.9499999999998</v>
      </c>
      <c r="V45" s="587">
        <f t="shared" si="23"/>
        <v>2302.9499999999998</v>
      </c>
    </row>
    <row r="46" spans="1:22" x14ac:dyDescent="0.3">
      <c r="A46" s="588" t="s">
        <v>1736</v>
      </c>
      <c r="B46" s="586">
        <f t="shared" ref="B46:V46" si="24">-B45</f>
        <v>18700</v>
      </c>
      <c r="C46" s="587">
        <f t="shared" si="24"/>
        <v>-598.5</v>
      </c>
      <c r="D46" s="587">
        <f t="shared" si="24"/>
        <v>-1670.4749999999999</v>
      </c>
      <c r="E46" s="587">
        <f t="shared" si="24"/>
        <v>-2089.7249999999999</v>
      </c>
      <c r="F46" s="587">
        <f t="shared" si="24"/>
        <v>-2175.5250000000001</v>
      </c>
      <c r="G46" s="587">
        <f t="shared" si="24"/>
        <v>-2263.9250000000002</v>
      </c>
      <c r="H46" s="587">
        <f t="shared" si="24"/>
        <v>-2349.0749999999998</v>
      </c>
      <c r="I46" s="587">
        <f t="shared" si="24"/>
        <v>-2349.0749999999998</v>
      </c>
      <c r="J46" s="587">
        <f t="shared" si="24"/>
        <v>-2349.0749999999998</v>
      </c>
      <c r="K46" s="587">
        <f t="shared" si="24"/>
        <v>-2349.0749999999998</v>
      </c>
      <c r="L46" s="587">
        <f t="shared" si="24"/>
        <v>-2349.0749999999998</v>
      </c>
      <c r="M46" s="587">
        <f t="shared" si="24"/>
        <v>-2652.95</v>
      </c>
      <c r="N46" s="587">
        <f t="shared" si="24"/>
        <v>-2652.95</v>
      </c>
      <c r="O46" s="587">
        <f t="shared" si="24"/>
        <v>-2652.95</v>
      </c>
      <c r="P46" s="587">
        <f t="shared" si="24"/>
        <v>-2652.95</v>
      </c>
      <c r="Q46" s="587">
        <f t="shared" si="24"/>
        <v>-2652.95</v>
      </c>
      <c r="R46" s="587">
        <f t="shared" si="24"/>
        <v>-2302.9499999999998</v>
      </c>
      <c r="S46" s="587">
        <f t="shared" si="24"/>
        <v>-2302.9499999999998</v>
      </c>
      <c r="T46" s="587">
        <f t="shared" si="24"/>
        <v>-2302.9499999999998</v>
      </c>
      <c r="U46" s="587">
        <f t="shared" si="24"/>
        <v>-2302.9499999999998</v>
      </c>
      <c r="V46" s="587">
        <f t="shared" si="24"/>
        <v>-2302.9499999999998</v>
      </c>
    </row>
    <row r="48" spans="1:22" ht="5.25" customHeight="1" x14ac:dyDescent="0.3">
      <c r="D48" s="589"/>
    </row>
    <row r="49" spans="1:22" ht="5.25" customHeight="1" x14ac:dyDescent="0.3"/>
    <row r="50" spans="1:22" x14ac:dyDescent="0.3">
      <c r="A50" s="579" t="s">
        <v>1737</v>
      </c>
      <c r="D50" s="589"/>
    </row>
    <row r="51" spans="1:22" x14ac:dyDescent="0.3">
      <c r="A51" s="579" t="s">
        <v>1738</v>
      </c>
      <c r="B51" s="575">
        <v>2.5000000000000001E-2</v>
      </c>
    </row>
    <row r="52" spans="1:22" x14ac:dyDescent="0.3">
      <c r="D52" s="589"/>
    </row>
    <row r="54" spans="1:22" x14ac:dyDescent="0.3">
      <c r="A54" s="579" t="s">
        <v>1739</v>
      </c>
      <c r="D54" s="589"/>
    </row>
    <row r="57" spans="1:22" x14ac:dyDescent="0.3">
      <c r="A57" s="579" t="s">
        <v>253</v>
      </c>
      <c r="B57" s="590">
        <f t="shared" ref="B57:U57" si="25">B15*(1-$B$20)+B44+B40+B42</f>
        <v>-18700</v>
      </c>
      <c r="C57" s="590">
        <f t="shared" si="25"/>
        <v>1042.9000000000001</v>
      </c>
      <c r="D57" s="590">
        <f t="shared" si="25"/>
        <v>1974.35</v>
      </c>
      <c r="E57" s="590">
        <f t="shared" si="25"/>
        <v>2393.6000000000004</v>
      </c>
      <c r="F57" s="590">
        <f t="shared" si="25"/>
        <v>2479.4</v>
      </c>
      <c r="G57" s="590">
        <f t="shared" si="25"/>
        <v>2567.8000000000002</v>
      </c>
      <c r="H57" s="590">
        <f t="shared" si="25"/>
        <v>2652.95</v>
      </c>
      <c r="I57" s="590">
        <f t="shared" si="25"/>
        <v>2652.95</v>
      </c>
      <c r="J57" s="590">
        <f t="shared" si="25"/>
        <v>2652.95</v>
      </c>
      <c r="K57" s="590">
        <f t="shared" si="25"/>
        <v>2652.95</v>
      </c>
      <c r="L57" s="590">
        <f t="shared" si="25"/>
        <v>2652.95</v>
      </c>
      <c r="M57" s="590">
        <f t="shared" si="25"/>
        <v>2652.95</v>
      </c>
      <c r="N57" s="590">
        <f t="shared" si="25"/>
        <v>2652.95</v>
      </c>
      <c r="O57" s="590">
        <f t="shared" si="25"/>
        <v>2652.95</v>
      </c>
      <c r="P57" s="590">
        <f t="shared" si="25"/>
        <v>2652.95</v>
      </c>
      <c r="Q57" s="590">
        <f t="shared" si="25"/>
        <v>2652.95</v>
      </c>
      <c r="R57" s="590">
        <f t="shared" si="25"/>
        <v>2302.9500000000003</v>
      </c>
      <c r="S57" s="590">
        <f t="shared" si="25"/>
        <v>2302.9500000000003</v>
      </c>
      <c r="T57" s="590">
        <f t="shared" si="25"/>
        <v>2302.9500000000003</v>
      </c>
      <c r="U57" s="590">
        <f t="shared" si="25"/>
        <v>2302.9500000000003</v>
      </c>
      <c r="V57" s="590">
        <f>V15*(1-$B$20)+V44+V40+V42+V26</f>
        <v>6002.9500000000007</v>
      </c>
    </row>
    <row r="58" spans="1:22" x14ac:dyDescent="0.3">
      <c r="A58" s="579" t="s">
        <v>730</v>
      </c>
      <c r="B58" s="591">
        <v>7.0000000000000007E-2</v>
      </c>
      <c r="D58" s="589"/>
    </row>
    <row r="59" spans="1:22" x14ac:dyDescent="0.3">
      <c r="A59" s="579" t="s">
        <v>519</v>
      </c>
      <c r="B59" s="590">
        <f>NPV(B58,B57:V57)</f>
        <v>6859.0206356364461</v>
      </c>
    </row>
    <row r="60" spans="1:22" x14ac:dyDescent="0.3">
      <c r="B60" s="591"/>
      <c r="D60" s="589"/>
    </row>
    <row r="63" spans="1:22" x14ac:dyDescent="0.3">
      <c r="A63" s="579" t="s">
        <v>1740</v>
      </c>
      <c r="B63" s="592">
        <f>B46-18700</f>
        <v>0</v>
      </c>
      <c r="C63" s="592">
        <f>-C46</f>
        <v>598.5</v>
      </c>
      <c r="D63" s="592">
        <f t="shared" ref="D63:U63" si="26">-D46</f>
        <v>1670.4749999999999</v>
      </c>
      <c r="E63" s="592">
        <f t="shared" si="26"/>
        <v>2089.7249999999999</v>
      </c>
      <c r="F63" s="592">
        <f t="shared" si="26"/>
        <v>2175.5250000000001</v>
      </c>
      <c r="G63" s="592">
        <f t="shared" si="26"/>
        <v>2263.9250000000002</v>
      </c>
      <c r="H63" s="592">
        <f t="shared" si="26"/>
        <v>2349.0749999999998</v>
      </c>
      <c r="I63" s="592">
        <f t="shared" si="26"/>
        <v>2349.0749999999998</v>
      </c>
      <c r="J63" s="592">
        <f t="shared" si="26"/>
        <v>2349.0749999999998</v>
      </c>
      <c r="K63" s="592">
        <f t="shared" si="26"/>
        <v>2349.0749999999998</v>
      </c>
      <c r="L63" s="592">
        <f t="shared" si="26"/>
        <v>2349.0749999999998</v>
      </c>
      <c r="M63" s="592">
        <f t="shared" si="26"/>
        <v>2652.95</v>
      </c>
      <c r="N63" s="592">
        <f t="shared" si="26"/>
        <v>2652.95</v>
      </c>
      <c r="O63" s="592">
        <f t="shared" si="26"/>
        <v>2652.95</v>
      </c>
      <c r="P63" s="592">
        <f t="shared" si="26"/>
        <v>2652.95</v>
      </c>
      <c r="Q63" s="592">
        <f>-Q46-18700</f>
        <v>-16047.05</v>
      </c>
      <c r="R63" s="592">
        <f t="shared" si="26"/>
        <v>2302.9499999999998</v>
      </c>
      <c r="S63" s="592">
        <f t="shared" si="26"/>
        <v>2302.9499999999998</v>
      </c>
      <c r="T63" s="592">
        <f t="shared" si="26"/>
        <v>2302.9499999999998</v>
      </c>
      <c r="U63" s="592">
        <f t="shared" si="26"/>
        <v>2302.9499999999998</v>
      </c>
      <c r="V63" s="592">
        <f>-V46+V26</f>
        <v>6002.95</v>
      </c>
    </row>
    <row r="64" spans="1:22" x14ac:dyDescent="0.3">
      <c r="A64" s="579" t="s">
        <v>730</v>
      </c>
      <c r="B64" s="591">
        <v>7.0000000000000007E-2</v>
      </c>
    </row>
    <row r="65" spans="1:22" x14ac:dyDescent="0.3">
      <c r="A65" s="579" t="s">
        <v>519</v>
      </c>
      <c r="B65" s="590">
        <f>NPV(B64,B63:V63)</f>
        <v>15883.914856417794</v>
      </c>
    </row>
    <row r="73" spans="1:22" x14ac:dyDescent="0.3">
      <c r="A73" s="619" t="s">
        <v>1741</v>
      </c>
      <c r="B73" s="619"/>
      <c r="C73" s="619"/>
      <c r="D73" s="619"/>
      <c r="E73" s="619"/>
      <c r="F73" s="619"/>
      <c r="G73" s="619"/>
      <c r="H73" s="619"/>
    </row>
    <row r="75" spans="1:22" x14ac:dyDescent="0.3">
      <c r="A75" s="620"/>
      <c r="B75" s="620"/>
      <c r="C75" s="620"/>
      <c r="D75" s="620"/>
      <c r="E75" s="620"/>
      <c r="F75" s="620"/>
      <c r="G75" s="620"/>
      <c r="H75" s="620"/>
      <c r="I75" s="563"/>
      <c r="J75" s="563"/>
      <c r="K75" s="563"/>
      <c r="L75" s="563"/>
      <c r="M75" s="563"/>
      <c r="N75" s="563"/>
      <c r="O75" s="563"/>
      <c r="P75" s="563"/>
      <c r="Q75" s="563"/>
      <c r="R75" s="563"/>
      <c r="S75" s="563"/>
      <c r="T75" s="563"/>
      <c r="U75" s="563"/>
      <c r="V75" s="563"/>
    </row>
    <row r="76" spans="1:22" x14ac:dyDescent="0.3">
      <c r="B76" s="563"/>
      <c r="C76" s="563"/>
      <c r="D76" s="563"/>
      <c r="E76" s="563"/>
      <c r="F76" s="563"/>
      <c r="G76" s="563"/>
      <c r="H76" s="563"/>
      <c r="I76" s="563"/>
      <c r="J76" s="563"/>
      <c r="K76" s="563"/>
      <c r="L76" s="563"/>
      <c r="M76" s="563"/>
      <c r="N76" s="563"/>
      <c r="O76" s="563"/>
      <c r="P76" s="563"/>
      <c r="Q76" s="563"/>
      <c r="R76" s="563"/>
      <c r="S76" s="563"/>
      <c r="T76" s="563"/>
      <c r="U76" s="563"/>
      <c r="V76" s="563"/>
    </row>
    <row r="77" spans="1:22" x14ac:dyDescent="0.3">
      <c r="A77" s="563" t="s">
        <v>1702</v>
      </c>
      <c r="B77" s="563"/>
      <c r="C77" s="563"/>
      <c r="D77" s="563"/>
      <c r="E77" s="563"/>
      <c r="F77" s="563"/>
      <c r="G77" s="563"/>
      <c r="H77" s="565"/>
      <c r="I77" s="565"/>
      <c r="J77" s="565"/>
      <c r="K77" s="565"/>
      <c r="L77" s="565"/>
      <c r="M77" s="565"/>
      <c r="N77" s="565"/>
      <c r="O77" s="565"/>
      <c r="P77" s="565"/>
      <c r="Q77" s="565"/>
      <c r="R77" s="565"/>
      <c r="S77" s="565"/>
      <c r="T77" s="565"/>
      <c r="U77" s="565"/>
      <c r="V77" s="565"/>
    </row>
    <row r="78" spans="1:22" x14ac:dyDescent="0.3">
      <c r="A78" s="563"/>
      <c r="B78" s="563"/>
      <c r="C78" s="563"/>
      <c r="D78" s="563"/>
      <c r="E78" s="563"/>
      <c r="F78" s="563"/>
      <c r="G78" s="563"/>
      <c r="H78" s="563"/>
      <c r="I78" s="563"/>
      <c r="J78" s="563"/>
      <c r="K78" s="563"/>
      <c r="L78" s="563"/>
      <c r="M78" s="563"/>
      <c r="N78" s="563"/>
      <c r="O78" s="563"/>
      <c r="P78" s="563"/>
      <c r="Q78" s="563"/>
      <c r="R78" s="563"/>
      <c r="S78" s="563"/>
      <c r="T78" s="563"/>
      <c r="U78" s="563"/>
      <c r="V78" s="563"/>
    </row>
    <row r="79" spans="1:22" x14ac:dyDescent="0.3">
      <c r="A79" s="563"/>
      <c r="B79" s="565" t="s">
        <v>1703</v>
      </c>
      <c r="C79" s="565" t="s">
        <v>1704</v>
      </c>
      <c r="D79" s="565" t="s">
        <v>1705</v>
      </c>
      <c r="E79" s="565" t="s">
        <v>1706</v>
      </c>
      <c r="F79" s="565" t="s">
        <v>1707</v>
      </c>
      <c r="G79" s="565" t="s">
        <v>1708</v>
      </c>
      <c r="H79" s="565" t="s">
        <v>1709</v>
      </c>
      <c r="I79" s="565" t="s">
        <v>1710</v>
      </c>
      <c r="J79" s="565" t="s">
        <v>1711</v>
      </c>
      <c r="K79" s="565" t="s">
        <v>1712</v>
      </c>
      <c r="L79" s="565" t="s">
        <v>1713</v>
      </c>
      <c r="M79" s="565" t="s">
        <v>1714</v>
      </c>
      <c r="N79" s="565" t="s">
        <v>1715</v>
      </c>
      <c r="O79" s="565" t="s">
        <v>1716</v>
      </c>
      <c r="P79" s="565" t="s">
        <v>1717</v>
      </c>
      <c r="Q79" s="565" t="s">
        <v>1718</v>
      </c>
      <c r="R79" s="565" t="s">
        <v>1719</v>
      </c>
      <c r="S79" s="565" t="s">
        <v>1720</v>
      </c>
      <c r="T79" s="565" t="s">
        <v>1721</v>
      </c>
      <c r="U79" s="565" t="s">
        <v>1722</v>
      </c>
      <c r="V79" s="565" t="s">
        <v>1723</v>
      </c>
    </row>
    <row r="80" spans="1:22" x14ac:dyDescent="0.3">
      <c r="A80" s="563"/>
      <c r="B80" s="563"/>
      <c r="C80" s="563"/>
      <c r="D80" s="563"/>
      <c r="E80" s="563"/>
      <c r="F80" s="563"/>
      <c r="G80" s="563"/>
      <c r="H80" s="563"/>
      <c r="I80" s="563"/>
      <c r="J80" s="563"/>
      <c r="K80" s="563"/>
      <c r="L80" s="563"/>
      <c r="M80" s="563"/>
      <c r="N80" s="563"/>
      <c r="O80" s="563"/>
      <c r="P80" s="563"/>
      <c r="Q80" s="563"/>
      <c r="R80" s="563"/>
      <c r="S80" s="563"/>
      <c r="T80" s="563"/>
      <c r="U80" s="563"/>
      <c r="V80" s="563"/>
    </row>
    <row r="81" spans="1:22" x14ac:dyDescent="0.3">
      <c r="A81" s="563" t="s">
        <v>1360</v>
      </c>
      <c r="B81" s="566">
        <v>0</v>
      </c>
      <c r="C81" s="567">
        <v>3429</v>
      </c>
      <c r="D81" s="567">
        <v>5988</v>
      </c>
      <c r="E81" s="567">
        <v>6800</v>
      </c>
      <c r="F81" s="567">
        <v>7088</v>
      </c>
      <c r="G81" s="567">
        <v>7390</v>
      </c>
      <c r="H81" s="567">
        <v>7635</v>
      </c>
      <c r="I81" s="567">
        <f>H81</f>
        <v>7635</v>
      </c>
      <c r="J81" s="567">
        <f t="shared" ref="J81:V81" si="27">I81</f>
        <v>7635</v>
      </c>
      <c r="K81" s="567">
        <f t="shared" si="27"/>
        <v>7635</v>
      </c>
      <c r="L81" s="567">
        <f t="shared" si="27"/>
        <v>7635</v>
      </c>
      <c r="M81" s="567">
        <f t="shared" si="27"/>
        <v>7635</v>
      </c>
      <c r="N81" s="567">
        <f t="shared" si="27"/>
        <v>7635</v>
      </c>
      <c r="O81" s="567">
        <f t="shared" si="27"/>
        <v>7635</v>
      </c>
      <c r="P81" s="567">
        <f t="shared" si="27"/>
        <v>7635</v>
      </c>
      <c r="Q81" s="567">
        <f t="shared" si="27"/>
        <v>7635</v>
      </c>
      <c r="R81" s="567">
        <f t="shared" si="27"/>
        <v>7635</v>
      </c>
      <c r="S81" s="567">
        <f t="shared" si="27"/>
        <v>7635</v>
      </c>
      <c r="T81" s="567">
        <f t="shared" si="27"/>
        <v>7635</v>
      </c>
      <c r="U81" s="567">
        <f t="shared" si="27"/>
        <v>7635</v>
      </c>
      <c r="V81" s="567">
        <f t="shared" si="27"/>
        <v>7635</v>
      </c>
    </row>
    <row r="82" spans="1:22" x14ac:dyDescent="0.3">
      <c r="A82" s="563" t="s">
        <v>1337</v>
      </c>
      <c r="B82" s="568">
        <v>0</v>
      </c>
      <c r="C82" s="569">
        <v>-1484</v>
      </c>
      <c r="D82" s="569">
        <v>-2551</v>
      </c>
      <c r="E82" s="569">
        <v>-2912</v>
      </c>
      <c r="F82" s="569">
        <v>-3047</v>
      </c>
      <c r="G82" s="569">
        <v>-3190</v>
      </c>
      <c r="H82" s="569">
        <v>-3301</v>
      </c>
      <c r="I82" s="569">
        <f>H82</f>
        <v>-3301</v>
      </c>
      <c r="J82" s="569">
        <f t="shared" ref="J82:V82" si="28">I82</f>
        <v>-3301</v>
      </c>
      <c r="K82" s="569">
        <f t="shared" si="28"/>
        <v>-3301</v>
      </c>
      <c r="L82" s="569">
        <f t="shared" si="28"/>
        <v>-3301</v>
      </c>
      <c r="M82" s="569">
        <f t="shared" si="28"/>
        <v>-3301</v>
      </c>
      <c r="N82" s="569">
        <f t="shared" si="28"/>
        <v>-3301</v>
      </c>
      <c r="O82" s="569">
        <f t="shared" si="28"/>
        <v>-3301</v>
      </c>
      <c r="P82" s="569">
        <f t="shared" si="28"/>
        <v>-3301</v>
      </c>
      <c r="Q82" s="569">
        <f t="shared" si="28"/>
        <v>-3301</v>
      </c>
      <c r="R82" s="569">
        <f t="shared" si="28"/>
        <v>-3301</v>
      </c>
      <c r="S82" s="569">
        <f t="shared" si="28"/>
        <v>-3301</v>
      </c>
      <c r="T82" s="569">
        <f t="shared" si="28"/>
        <v>-3301</v>
      </c>
      <c r="U82" s="569">
        <f t="shared" si="28"/>
        <v>-3301</v>
      </c>
      <c r="V82" s="569">
        <f t="shared" si="28"/>
        <v>-3301</v>
      </c>
    </row>
    <row r="83" spans="1:22" x14ac:dyDescent="0.3">
      <c r="A83" s="563" t="s">
        <v>86</v>
      </c>
      <c r="B83" s="568">
        <v>0</v>
      </c>
      <c r="C83" s="569">
        <v>-667</v>
      </c>
      <c r="D83" s="569">
        <v>-887</v>
      </c>
      <c r="E83" s="569">
        <v>-913</v>
      </c>
      <c r="F83" s="569">
        <v>-941</v>
      </c>
      <c r="G83" s="569">
        <v>-969</v>
      </c>
      <c r="H83" s="569">
        <v>-988</v>
      </c>
      <c r="I83" s="569">
        <f>H83</f>
        <v>-988</v>
      </c>
      <c r="J83" s="569">
        <f t="shared" ref="J83:V83" si="29">I83</f>
        <v>-988</v>
      </c>
      <c r="K83" s="569">
        <f t="shared" si="29"/>
        <v>-988</v>
      </c>
      <c r="L83" s="569">
        <f t="shared" si="29"/>
        <v>-988</v>
      </c>
      <c r="M83" s="569">
        <f t="shared" si="29"/>
        <v>-988</v>
      </c>
      <c r="N83" s="569">
        <f t="shared" si="29"/>
        <v>-988</v>
      </c>
      <c r="O83" s="569">
        <f t="shared" si="29"/>
        <v>-988</v>
      </c>
      <c r="P83" s="569">
        <f t="shared" si="29"/>
        <v>-988</v>
      </c>
      <c r="Q83" s="569">
        <f t="shared" si="29"/>
        <v>-988</v>
      </c>
      <c r="R83" s="569">
        <f t="shared" si="29"/>
        <v>-988</v>
      </c>
      <c r="S83" s="569">
        <f t="shared" si="29"/>
        <v>-988</v>
      </c>
      <c r="T83" s="569">
        <f t="shared" si="29"/>
        <v>-988</v>
      </c>
      <c r="U83" s="569">
        <f t="shared" si="29"/>
        <v>-988</v>
      </c>
      <c r="V83" s="569">
        <f t="shared" si="29"/>
        <v>-988</v>
      </c>
    </row>
    <row r="84" spans="1:22" x14ac:dyDescent="0.3">
      <c r="A84" s="563" t="s">
        <v>1724</v>
      </c>
      <c r="B84" s="568">
        <v>0</v>
      </c>
      <c r="C84" s="569">
        <f>-1152+667+273</f>
        <v>-212</v>
      </c>
      <c r="D84" s="569">
        <v>-51</v>
      </c>
      <c r="E84" s="569">
        <v>169</v>
      </c>
      <c r="F84" s="569">
        <v>176</v>
      </c>
      <c r="G84" s="569">
        <v>181</v>
      </c>
      <c r="H84" s="569">
        <v>197</v>
      </c>
      <c r="I84" s="569">
        <f>H84</f>
        <v>197</v>
      </c>
      <c r="J84" s="569">
        <f t="shared" ref="J84:V84" si="30">I84</f>
        <v>197</v>
      </c>
      <c r="K84" s="569">
        <f t="shared" si="30"/>
        <v>197</v>
      </c>
      <c r="L84" s="569">
        <f t="shared" si="30"/>
        <v>197</v>
      </c>
      <c r="M84" s="569">
        <f t="shared" si="30"/>
        <v>197</v>
      </c>
      <c r="N84" s="569">
        <f t="shared" si="30"/>
        <v>197</v>
      </c>
      <c r="O84" s="569">
        <f t="shared" si="30"/>
        <v>197</v>
      </c>
      <c r="P84" s="569">
        <f t="shared" si="30"/>
        <v>197</v>
      </c>
      <c r="Q84" s="569">
        <f t="shared" si="30"/>
        <v>197</v>
      </c>
      <c r="R84" s="569">
        <f t="shared" si="30"/>
        <v>197</v>
      </c>
      <c r="S84" s="569">
        <f t="shared" si="30"/>
        <v>197</v>
      </c>
      <c r="T84" s="569">
        <f t="shared" si="30"/>
        <v>197</v>
      </c>
      <c r="U84" s="569">
        <f t="shared" si="30"/>
        <v>197</v>
      </c>
      <c r="V84" s="569">
        <f t="shared" si="30"/>
        <v>197</v>
      </c>
    </row>
    <row r="85" spans="1:22" x14ac:dyDescent="0.3">
      <c r="A85" s="563" t="s">
        <v>1725</v>
      </c>
      <c r="B85" s="568">
        <v>0</v>
      </c>
      <c r="C85" s="569">
        <v>-1350</v>
      </c>
      <c r="D85" s="569">
        <v>-1350</v>
      </c>
      <c r="E85" s="569">
        <v>-1350</v>
      </c>
      <c r="F85" s="569">
        <v>-1350</v>
      </c>
      <c r="G85" s="569">
        <v>-1350</v>
      </c>
      <c r="H85" s="569">
        <v>-1350</v>
      </c>
      <c r="I85" s="569">
        <v>-1350</v>
      </c>
      <c r="J85" s="569">
        <v>-1350</v>
      </c>
      <c r="K85" s="569">
        <v>-1350</v>
      </c>
      <c r="L85" s="569">
        <v>-1350</v>
      </c>
      <c r="M85" s="569">
        <v>-1350</v>
      </c>
      <c r="N85" s="569">
        <v>-1350</v>
      </c>
      <c r="O85" s="569">
        <v>-1350</v>
      </c>
      <c r="P85" s="569">
        <v>-1350</v>
      </c>
      <c r="Q85" s="569">
        <v>-1350</v>
      </c>
      <c r="R85" s="569">
        <v>-1350</v>
      </c>
      <c r="S85" s="569">
        <v>-1350</v>
      </c>
      <c r="T85" s="569">
        <v>-1350</v>
      </c>
      <c r="U85" s="569">
        <v>-1350</v>
      </c>
      <c r="V85" s="569">
        <v>-1350</v>
      </c>
    </row>
    <row r="86" spans="1:22" x14ac:dyDescent="0.3">
      <c r="A86" s="570" t="s">
        <v>1293</v>
      </c>
      <c r="B86" s="571">
        <v>0</v>
      </c>
      <c r="C86" s="572">
        <f t="shared" ref="C86:V86" si="31">+SUM(C81:C85)</f>
        <v>-284</v>
      </c>
      <c r="D86" s="572">
        <f t="shared" si="31"/>
        <v>1149</v>
      </c>
      <c r="E86" s="572">
        <f t="shared" si="31"/>
        <v>1794</v>
      </c>
      <c r="F86" s="572">
        <f t="shared" si="31"/>
        <v>1926</v>
      </c>
      <c r="G86" s="572">
        <f t="shared" si="31"/>
        <v>2062</v>
      </c>
      <c r="H86" s="572">
        <f t="shared" si="31"/>
        <v>2193</v>
      </c>
      <c r="I86" s="572">
        <f t="shared" si="31"/>
        <v>2193</v>
      </c>
      <c r="J86" s="572">
        <f t="shared" si="31"/>
        <v>2193</v>
      </c>
      <c r="K86" s="572">
        <f t="shared" si="31"/>
        <v>2193</v>
      </c>
      <c r="L86" s="572">
        <f t="shared" si="31"/>
        <v>2193</v>
      </c>
      <c r="M86" s="572">
        <f t="shared" si="31"/>
        <v>2193</v>
      </c>
      <c r="N86" s="572">
        <f t="shared" si="31"/>
        <v>2193</v>
      </c>
      <c r="O86" s="572">
        <f t="shared" si="31"/>
        <v>2193</v>
      </c>
      <c r="P86" s="572">
        <f t="shared" si="31"/>
        <v>2193</v>
      </c>
      <c r="Q86" s="572">
        <f t="shared" si="31"/>
        <v>2193</v>
      </c>
      <c r="R86" s="572">
        <f t="shared" si="31"/>
        <v>2193</v>
      </c>
      <c r="S86" s="572">
        <f t="shared" si="31"/>
        <v>2193</v>
      </c>
      <c r="T86" s="572">
        <f t="shared" si="31"/>
        <v>2193</v>
      </c>
      <c r="U86" s="572">
        <f t="shared" si="31"/>
        <v>2193</v>
      </c>
      <c r="V86" s="572">
        <f t="shared" si="31"/>
        <v>2193</v>
      </c>
    </row>
    <row r="87" spans="1:22" x14ac:dyDescent="0.3">
      <c r="A87" s="563" t="s">
        <v>1156</v>
      </c>
      <c r="B87" s="568">
        <v>0</v>
      </c>
      <c r="C87" s="569">
        <v>0</v>
      </c>
      <c r="D87" s="569">
        <f>C87</f>
        <v>0</v>
      </c>
      <c r="E87" s="569">
        <f t="shared" ref="E87:V87" si="32">D87</f>
        <v>0</v>
      </c>
      <c r="F87" s="569">
        <f t="shared" si="32"/>
        <v>0</v>
      </c>
      <c r="G87" s="569">
        <f t="shared" si="32"/>
        <v>0</v>
      </c>
      <c r="H87" s="569">
        <f t="shared" si="32"/>
        <v>0</v>
      </c>
      <c r="I87" s="569">
        <f t="shared" si="32"/>
        <v>0</v>
      </c>
      <c r="J87" s="569">
        <f t="shared" si="32"/>
        <v>0</v>
      </c>
      <c r="K87" s="569">
        <f t="shared" si="32"/>
        <v>0</v>
      </c>
      <c r="L87" s="569">
        <f t="shared" si="32"/>
        <v>0</v>
      </c>
      <c r="M87" s="569">
        <f t="shared" si="32"/>
        <v>0</v>
      </c>
      <c r="N87" s="569">
        <f t="shared" si="32"/>
        <v>0</v>
      </c>
      <c r="O87" s="569">
        <f t="shared" si="32"/>
        <v>0</v>
      </c>
      <c r="P87" s="569">
        <f t="shared" si="32"/>
        <v>0</v>
      </c>
      <c r="Q87" s="569">
        <f t="shared" si="32"/>
        <v>0</v>
      </c>
      <c r="R87" s="569">
        <v>0</v>
      </c>
      <c r="S87" s="569">
        <f t="shared" si="32"/>
        <v>0</v>
      </c>
      <c r="T87" s="569">
        <f t="shared" si="32"/>
        <v>0</v>
      </c>
      <c r="U87" s="569">
        <f t="shared" si="32"/>
        <v>0</v>
      </c>
      <c r="V87" s="569">
        <f t="shared" si="32"/>
        <v>0</v>
      </c>
    </row>
    <row r="88" spans="1:22" x14ac:dyDescent="0.3">
      <c r="A88" s="570" t="s">
        <v>1184</v>
      </c>
      <c r="B88" s="571">
        <v>0</v>
      </c>
      <c r="C88" s="572">
        <f t="shared" ref="C88:V88" si="33">+C86+C87</f>
        <v>-284</v>
      </c>
      <c r="D88" s="572">
        <f t="shared" si="33"/>
        <v>1149</v>
      </c>
      <c r="E88" s="572">
        <f t="shared" si="33"/>
        <v>1794</v>
      </c>
      <c r="F88" s="572">
        <f t="shared" si="33"/>
        <v>1926</v>
      </c>
      <c r="G88" s="572">
        <f t="shared" si="33"/>
        <v>2062</v>
      </c>
      <c r="H88" s="572">
        <f t="shared" si="33"/>
        <v>2193</v>
      </c>
      <c r="I88" s="572">
        <f t="shared" si="33"/>
        <v>2193</v>
      </c>
      <c r="J88" s="572">
        <f t="shared" si="33"/>
        <v>2193</v>
      </c>
      <c r="K88" s="572">
        <f t="shared" si="33"/>
        <v>2193</v>
      </c>
      <c r="L88" s="572">
        <f t="shared" si="33"/>
        <v>2193</v>
      </c>
      <c r="M88" s="572">
        <f t="shared" si="33"/>
        <v>2193</v>
      </c>
      <c r="N88" s="572">
        <f t="shared" si="33"/>
        <v>2193</v>
      </c>
      <c r="O88" s="572">
        <f t="shared" si="33"/>
        <v>2193</v>
      </c>
      <c r="P88" s="572">
        <f t="shared" si="33"/>
        <v>2193</v>
      </c>
      <c r="Q88" s="572">
        <f t="shared" si="33"/>
        <v>2193</v>
      </c>
      <c r="R88" s="572">
        <f t="shared" si="33"/>
        <v>2193</v>
      </c>
      <c r="S88" s="572">
        <f t="shared" si="33"/>
        <v>2193</v>
      </c>
      <c r="T88" s="572">
        <f t="shared" si="33"/>
        <v>2193</v>
      </c>
      <c r="U88" s="572">
        <f t="shared" si="33"/>
        <v>2193</v>
      </c>
      <c r="V88" s="572">
        <f t="shared" si="33"/>
        <v>2193</v>
      </c>
    </row>
    <row r="89" spans="1:22" x14ac:dyDescent="0.3">
      <c r="A89" s="563" t="s">
        <v>1364</v>
      </c>
      <c r="B89" s="568">
        <v>0</v>
      </c>
      <c r="C89" s="569">
        <f t="shared" ref="C89:L89" si="34">-$B$30*$B$51</f>
        <v>-467.5</v>
      </c>
      <c r="D89" s="569">
        <f t="shared" si="34"/>
        <v>-467.5</v>
      </c>
      <c r="E89" s="569">
        <f t="shared" si="34"/>
        <v>-467.5</v>
      </c>
      <c r="F89" s="569">
        <f t="shared" si="34"/>
        <v>-467.5</v>
      </c>
      <c r="G89" s="569">
        <f t="shared" si="34"/>
        <v>-467.5</v>
      </c>
      <c r="H89" s="569">
        <f t="shared" si="34"/>
        <v>-467.5</v>
      </c>
      <c r="I89" s="569">
        <f t="shared" si="34"/>
        <v>-467.5</v>
      </c>
      <c r="J89" s="569">
        <f t="shared" si="34"/>
        <v>-467.5</v>
      </c>
      <c r="K89" s="569">
        <f t="shared" si="34"/>
        <v>-467.5</v>
      </c>
      <c r="L89" s="569">
        <f t="shared" si="34"/>
        <v>-467.5</v>
      </c>
      <c r="M89" s="569">
        <v>0</v>
      </c>
      <c r="N89" s="569">
        <v>0</v>
      </c>
      <c r="O89" s="569">
        <v>0</v>
      </c>
      <c r="P89" s="569">
        <v>0</v>
      </c>
      <c r="Q89" s="569">
        <v>0</v>
      </c>
      <c r="R89" s="569">
        <v>0</v>
      </c>
      <c r="S89" s="569">
        <v>0</v>
      </c>
      <c r="T89" s="569">
        <v>0</v>
      </c>
      <c r="U89" s="569">
        <v>0</v>
      </c>
      <c r="V89" s="569">
        <v>0</v>
      </c>
    </row>
    <row r="90" spans="1:22" x14ac:dyDescent="0.3">
      <c r="A90" s="563" t="s">
        <v>1726</v>
      </c>
      <c r="B90" s="568">
        <v>0</v>
      </c>
      <c r="C90" s="569">
        <f>+IF((C88+C89)&lt;0,0,(C88+C89)*$B$20)</f>
        <v>0</v>
      </c>
      <c r="D90" s="569">
        <f t="shared" ref="D90:V90" si="35">+IF((D88+D89)&lt;0,0,-(D88+D89)*$B$20)</f>
        <v>-238.52499999999998</v>
      </c>
      <c r="E90" s="569">
        <f t="shared" si="35"/>
        <v>-464.27499999999998</v>
      </c>
      <c r="F90" s="569">
        <f t="shared" si="35"/>
        <v>-510.47499999999997</v>
      </c>
      <c r="G90" s="569">
        <f t="shared" si="35"/>
        <v>-558.07499999999993</v>
      </c>
      <c r="H90" s="569">
        <f t="shared" si="35"/>
        <v>-603.92499999999995</v>
      </c>
      <c r="I90" s="569">
        <f t="shared" si="35"/>
        <v>-603.92499999999995</v>
      </c>
      <c r="J90" s="569">
        <f t="shared" si="35"/>
        <v>-603.92499999999995</v>
      </c>
      <c r="K90" s="569">
        <f t="shared" si="35"/>
        <v>-603.92499999999995</v>
      </c>
      <c r="L90" s="569">
        <f t="shared" si="35"/>
        <v>-603.92499999999995</v>
      </c>
      <c r="M90" s="569">
        <f t="shared" si="35"/>
        <v>-767.55</v>
      </c>
      <c r="N90" s="569">
        <f t="shared" si="35"/>
        <v>-767.55</v>
      </c>
      <c r="O90" s="569">
        <f t="shared" si="35"/>
        <v>-767.55</v>
      </c>
      <c r="P90" s="569">
        <f t="shared" si="35"/>
        <v>-767.55</v>
      </c>
      <c r="Q90" s="569">
        <f t="shared" si="35"/>
        <v>-767.55</v>
      </c>
      <c r="R90" s="569">
        <f t="shared" si="35"/>
        <v>-767.55</v>
      </c>
      <c r="S90" s="569">
        <f t="shared" si="35"/>
        <v>-767.55</v>
      </c>
      <c r="T90" s="569">
        <f t="shared" si="35"/>
        <v>-767.55</v>
      </c>
      <c r="U90" s="569">
        <f t="shared" si="35"/>
        <v>-767.55</v>
      </c>
      <c r="V90" s="569">
        <f t="shared" si="35"/>
        <v>-767.55</v>
      </c>
    </row>
    <row r="91" spans="1:22" x14ac:dyDescent="0.3">
      <c r="A91" s="570" t="s">
        <v>1727</v>
      </c>
      <c r="B91" s="571">
        <v>0</v>
      </c>
      <c r="C91" s="572">
        <f t="shared" ref="C91:V91" si="36">+SUM(C88:C90)</f>
        <v>-751.5</v>
      </c>
      <c r="D91" s="572">
        <f t="shared" si="36"/>
        <v>442.97500000000002</v>
      </c>
      <c r="E91" s="572">
        <f t="shared" si="36"/>
        <v>862.22500000000002</v>
      </c>
      <c r="F91" s="572">
        <f t="shared" si="36"/>
        <v>948.02500000000009</v>
      </c>
      <c r="G91" s="572">
        <f t="shared" si="36"/>
        <v>1036.4250000000002</v>
      </c>
      <c r="H91" s="572">
        <f t="shared" si="36"/>
        <v>1121.575</v>
      </c>
      <c r="I91" s="572">
        <f t="shared" si="36"/>
        <v>1121.575</v>
      </c>
      <c r="J91" s="572">
        <f t="shared" si="36"/>
        <v>1121.575</v>
      </c>
      <c r="K91" s="572">
        <f t="shared" si="36"/>
        <v>1121.575</v>
      </c>
      <c r="L91" s="572">
        <f t="shared" si="36"/>
        <v>1121.575</v>
      </c>
      <c r="M91" s="572">
        <f t="shared" si="36"/>
        <v>1425.45</v>
      </c>
      <c r="N91" s="572">
        <f t="shared" si="36"/>
        <v>1425.45</v>
      </c>
      <c r="O91" s="572">
        <f t="shared" si="36"/>
        <v>1425.45</v>
      </c>
      <c r="P91" s="572">
        <f t="shared" si="36"/>
        <v>1425.45</v>
      </c>
      <c r="Q91" s="572">
        <f t="shared" si="36"/>
        <v>1425.45</v>
      </c>
      <c r="R91" s="572">
        <f t="shared" si="36"/>
        <v>1425.45</v>
      </c>
      <c r="S91" s="572">
        <f t="shared" si="36"/>
        <v>1425.45</v>
      </c>
      <c r="T91" s="572">
        <f t="shared" si="36"/>
        <v>1425.45</v>
      </c>
      <c r="U91" s="572">
        <f t="shared" si="36"/>
        <v>1425.45</v>
      </c>
      <c r="V91" s="572">
        <f t="shared" si="36"/>
        <v>1425.45</v>
      </c>
    </row>
    <row r="92" spans="1:22" x14ac:dyDescent="0.3">
      <c r="A92" s="563"/>
      <c r="B92" s="563"/>
      <c r="C92" s="563"/>
      <c r="D92" s="563"/>
      <c r="E92" s="563"/>
      <c r="F92" s="563"/>
      <c r="G92" s="563"/>
      <c r="H92" s="563"/>
      <c r="I92" s="563"/>
      <c r="J92" s="563"/>
      <c r="K92" s="563"/>
      <c r="L92" s="563"/>
      <c r="M92" s="563"/>
      <c r="N92" s="563"/>
      <c r="O92" s="563"/>
      <c r="P92" s="563"/>
      <c r="Q92" s="563"/>
      <c r="R92" s="563"/>
      <c r="S92" s="563"/>
      <c r="T92" s="563"/>
      <c r="U92" s="563"/>
      <c r="V92" s="563"/>
    </row>
    <row r="93" spans="1:22" x14ac:dyDescent="0.3">
      <c r="A93" s="595" t="s">
        <v>761</v>
      </c>
      <c r="B93" s="564">
        <v>0.35</v>
      </c>
      <c r="C93" s="563"/>
      <c r="D93" s="563"/>
      <c r="E93" s="563"/>
      <c r="F93" s="563"/>
      <c r="G93" s="563"/>
      <c r="H93" s="563"/>
      <c r="I93" s="563"/>
      <c r="J93" s="563"/>
      <c r="K93" s="563"/>
      <c r="L93" s="563"/>
      <c r="M93" s="563"/>
      <c r="N93" s="563"/>
      <c r="O93" s="563"/>
      <c r="P93" s="563"/>
      <c r="Q93" s="563"/>
      <c r="R93" s="563"/>
      <c r="S93" s="563"/>
      <c r="T93" s="563"/>
      <c r="U93" s="563"/>
      <c r="V93" s="563"/>
    </row>
    <row r="94" spans="1:22" x14ac:dyDescent="0.3">
      <c r="A94" s="563"/>
      <c r="B94" s="563"/>
      <c r="C94" s="563"/>
      <c r="D94" s="563"/>
      <c r="E94" s="563"/>
      <c r="F94" s="563"/>
      <c r="G94" s="563"/>
      <c r="H94" s="563"/>
      <c r="I94" s="563"/>
      <c r="J94" s="563"/>
      <c r="K94" s="563"/>
      <c r="L94" s="563"/>
      <c r="M94" s="563"/>
      <c r="N94" s="563"/>
      <c r="O94" s="563"/>
      <c r="P94" s="563"/>
      <c r="Q94" s="563"/>
      <c r="R94" s="563"/>
      <c r="S94" s="563"/>
      <c r="T94" s="563"/>
      <c r="U94" s="563"/>
      <c r="V94" s="563"/>
    </row>
    <row r="95" spans="1:22" x14ac:dyDescent="0.3">
      <c r="A95" s="563"/>
      <c r="B95" s="563"/>
      <c r="C95" s="563"/>
      <c r="D95" s="563"/>
      <c r="E95" s="563"/>
      <c r="F95" s="563"/>
      <c r="G95" s="563"/>
      <c r="H95" s="563"/>
      <c r="I95" s="563"/>
      <c r="J95" s="563"/>
      <c r="K95" s="563"/>
      <c r="L95" s="563"/>
      <c r="M95" s="563"/>
      <c r="N95" s="563"/>
      <c r="O95" s="563"/>
      <c r="P95" s="563"/>
      <c r="Q95" s="563"/>
      <c r="R95" s="563"/>
      <c r="S95" s="563"/>
      <c r="T95" s="563"/>
      <c r="U95" s="563"/>
      <c r="V95" s="563"/>
    </row>
    <row r="96" spans="1:22" x14ac:dyDescent="0.3">
      <c r="A96" s="563"/>
      <c r="B96" s="563"/>
      <c r="C96" s="563"/>
      <c r="D96" s="563"/>
      <c r="E96" s="563"/>
      <c r="F96" s="563"/>
      <c r="G96" s="563"/>
      <c r="H96" s="563"/>
      <c r="I96" s="563"/>
      <c r="J96" s="563"/>
      <c r="K96" s="563"/>
      <c r="L96" s="563"/>
      <c r="M96" s="563"/>
      <c r="N96" s="563"/>
      <c r="O96" s="563"/>
      <c r="P96" s="563"/>
      <c r="Q96" s="563"/>
      <c r="R96" s="563"/>
      <c r="S96" s="563"/>
      <c r="T96" s="563"/>
      <c r="U96" s="563"/>
      <c r="V96" s="563"/>
    </row>
    <row r="97" spans="1:22" x14ac:dyDescent="0.3">
      <c r="A97" s="563" t="s">
        <v>1728</v>
      </c>
      <c r="B97" s="565" t="str">
        <f t="shared" ref="B97:V97" si="37">B79</f>
        <v>N</v>
      </c>
      <c r="C97" s="565" t="str">
        <f t="shared" si="37"/>
        <v>N+1</v>
      </c>
      <c r="D97" s="565" t="str">
        <f t="shared" si="37"/>
        <v>N+2</v>
      </c>
      <c r="E97" s="565" t="str">
        <f t="shared" si="37"/>
        <v>N+3</v>
      </c>
      <c r="F97" s="565" t="str">
        <f t="shared" si="37"/>
        <v>N+4</v>
      </c>
      <c r="G97" s="565" t="str">
        <f t="shared" si="37"/>
        <v>N+5</v>
      </c>
      <c r="H97" s="565" t="str">
        <f t="shared" si="37"/>
        <v>N+6</v>
      </c>
      <c r="I97" s="565" t="str">
        <f t="shared" si="37"/>
        <v>N+7</v>
      </c>
      <c r="J97" s="565" t="str">
        <f t="shared" si="37"/>
        <v>N+8</v>
      </c>
      <c r="K97" s="565" t="str">
        <f t="shared" si="37"/>
        <v>N+9</v>
      </c>
      <c r="L97" s="565" t="str">
        <f t="shared" si="37"/>
        <v>N+10</v>
      </c>
      <c r="M97" s="565" t="str">
        <f t="shared" si="37"/>
        <v>N+11</v>
      </c>
      <c r="N97" s="565" t="str">
        <f t="shared" si="37"/>
        <v>N+12</v>
      </c>
      <c r="O97" s="565" t="str">
        <f t="shared" si="37"/>
        <v>N+13</v>
      </c>
      <c r="P97" s="565" t="str">
        <f t="shared" si="37"/>
        <v>N+14</v>
      </c>
      <c r="Q97" s="565" t="str">
        <f t="shared" si="37"/>
        <v>N+15</v>
      </c>
      <c r="R97" s="565" t="str">
        <f t="shared" si="37"/>
        <v>N+16</v>
      </c>
      <c r="S97" s="565" t="str">
        <f t="shared" si="37"/>
        <v>N+17</v>
      </c>
      <c r="T97" s="565" t="str">
        <f t="shared" si="37"/>
        <v>N+18</v>
      </c>
      <c r="U97" s="565" t="str">
        <f t="shared" si="37"/>
        <v>N+19</v>
      </c>
      <c r="V97" s="565" t="str">
        <f t="shared" si="37"/>
        <v>N+20</v>
      </c>
    </row>
    <row r="98" spans="1:22" x14ac:dyDescent="0.3">
      <c r="A98" s="563"/>
      <c r="B98" s="563"/>
      <c r="C98" s="563"/>
      <c r="D98" s="563"/>
      <c r="E98" s="563"/>
      <c r="F98" s="563"/>
      <c r="G98" s="563"/>
      <c r="H98" s="563"/>
      <c r="I98" s="563"/>
      <c r="J98" s="563"/>
      <c r="K98" s="563"/>
      <c r="L98" s="563"/>
      <c r="M98" s="563"/>
      <c r="N98" s="563"/>
      <c r="O98" s="563"/>
      <c r="P98" s="563"/>
      <c r="Q98" s="563"/>
      <c r="R98" s="563"/>
      <c r="S98" s="563"/>
      <c r="T98" s="563"/>
      <c r="U98" s="563"/>
      <c r="V98" s="563"/>
    </row>
    <row r="99" spans="1:22" x14ac:dyDescent="0.3">
      <c r="A99" s="563" t="s">
        <v>1729</v>
      </c>
      <c r="B99" s="566">
        <v>0</v>
      </c>
      <c r="C99" s="567">
        <f t="shared" ref="C99:V99" si="38">+B99+C87</f>
        <v>0</v>
      </c>
      <c r="D99" s="567">
        <f t="shared" si="38"/>
        <v>0</v>
      </c>
      <c r="E99" s="567">
        <f t="shared" si="38"/>
        <v>0</v>
      </c>
      <c r="F99" s="567">
        <f t="shared" si="38"/>
        <v>0</v>
      </c>
      <c r="G99" s="567">
        <f t="shared" si="38"/>
        <v>0</v>
      </c>
      <c r="H99" s="567">
        <f t="shared" si="38"/>
        <v>0</v>
      </c>
      <c r="I99" s="567">
        <f t="shared" si="38"/>
        <v>0</v>
      </c>
      <c r="J99" s="567">
        <f t="shared" si="38"/>
        <v>0</v>
      </c>
      <c r="K99" s="567">
        <f t="shared" si="38"/>
        <v>0</v>
      </c>
      <c r="L99" s="567">
        <f t="shared" si="38"/>
        <v>0</v>
      </c>
      <c r="M99" s="567">
        <f t="shared" si="38"/>
        <v>0</v>
      </c>
      <c r="N99" s="567">
        <f t="shared" si="38"/>
        <v>0</v>
      </c>
      <c r="O99" s="567">
        <f t="shared" si="38"/>
        <v>0</v>
      </c>
      <c r="P99" s="567">
        <f t="shared" si="38"/>
        <v>0</v>
      </c>
      <c r="Q99" s="567">
        <f t="shared" si="38"/>
        <v>0</v>
      </c>
      <c r="R99" s="567">
        <f t="shared" si="38"/>
        <v>0</v>
      </c>
      <c r="S99" s="567">
        <f t="shared" si="38"/>
        <v>0</v>
      </c>
      <c r="T99" s="567">
        <f t="shared" si="38"/>
        <v>0</v>
      </c>
      <c r="U99" s="567">
        <f t="shared" si="38"/>
        <v>0</v>
      </c>
      <c r="V99" s="567">
        <f t="shared" si="38"/>
        <v>0</v>
      </c>
    </row>
    <row r="100" spans="1:22" x14ac:dyDescent="0.3">
      <c r="A100" s="563" t="s">
        <v>1419</v>
      </c>
      <c r="B100" s="568">
        <v>0</v>
      </c>
      <c r="C100" s="569">
        <v>0</v>
      </c>
      <c r="D100" s="569">
        <v>0</v>
      </c>
      <c r="E100" s="569">
        <v>0</v>
      </c>
      <c r="F100" s="569">
        <v>0</v>
      </c>
      <c r="G100" s="569">
        <v>0</v>
      </c>
      <c r="H100" s="569">
        <v>0</v>
      </c>
      <c r="I100" s="569">
        <v>0</v>
      </c>
      <c r="J100" s="569">
        <v>0</v>
      </c>
      <c r="K100" s="569">
        <v>0</v>
      </c>
      <c r="L100" s="569">
        <v>0</v>
      </c>
      <c r="M100" s="569">
        <v>0</v>
      </c>
      <c r="N100" s="569">
        <v>0</v>
      </c>
      <c r="O100" s="569">
        <v>0</v>
      </c>
      <c r="P100" s="569">
        <v>0</v>
      </c>
      <c r="Q100" s="569">
        <v>0</v>
      </c>
      <c r="R100" s="569">
        <v>0</v>
      </c>
      <c r="S100" s="569">
        <v>0</v>
      </c>
      <c r="T100" s="569">
        <v>0</v>
      </c>
      <c r="U100" s="569">
        <v>0</v>
      </c>
      <c r="V100" s="569">
        <v>0</v>
      </c>
    </row>
    <row r="101" spans="1:22" x14ac:dyDescent="0.3">
      <c r="A101" s="570" t="s">
        <v>238</v>
      </c>
      <c r="B101" s="571">
        <f t="shared" ref="B101:V101" si="39">+B100+B99</f>
        <v>0</v>
      </c>
      <c r="C101" s="572">
        <f t="shared" si="39"/>
        <v>0</v>
      </c>
      <c r="D101" s="572">
        <f t="shared" si="39"/>
        <v>0</v>
      </c>
      <c r="E101" s="572">
        <f t="shared" si="39"/>
        <v>0</v>
      </c>
      <c r="F101" s="572">
        <f t="shared" si="39"/>
        <v>0</v>
      </c>
      <c r="G101" s="572">
        <f t="shared" si="39"/>
        <v>0</v>
      </c>
      <c r="H101" s="572">
        <f t="shared" si="39"/>
        <v>0</v>
      </c>
      <c r="I101" s="572">
        <f t="shared" si="39"/>
        <v>0</v>
      </c>
      <c r="J101" s="572">
        <f t="shared" si="39"/>
        <v>0</v>
      </c>
      <c r="K101" s="572">
        <f t="shared" si="39"/>
        <v>0</v>
      </c>
      <c r="L101" s="572">
        <f t="shared" si="39"/>
        <v>0</v>
      </c>
      <c r="M101" s="572">
        <f t="shared" si="39"/>
        <v>0</v>
      </c>
      <c r="N101" s="572">
        <f t="shared" si="39"/>
        <v>0</v>
      </c>
      <c r="O101" s="572">
        <f t="shared" si="39"/>
        <v>0</v>
      </c>
      <c r="P101" s="572">
        <f t="shared" si="39"/>
        <v>0</v>
      </c>
      <c r="Q101" s="572">
        <f t="shared" si="39"/>
        <v>0</v>
      </c>
      <c r="R101" s="572">
        <f t="shared" si="39"/>
        <v>0</v>
      </c>
      <c r="S101" s="572">
        <f t="shared" si="39"/>
        <v>0</v>
      </c>
      <c r="T101" s="572">
        <f t="shared" si="39"/>
        <v>0</v>
      </c>
      <c r="U101" s="572">
        <f t="shared" si="39"/>
        <v>0</v>
      </c>
      <c r="V101" s="572">
        <f t="shared" si="39"/>
        <v>0</v>
      </c>
    </row>
    <row r="102" spans="1:22" x14ac:dyDescent="0.3">
      <c r="A102" s="563" t="s">
        <v>1378</v>
      </c>
      <c r="B102" s="568">
        <v>0</v>
      </c>
      <c r="C102" s="569">
        <f t="shared" ref="C102:V102" si="40">+B102+C91</f>
        <v>-751.5</v>
      </c>
      <c r="D102" s="569">
        <f t="shared" si="40"/>
        <v>-308.52499999999998</v>
      </c>
      <c r="E102" s="569">
        <f t="shared" si="40"/>
        <v>553.70000000000005</v>
      </c>
      <c r="F102" s="569">
        <f t="shared" si="40"/>
        <v>1501.7250000000001</v>
      </c>
      <c r="G102" s="569">
        <f t="shared" si="40"/>
        <v>2538.1500000000005</v>
      </c>
      <c r="H102" s="569">
        <f t="shared" si="40"/>
        <v>3659.7250000000004</v>
      </c>
      <c r="I102" s="569">
        <f t="shared" si="40"/>
        <v>4781.3</v>
      </c>
      <c r="J102" s="569">
        <f t="shared" si="40"/>
        <v>5902.875</v>
      </c>
      <c r="K102" s="569">
        <f t="shared" si="40"/>
        <v>7024.45</v>
      </c>
      <c r="L102" s="569">
        <f t="shared" si="40"/>
        <v>8146.0249999999996</v>
      </c>
      <c r="M102" s="569">
        <f t="shared" si="40"/>
        <v>9571.4750000000004</v>
      </c>
      <c r="N102" s="569">
        <f t="shared" si="40"/>
        <v>10996.925000000001</v>
      </c>
      <c r="O102" s="569">
        <f t="shared" si="40"/>
        <v>12422.375000000002</v>
      </c>
      <c r="P102" s="569">
        <f t="shared" si="40"/>
        <v>13847.825000000003</v>
      </c>
      <c r="Q102" s="569">
        <f t="shared" si="40"/>
        <v>15273.275000000003</v>
      </c>
      <c r="R102" s="569">
        <f t="shared" si="40"/>
        <v>16698.725000000002</v>
      </c>
      <c r="S102" s="569">
        <f t="shared" si="40"/>
        <v>18124.175000000003</v>
      </c>
      <c r="T102" s="569">
        <f t="shared" si="40"/>
        <v>19549.625000000004</v>
      </c>
      <c r="U102" s="569">
        <f t="shared" si="40"/>
        <v>20975.075000000004</v>
      </c>
      <c r="V102" s="569">
        <f t="shared" si="40"/>
        <v>22400.525000000005</v>
      </c>
    </row>
    <row r="103" spans="1:22" x14ac:dyDescent="0.3">
      <c r="A103" s="563" t="s">
        <v>1730</v>
      </c>
      <c r="B103" s="568">
        <f>+B99</f>
        <v>0</v>
      </c>
      <c r="C103" s="569">
        <f t="shared" ref="C103:V103" si="41">+B103+C119</f>
        <v>751.5</v>
      </c>
      <c r="D103" s="569">
        <f t="shared" si="41"/>
        <v>308.52499999999998</v>
      </c>
      <c r="E103" s="569">
        <f t="shared" si="41"/>
        <v>-553.70000000000005</v>
      </c>
      <c r="F103" s="569">
        <f t="shared" si="41"/>
        <v>-1501.7250000000001</v>
      </c>
      <c r="G103" s="569">
        <f t="shared" si="41"/>
        <v>-2538.1500000000005</v>
      </c>
      <c r="H103" s="569">
        <f t="shared" si="41"/>
        <v>-3659.7250000000004</v>
      </c>
      <c r="I103" s="569">
        <f t="shared" si="41"/>
        <v>-4781.3</v>
      </c>
      <c r="J103" s="569">
        <f t="shared" si="41"/>
        <v>-5902.875</v>
      </c>
      <c r="K103" s="569">
        <f t="shared" si="41"/>
        <v>-7024.45</v>
      </c>
      <c r="L103" s="569">
        <f t="shared" si="41"/>
        <v>-8146.0249999999996</v>
      </c>
      <c r="M103" s="569">
        <f t="shared" si="41"/>
        <v>-9571.4750000000004</v>
      </c>
      <c r="N103" s="569">
        <f t="shared" si="41"/>
        <v>-10996.925000000001</v>
      </c>
      <c r="O103" s="569">
        <f t="shared" si="41"/>
        <v>-12422.375000000002</v>
      </c>
      <c r="P103" s="569">
        <f t="shared" si="41"/>
        <v>-13847.825000000003</v>
      </c>
      <c r="Q103" s="569">
        <f t="shared" si="41"/>
        <v>-15273.275000000003</v>
      </c>
      <c r="R103" s="569">
        <f t="shared" si="41"/>
        <v>-16698.725000000002</v>
      </c>
      <c r="S103" s="569">
        <f t="shared" si="41"/>
        <v>-18124.175000000003</v>
      </c>
      <c r="T103" s="569">
        <f t="shared" si="41"/>
        <v>-19549.625000000004</v>
      </c>
      <c r="U103" s="569">
        <f t="shared" si="41"/>
        <v>-20975.075000000004</v>
      </c>
      <c r="V103" s="569">
        <f t="shared" si="41"/>
        <v>-22400.525000000005</v>
      </c>
    </row>
    <row r="104" spans="1:22" x14ac:dyDescent="0.3">
      <c r="A104" s="570" t="s">
        <v>1731</v>
      </c>
      <c r="B104" s="571">
        <f t="shared" ref="B104:V104" si="42">+B103+B102</f>
        <v>0</v>
      </c>
      <c r="C104" s="572">
        <f t="shared" si="42"/>
        <v>0</v>
      </c>
      <c r="D104" s="572">
        <f t="shared" si="42"/>
        <v>0</v>
      </c>
      <c r="E104" s="572">
        <f t="shared" si="42"/>
        <v>0</v>
      </c>
      <c r="F104" s="572">
        <f t="shared" si="42"/>
        <v>0</v>
      </c>
      <c r="G104" s="572">
        <f t="shared" si="42"/>
        <v>0</v>
      </c>
      <c r="H104" s="572">
        <f t="shared" si="42"/>
        <v>0</v>
      </c>
      <c r="I104" s="572">
        <f t="shared" si="42"/>
        <v>0</v>
      </c>
      <c r="J104" s="572">
        <f t="shared" si="42"/>
        <v>0</v>
      </c>
      <c r="K104" s="572">
        <f t="shared" si="42"/>
        <v>0</v>
      </c>
      <c r="L104" s="572">
        <f t="shared" si="42"/>
        <v>0</v>
      </c>
      <c r="M104" s="572">
        <f t="shared" si="42"/>
        <v>0</v>
      </c>
      <c r="N104" s="572">
        <f t="shared" si="42"/>
        <v>0</v>
      </c>
      <c r="O104" s="572">
        <f t="shared" si="42"/>
        <v>0</v>
      </c>
      <c r="P104" s="572">
        <f t="shared" si="42"/>
        <v>0</v>
      </c>
      <c r="Q104" s="572">
        <f t="shared" si="42"/>
        <v>0</v>
      </c>
      <c r="R104" s="572">
        <f t="shared" si="42"/>
        <v>0</v>
      </c>
      <c r="S104" s="572">
        <f t="shared" si="42"/>
        <v>0</v>
      </c>
      <c r="T104" s="572">
        <f t="shared" si="42"/>
        <v>0</v>
      </c>
      <c r="U104" s="572">
        <f t="shared" si="42"/>
        <v>0</v>
      </c>
      <c r="V104" s="572">
        <f t="shared" si="42"/>
        <v>0</v>
      </c>
    </row>
    <row r="105" spans="1:22" x14ac:dyDescent="0.3">
      <c r="A105" s="563"/>
      <c r="B105" s="563"/>
      <c r="C105" s="563"/>
      <c r="D105" s="563"/>
      <c r="E105" s="563"/>
      <c r="F105" s="563"/>
      <c r="G105" s="563"/>
      <c r="H105" s="563"/>
      <c r="I105" s="563"/>
      <c r="J105" s="563"/>
      <c r="K105" s="563"/>
      <c r="L105" s="563"/>
      <c r="M105" s="563"/>
      <c r="N105" s="563"/>
      <c r="O105" s="563"/>
      <c r="P105" s="563"/>
      <c r="Q105" s="563"/>
      <c r="R105" s="563"/>
      <c r="S105" s="563"/>
      <c r="T105" s="563"/>
      <c r="U105" s="563"/>
      <c r="V105" s="563"/>
    </row>
    <row r="106" spans="1:22" x14ac:dyDescent="0.3">
      <c r="A106" s="563"/>
      <c r="B106" s="563"/>
      <c r="C106" s="563"/>
      <c r="D106" s="563"/>
      <c r="E106" s="563"/>
      <c r="F106" s="563"/>
      <c r="G106" s="563"/>
      <c r="H106" s="563"/>
      <c r="I106" s="563"/>
      <c r="J106" s="563"/>
      <c r="K106" s="563"/>
      <c r="L106" s="563"/>
      <c r="M106" s="563"/>
      <c r="N106" s="563"/>
      <c r="O106" s="563"/>
      <c r="P106" s="563"/>
      <c r="Q106" s="563"/>
      <c r="R106" s="563"/>
      <c r="S106" s="563"/>
      <c r="T106" s="563"/>
      <c r="U106" s="563"/>
      <c r="V106" s="563"/>
    </row>
    <row r="107" spans="1:22" x14ac:dyDescent="0.3">
      <c r="A107" s="563"/>
      <c r="B107" s="563"/>
      <c r="C107" s="563"/>
      <c r="D107" s="563"/>
      <c r="E107" s="563"/>
      <c r="F107" s="563"/>
      <c r="G107" s="563"/>
      <c r="H107" s="563"/>
      <c r="I107" s="563"/>
      <c r="J107" s="563"/>
      <c r="K107" s="563"/>
      <c r="L107" s="563"/>
      <c r="M107" s="563"/>
      <c r="N107" s="563"/>
      <c r="O107" s="563"/>
      <c r="P107" s="563"/>
      <c r="Q107" s="563"/>
      <c r="R107" s="563"/>
      <c r="S107" s="563"/>
      <c r="T107" s="563"/>
      <c r="U107" s="563"/>
      <c r="V107" s="563"/>
    </row>
    <row r="108" spans="1:22" x14ac:dyDescent="0.3">
      <c r="A108" s="563"/>
      <c r="B108" s="563"/>
      <c r="C108" s="563"/>
      <c r="D108" s="563"/>
      <c r="E108" s="563"/>
      <c r="F108" s="563"/>
      <c r="G108" s="563"/>
      <c r="H108" s="563"/>
      <c r="I108" s="563"/>
      <c r="J108" s="563"/>
      <c r="K108" s="563"/>
      <c r="L108" s="563"/>
      <c r="M108" s="563"/>
      <c r="N108" s="563"/>
      <c r="O108" s="563"/>
      <c r="P108" s="563"/>
      <c r="Q108" s="563"/>
      <c r="R108" s="563"/>
      <c r="S108" s="563"/>
      <c r="T108" s="563"/>
      <c r="U108" s="563"/>
      <c r="V108" s="563"/>
    </row>
    <row r="109" spans="1:22" x14ac:dyDescent="0.3">
      <c r="A109" s="563"/>
      <c r="B109" s="563"/>
      <c r="C109" s="563"/>
      <c r="D109" s="563"/>
      <c r="E109" s="563"/>
      <c r="F109" s="563"/>
      <c r="G109" s="563"/>
      <c r="H109" s="563"/>
      <c r="I109" s="563"/>
      <c r="J109" s="563"/>
      <c r="K109" s="563"/>
      <c r="L109" s="563"/>
      <c r="M109" s="563"/>
      <c r="N109" s="563"/>
      <c r="O109" s="563"/>
      <c r="P109" s="563"/>
      <c r="Q109" s="563"/>
      <c r="R109" s="563"/>
      <c r="S109" s="563"/>
      <c r="T109" s="563"/>
      <c r="U109" s="563"/>
      <c r="V109" s="563"/>
    </row>
    <row r="110" spans="1:22" x14ac:dyDescent="0.3">
      <c r="A110" s="563" t="s">
        <v>1732</v>
      </c>
      <c r="B110" s="565" t="str">
        <f t="shared" ref="B110:V110" si="43">B79</f>
        <v>N</v>
      </c>
      <c r="C110" s="565" t="str">
        <f t="shared" si="43"/>
        <v>N+1</v>
      </c>
      <c r="D110" s="565" t="str">
        <f t="shared" si="43"/>
        <v>N+2</v>
      </c>
      <c r="E110" s="565" t="str">
        <f t="shared" si="43"/>
        <v>N+3</v>
      </c>
      <c r="F110" s="565" t="str">
        <f t="shared" si="43"/>
        <v>N+4</v>
      </c>
      <c r="G110" s="565" t="str">
        <f t="shared" si="43"/>
        <v>N+5</v>
      </c>
      <c r="H110" s="565" t="str">
        <f t="shared" si="43"/>
        <v>N+6</v>
      </c>
      <c r="I110" s="565" t="str">
        <f t="shared" si="43"/>
        <v>N+7</v>
      </c>
      <c r="J110" s="565" t="str">
        <f t="shared" si="43"/>
        <v>N+8</v>
      </c>
      <c r="K110" s="565" t="str">
        <f t="shared" si="43"/>
        <v>N+9</v>
      </c>
      <c r="L110" s="565" t="str">
        <f t="shared" si="43"/>
        <v>N+10</v>
      </c>
      <c r="M110" s="565" t="str">
        <f t="shared" si="43"/>
        <v>N+11</v>
      </c>
      <c r="N110" s="565" t="str">
        <f t="shared" si="43"/>
        <v>N+12</v>
      </c>
      <c r="O110" s="565" t="str">
        <f t="shared" si="43"/>
        <v>N+13</v>
      </c>
      <c r="P110" s="565" t="str">
        <f t="shared" si="43"/>
        <v>N+14</v>
      </c>
      <c r="Q110" s="565" t="str">
        <f t="shared" si="43"/>
        <v>N+15</v>
      </c>
      <c r="R110" s="565" t="str">
        <f t="shared" si="43"/>
        <v>N+16</v>
      </c>
      <c r="S110" s="565" t="str">
        <f t="shared" si="43"/>
        <v>N+17</v>
      </c>
      <c r="T110" s="565" t="str">
        <f t="shared" si="43"/>
        <v>N+18</v>
      </c>
      <c r="U110" s="565" t="str">
        <f t="shared" si="43"/>
        <v>N+19</v>
      </c>
      <c r="V110" s="565" t="str">
        <f t="shared" si="43"/>
        <v>N+20</v>
      </c>
    </row>
    <row r="111" spans="1:22" x14ac:dyDescent="0.3">
      <c r="A111" s="563"/>
      <c r="B111" s="563"/>
      <c r="C111" s="563"/>
      <c r="D111" s="563"/>
      <c r="E111" s="563"/>
      <c r="F111" s="563"/>
      <c r="G111" s="563"/>
      <c r="H111" s="563"/>
      <c r="I111" s="563"/>
      <c r="J111" s="563"/>
      <c r="K111" s="563"/>
      <c r="L111" s="563"/>
      <c r="M111" s="563"/>
      <c r="N111" s="563"/>
      <c r="O111" s="563"/>
      <c r="P111" s="563"/>
      <c r="Q111" s="563"/>
      <c r="R111" s="563"/>
      <c r="S111" s="563"/>
      <c r="T111" s="563"/>
      <c r="U111" s="563"/>
      <c r="V111" s="563"/>
    </row>
    <row r="112" spans="1:22" x14ac:dyDescent="0.3">
      <c r="A112" s="563" t="s">
        <v>1221</v>
      </c>
      <c r="B112" s="566">
        <v>0</v>
      </c>
      <c r="C112" s="567">
        <f t="shared" ref="C112:V112" si="44">+C91</f>
        <v>-751.5</v>
      </c>
      <c r="D112" s="567">
        <f t="shared" si="44"/>
        <v>442.97500000000002</v>
      </c>
      <c r="E112" s="567">
        <f t="shared" si="44"/>
        <v>862.22500000000002</v>
      </c>
      <c r="F112" s="567">
        <f t="shared" si="44"/>
        <v>948.02500000000009</v>
      </c>
      <c r="G112" s="567">
        <f t="shared" si="44"/>
        <v>1036.4250000000002</v>
      </c>
      <c r="H112" s="567">
        <f t="shared" si="44"/>
        <v>1121.575</v>
      </c>
      <c r="I112" s="567">
        <f t="shared" si="44"/>
        <v>1121.575</v>
      </c>
      <c r="J112" s="567">
        <f t="shared" si="44"/>
        <v>1121.575</v>
      </c>
      <c r="K112" s="567">
        <f t="shared" si="44"/>
        <v>1121.575</v>
      </c>
      <c r="L112" s="567">
        <f t="shared" si="44"/>
        <v>1121.575</v>
      </c>
      <c r="M112" s="567">
        <f t="shared" si="44"/>
        <v>1425.45</v>
      </c>
      <c r="N112" s="567">
        <f t="shared" si="44"/>
        <v>1425.45</v>
      </c>
      <c r="O112" s="567">
        <f t="shared" si="44"/>
        <v>1425.45</v>
      </c>
      <c r="P112" s="567">
        <f t="shared" si="44"/>
        <v>1425.45</v>
      </c>
      <c r="Q112" s="567">
        <f t="shared" si="44"/>
        <v>1425.45</v>
      </c>
      <c r="R112" s="567">
        <f t="shared" si="44"/>
        <v>1425.45</v>
      </c>
      <c r="S112" s="567">
        <f t="shared" si="44"/>
        <v>1425.45</v>
      </c>
      <c r="T112" s="567">
        <f t="shared" si="44"/>
        <v>1425.45</v>
      </c>
      <c r="U112" s="567">
        <f t="shared" si="44"/>
        <v>1425.45</v>
      </c>
      <c r="V112" s="567">
        <f t="shared" si="44"/>
        <v>1425.45</v>
      </c>
    </row>
    <row r="113" spans="1:22" x14ac:dyDescent="0.3">
      <c r="A113" s="563" t="s">
        <v>1156</v>
      </c>
      <c r="B113" s="568">
        <v>0</v>
      </c>
      <c r="C113" s="569">
        <f t="shared" ref="C113:V113" si="45">-C87</f>
        <v>0</v>
      </c>
      <c r="D113" s="569">
        <f t="shared" si="45"/>
        <v>0</v>
      </c>
      <c r="E113" s="569">
        <f t="shared" si="45"/>
        <v>0</v>
      </c>
      <c r="F113" s="569">
        <f t="shared" si="45"/>
        <v>0</v>
      </c>
      <c r="G113" s="569">
        <f t="shared" si="45"/>
        <v>0</v>
      </c>
      <c r="H113" s="569">
        <f t="shared" si="45"/>
        <v>0</v>
      </c>
      <c r="I113" s="569">
        <f t="shared" si="45"/>
        <v>0</v>
      </c>
      <c r="J113" s="569">
        <f t="shared" si="45"/>
        <v>0</v>
      </c>
      <c r="K113" s="569">
        <f t="shared" si="45"/>
        <v>0</v>
      </c>
      <c r="L113" s="569">
        <f t="shared" si="45"/>
        <v>0</v>
      </c>
      <c r="M113" s="569">
        <f t="shared" si="45"/>
        <v>0</v>
      </c>
      <c r="N113" s="569">
        <f t="shared" si="45"/>
        <v>0</v>
      </c>
      <c r="O113" s="569">
        <f t="shared" si="45"/>
        <v>0</v>
      </c>
      <c r="P113" s="569">
        <f t="shared" si="45"/>
        <v>0</v>
      </c>
      <c r="Q113" s="569">
        <f t="shared" si="45"/>
        <v>0</v>
      </c>
      <c r="R113" s="569">
        <f t="shared" si="45"/>
        <v>0</v>
      </c>
      <c r="S113" s="569">
        <f t="shared" si="45"/>
        <v>0</v>
      </c>
      <c r="T113" s="569">
        <f t="shared" si="45"/>
        <v>0</v>
      </c>
      <c r="U113" s="569">
        <f t="shared" si="45"/>
        <v>0</v>
      </c>
      <c r="V113" s="569">
        <f t="shared" si="45"/>
        <v>0</v>
      </c>
    </row>
    <row r="114" spans="1:22" x14ac:dyDescent="0.3">
      <c r="A114" s="570" t="s">
        <v>1347</v>
      </c>
      <c r="B114" s="571">
        <v>0</v>
      </c>
      <c r="C114" s="572">
        <f t="shared" ref="C114:V114" si="46">+C113+C112</f>
        <v>-751.5</v>
      </c>
      <c r="D114" s="572">
        <f t="shared" si="46"/>
        <v>442.97500000000002</v>
      </c>
      <c r="E114" s="572">
        <f t="shared" si="46"/>
        <v>862.22500000000002</v>
      </c>
      <c r="F114" s="572">
        <f t="shared" si="46"/>
        <v>948.02500000000009</v>
      </c>
      <c r="G114" s="572">
        <f t="shared" si="46"/>
        <v>1036.4250000000002</v>
      </c>
      <c r="H114" s="572">
        <f t="shared" si="46"/>
        <v>1121.575</v>
      </c>
      <c r="I114" s="572">
        <f t="shared" si="46"/>
        <v>1121.575</v>
      </c>
      <c r="J114" s="572">
        <f t="shared" si="46"/>
        <v>1121.575</v>
      </c>
      <c r="K114" s="572">
        <f t="shared" si="46"/>
        <v>1121.575</v>
      </c>
      <c r="L114" s="572">
        <f t="shared" si="46"/>
        <v>1121.575</v>
      </c>
      <c r="M114" s="572">
        <f t="shared" si="46"/>
        <v>1425.45</v>
      </c>
      <c r="N114" s="572">
        <f t="shared" si="46"/>
        <v>1425.45</v>
      </c>
      <c r="O114" s="572">
        <f t="shared" si="46"/>
        <v>1425.45</v>
      </c>
      <c r="P114" s="572">
        <f t="shared" si="46"/>
        <v>1425.45</v>
      </c>
      <c r="Q114" s="572">
        <f t="shared" si="46"/>
        <v>1425.45</v>
      </c>
      <c r="R114" s="572">
        <f t="shared" si="46"/>
        <v>1425.45</v>
      </c>
      <c r="S114" s="572">
        <f t="shared" si="46"/>
        <v>1425.45</v>
      </c>
      <c r="T114" s="572">
        <f t="shared" si="46"/>
        <v>1425.45</v>
      </c>
      <c r="U114" s="572">
        <f t="shared" si="46"/>
        <v>1425.45</v>
      </c>
      <c r="V114" s="572">
        <f t="shared" si="46"/>
        <v>1425.45</v>
      </c>
    </row>
    <row r="115" spans="1:22" x14ac:dyDescent="0.3">
      <c r="A115" s="563" t="s">
        <v>1733</v>
      </c>
      <c r="B115" s="568">
        <v>0</v>
      </c>
      <c r="C115" s="569">
        <f t="shared" ref="C115:V115" si="47">+B100-C100</f>
        <v>0</v>
      </c>
      <c r="D115" s="569">
        <f t="shared" si="47"/>
        <v>0</v>
      </c>
      <c r="E115" s="569">
        <f t="shared" si="47"/>
        <v>0</v>
      </c>
      <c r="F115" s="569">
        <f t="shared" si="47"/>
        <v>0</v>
      </c>
      <c r="G115" s="569">
        <f t="shared" si="47"/>
        <v>0</v>
      </c>
      <c r="H115" s="569">
        <f t="shared" si="47"/>
        <v>0</v>
      </c>
      <c r="I115" s="569">
        <f t="shared" si="47"/>
        <v>0</v>
      </c>
      <c r="J115" s="569">
        <f t="shared" si="47"/>
        <v>0</v>
      </c>
      <c r="K115" s="569">
        <f t="shared" si="47"/>
        <v>0</v>
      </c>
      <c r="L115" s="569">
        <f t="shared" si="47"/>
        <v>0</v>
      </c>
      <c r="M115" s="569">
        <f t="shared" si="47"/>
        <v>0</v>
      </c>
      <c r="N115" s="569">
        <f t="shared" si="47"/>
        <v>0</v>
      </c>
      <c r="O115" s="569">
        <f t="shared" si="47"/>
        <v>0</v>
      </c>
      <c r="P115" s="569">
        <f t="shared" si="47"/>
        <v>0</v>
      </c>
      <c r="Q115" s="569">
        <f t="shared" si="47"/>
        <v>0</v>
      </c>
      <c r="R115" s="569">
        <f t="shared" si="47"/>
        <v>0</v>
      </c>
      <c r="S115" s="569">
        <f t="shared" si="47"/>
        <v>0</v>
      </c>
      <c r="T115" s="569">
        <f t="shared" si="47"/>
        <v>0</v>
      </c>
      <c r="U115" s="569">
        <f t="shared" si="47"/>
        <v>0</v>
      </c>
      <c r="V115" s="569">
        <f t="shared" si="47"/>
        <v>0</v>
      </c>
    </row>
    <row r="116" spans="1:22" x14ac:dyDescent="0.3">
      <c r="A116" s="570" t="s">
        <v>1734</v>
      </c>
      <c r="B116" s="571">
        <v>0</v>
      </c>
      <c r="C116" s="572">
        <f t="shared" ref="C116:V116" si="48">+SUM(C114:C115)</f>
        <v>-751.5</v>
      </c>
      <c r="D116" s="572">
        <f t="shared" si="48"/>
        <v>442.97500000000002</v>
      </c>
      <c r="E116" s="572">
        <f t="shared" si="48"/>
        <v>862.22500000000002</v>
      </c>
      <c r="F116" s="572">
        <f t="shared" si="48"/>
        <v>948.02500000000009</v>
      </c>
      <c r="G116" s="572">
        <f t="shared" si="48"/>
        <v>1036.4250000000002</v>
      </c>
      <c r="H116" s="572">
        <f t="shared" si="48"/>
        <v>1121.575</v>
      </c>
      <c r="I116" s="572">
        <f t="shared" si="48"/>
        <v>1121.575</v>
      </c>
      <c r="J116" s="572">
        <f t="shared" si="48"/>
        <v>1121.575</v>
      </c>
      <c r="K116" s="572">
        <f t="shared" si="48"/>
        <v>1121.575</v>
      </c>
      <c r="L116" s="572">
        <f t="shared" si="48"/>
        <v>1121.575</v>
      </c>
      <c r="M116" s="572">
        <f t="shared" si="48"/>
        <v>1425.45</v>
      </c>
      <c r="N116" s="572">
        <f t="shared" si="48"/>
        <v>1425.45</v>
      </c>
      <c r="O116" s="572">
        <f t="shared" si="48"/>
        <v>1425.45</v>
      </c>
      <c r="P116" s="572">
        <f t="shared" si="48"/>
        <v>1425.45</v>
      </c>
      <c r="Q116" s="572">
        <f t="shared" si="48"/>
        <v>1425.45</v>
      </c>
      <c r="R116" s="572">
        <f t="shared" si="48"/>
        <v>1425.45</v>
      </c>
      <c r="S116" s="572">
        <f t="shared" si="48"/>
        <v>1425.45</v>
      </c>
      <c r="T116" s="572">
        <f t="shared" si="48"/>
        <v>1425.45</v>
      </c>
      <c r="U116" s="572">
        <f t="shared" si="48"/>
        <v>1425.45</v>
      </c>
      <c r="V116" s="572">
        <f t="shared" si="48"/>
        <v>1425.45</v>
      </c>
    </row>
    <row r="117" spans="1:22" x14ac:dyDescent="0.3">
      <c r="A117" s="563" t="s">
        <v>1735</v>
      </c>
      <c r="B117" s="568">
        <f>-B99</f>
        <v>0</v>
      </c>
      <c r="C117" s="569">
        <v>0</v>
      </c>
      <c r="D117" s="569">
        <v>0</v>
      </c>
      <c r="E117" s="569">
        <v>0</v>
      </c>
      <c r="F117" s="569">
        <v>0</v>
      </c>
      <c r="G117" s="569">
        <v>0</v>
      </c>
      <c r="H117" s="569">
        <v>0</v>
      </c>
      <c r="I117" s="569">
        <v>0</v>
      </c>
      <c r="J117" s="569">
        <v>0</v>
      </c>
      <c r="K117" s="569">
        <v>0</v>
      </c>
      <c r="L117" s="569">
        <v>0</v>
      </c>
      <c r="M117" s="569">
        <v>0</v>
      </c>
      <c r="N117" s="569">
        <v>0</v>
      </c>
      <c r="O117" s="569">
        <v>0</v>
      </c>
      <c r="P117" s="569">
        <v>0</v>
      </c>
      <c r="Q117" s="569">
        <v>0</v>
      </c>
      <c r="R117" s="569">
        <v>0</v>
      </c>
      <c r="S117" s="569">
        <v>0</v>
      </c>
      <c r="T117" s="569">
        <v>0</v>
      </c>
      <c r="U117" s="569">
        <v>0</v>
      </c>
      <c r="V117" s="569">
        <v>0</v>
      </c>
    </row>
    <row r="118" spans="1:22" x14ac:dyDescent="0.3">
      <c r="A118" s="570" t="s">
        <v>253</v>
      </c>
      <c r="B118" s="571">
        <f t="shared" ref="B118:V118" si="49">+B116+B117</f>
        <v>0</v>
      </c>
      <c r="C118" s="572">
        <f t="shared" si="49"/>
        <v>-751.5</v>
      </c>
      <c r="D118" s="572">
        <f t="shared" si="49"/>
        <v>442.97500000000002</v>
      </c>
      <c r="E118" s="572">
        <f t="shared" si="49"/>
        <v>862.22500000000002</v>
      </c>
      <c r="F118" s="572">
        <f t="shared" si="49"/>
        <v>948.02500000000009</v>
      </c>
      <c r="G118" s="572">
        <f t="shared" si="49"/>
        <v>1036.4250000000002</v>
      </c>
      <c r="H118" s="572">
        <f t="shared" si="49"/>
        <v>1121.575</v>
      </c>
      <c r="I118" s="572">
        <f t="shared" si="49"/>
        <v>1121.575</v>
      </c>
      <c r="J118" s="572">
        <f t="shared" si="49"/>
        <v>1121.575</v>
      </c>
      <c r="K118" s="572">
        <f t="shared" si="49"/>
        <v>1121.575</v>
      </c>
      <c r="L118" s="572">
        <f t="shared" si="49"/>
        <v>1121.575</v>
      </c>
      <c r="M118" s="572">
        <f t="shared" si="49"/>
        <v>1425.45</v>
      </c>
      <c r="N118" s="572">
        <f t="shared" si="49"/>
        <v>1425.45</v>
      </c>
      <c r="O118" s="572">
        <f t="shared" si="49"/>
        <v>1425.45</v>
      </c>
      <c r="P118" s="572">
        <f t="shared" si="49"/>
        <v>1425.45</v>
      </c>
      <c r="Q118" s="572">
        <f t="shared" si="49"/>
        <v>1425.45</v>
      </c>
      <c r="R118" s="572">
        <f t="shared" si="49"/>
        <v>1425.45</v>
      </c>
      <c r="S118" s="572">
        <f t="shared" si="49"/>
        <v>1425.45</v>
      </c>
      <c r="T118" s="572">
        <f t="shared" si="49"/>
        <v>1425.45</v>
      </c>
      <c r="U118" s="572">
        <f t="shared" si="49"/>
        <v>1425.45</v>
      </c>
      <c r="V118" s="572">
        <f t="shared" si="49"/>
        <v>1425.45</v>
      </c>
    </row>
    <row r="119" spans="1:22" x14ac:dyDescent="0.3">
      <c r="A119" s="573" t="s">
        <v>1736</v>
      </c>
      <c r="B119" s="571">
        <f t="shared" ref="B119:V119" si="50">-B118</f>
        <v>0</v>
      </c>
      <c r="C119" s="572">
        <f t="shared" si="50"/>
        <v>751.5</v>
      </c>
      <c r="D119" s="572">
        <f t="shared" si="50"/>
        <v>-442.97500000000002</v>
      </c>
      <c r="E119" s="572">
        <f t="shared" si="50"/>
        <v>-862.22500000000002</v>
      </c>
      <c r="F119" s="572">
        <f t="shared" si="50"/>
        <v>-948.02500000000009</v>
      </c>
      <c r="G119" s="572">
        <f t="shared" si="50"/>
        <v>-1036.4250000000002</v>
      </c>
      <c r="H119" s="572">
        <f t="shared" si="50"/>
        <v>-1121.575</v>
      </c>
      <c r="I119" s="572">
        <f t="shared" si="50"/>
        <v>-1121.575</v>
      </c>
      <c r="J119" s="572">
        <f t="shared" si="50"/>
        <v>-1121.575</v>
      </c>
      <c r="K119" s="572">
        <f t="shared" si="50"/>
        <v>-1121.575</v>
      </c>
      <c r="L119" s="572">
        <f t="shared" si="50"/>
        <v>-1121.575</v>
      </c>
      <c r="M119" s="572">
        <f t="shared" si="50"/>
        <v>-1425.45</v>
      </c>
      <c r="N119" s="572">
        <f t="shared" si="50"/>
        <v>-1425.45</v>
      </c>
      <c r="O119" s="572">
        <f t="shared" si="50"/>
        <v>-1425.45</v>
      </c>
      <c r="P119" s="572">
        <f t="shared" si="50"/>
        <v>-1425.45</v>
      </c>
      <c r="Q119" s="572">
        <f t="shared" si="50"/>
        <v>-1425.45</v>
      </c>
      <c r="R119" s="572">
        <f t="shared" si="50"/>
        <v>-1425.45</v>
      </c>
      <c r="S119" s="572">
        <f t="shared" si="50"/>
        <v>-1425.45</v>
      </c>
      <c r="T119" s="572">
        <f t="shared" si="50"/>
        <v>-1425.45</v>
      </c>
      <c r="U119" s="572">
        <f t="shared" si="50"/>
        <v>-1425.45</v>
      </c>
      <c r="V119" s="572">
        <f t="shared" si="50"/>
        <v>-1425.45</v>
      </c>
    </row>
    <row r="120" spans="1:22" x14ac:dyDescent="0.3">
      <c r="A120" s="563"/>
      <c r="B120" s="563"/>
      <c r="C120" s="563"/>
      <c r="D120" s="563"/>
      <c r="E120" s="563"/>
      <c r="F120" s="563"/>
      <c r="G120" s="563"/>
      <c r="H120" s="563"/>
      <c r="I120" s="563"/>
      <c r="J120" s="563"/>
      <c r="K120" s="563"/>
      <c r="L120" s="563"/>
      <c r="M120" s="563"/>
      <c r="N120" s="563"/>
      <c r="O120" s="563"/>
      <c r="P120" s="563"/>
      <c r="Q120" s="563"/>
      <c r="R120" s="563"/>
      <c r="S120" s="563"/>
      <c r="T120" s="563"/>
      <c r="U120" s="563"/>
      <c r="V120" s="563"/>
    </row>
    <row r="121" spans="1:22" x14ac:dyDescent="0.3">
      <c r="A121" s="563"/>
      <c r="B121" s="563"/>
      <c r="C121" s="563"/>
      <c r="D121" s="574"/>
      <c r="E121" s="563"/>
      <c r="F121" s="563"/>
      <c r="G121" s="563"/>
      <c r="H121" s="563"/>
      <c r="I121" s="563"/>
      <c r="J121" s="563"/>
      <c r="K121" s="563"/>
      <c r="L121" s="563"/>
      <c r="M121" s="563"/>
      <c r="N121" s="563"/>
      <c r="O121" s="563"/>
      <c r="P121" s="563"/>
      <c r="Q121" s="563"/>
      <c r="R121" s="563"/>
      <c r="S121" s="563"/>
      <c r="T121" s="563"/>
      <c r="U121" s="563"/>
      <c r="V121" s="563"/>
    </row>
    <row r="122" spans="1:22" x14ac:dyDescent="0.3">
      <c r="A122" s="563"/>
      <c r="B122" s="563"/>
      <c r="C122" s="563"/>
      <c r="D122" s="563"/>
      <c r="E122" s="563"/>
      <c r="F122" s="563"/>
      <c r="G122" s="563"/>
      <c r="H122" s="563"/>
      <c r="I122" s="563"/>
      <c r="J122" s="563"/>
      <c r="K122" s="563"/>
      <c r="L122" s="563"/>
      <c r="M122" s="563"/>
      <c r="N122" s="563"/>
      <c r="O122" s="563"/>
      <c r="P122" s="563"/>
      <c r="Q122" s="563"/>
      <c r="R122" s="563"/>
      <c r="S122" s="563"/>
      <c r="T122" s="563"/>
      <c r="U122" s="563"/>
      <c r="V122" s="563"/>
    </row>
    <row r="123" spans="1:22" x14ac:dyDescent="0.3">
      <c r="A123" s="563" t="s">
        <v>1737</v>
      </c>
      <c r="B123" s="563"/>
      <c r="C123" s="563"/>
      <c r="D123" s="574"/>
      <c r="E123" s="563"/>
      <c r="F123" s="563"/>
      <c r="G123" s="563"/>
      <c r="H123" s="563"/>
      <c r="I123" s="563"/>
      <c r="J123" s="563"/>
      <c r="K123" s="563"/>
      <c r="L123" s="563"/>
      <c r="M123" s="563"/>
      <c r="N123" s="563"/>
      <c r="O123" s="563"/>
      <c r="P123" s="563"/>
      <c r="Q123" s="563"/>
      <c r="R123" s="563"/>
      <c r="S123" s="563"/>
      <c r="T123" s="563"/>
      <c r="U123" s="563"/>
      <c r="V123" s="563"/>
    </row>
    <row r="124" spans="1:22" x14ac:dyDescent="0.3">
      <c r="A124" s="563" t="s">
        <v>1738</v>
      </c>
      <c r="B124" s="575">
        <v>2.5000000000000001E-2</v>
      </c>
      <c r="C124" s="563"/>
      <c r="D124" s="563"/>
      <c r="E124" s="563"/>
      <c r="F124" s="563"/>
      <c r="G124" s="563"/>
      <c r="H124" s="563"/>
      <c r="I124" s="563"/>
      <c r="J124" s="563"/>
      <c r="K124" s="563"/>
      <c r="L124" s="563"/>
      <c r="M124" s="563"/>
      <c r="N124" s="563"/>
      <c r="O124" s="563"/>
      <c r="P124" s="563"/>
      <c r="Q124" s="563"/>
      <c r="R124" s="563"/>
      <c r="S124" s="563"/>
      <c r="T124" s="563"/>
      <c r="U124" s="563"/>
      <c r="V124" s="563"/>
    </row>
    <row r="125" spans="1:22" x14ac:dyDescent="0.3">
      <c r="A125" s="563"/>
      <c r="B125" s="563"/>
      <c r="C125" s="563"/>
      <c r="D125" s="574"/>
      <c r="E125" s="563"/>
      <c r="F125" s="563"/>
      <c r="G125" s="563"/>
      <c r="H125" s="563"/>
      <c r="I125" s="563"/>
      <c r="J125" s="563"/>
      <c r="K125" s="563"/>
      <c r="L125" s="563"/>
      <c r="M125" s="563"/>
      <c r="N125" s="563"/>
      <c r="O125" s="563"/>
      <c r="P125" s="563"/>
      <c r="Q125" s="563"/>
      <c r="R125" s="563"/>
      <c r="S125" s="563"/>
      <c r="T125" s="563"/>
      <c r="U125" s="563"/>
      <c r="V125" s="563"/>
    </row>
    <row r="126" spans="1:22" x14ac:dyDescent="0.3">
      <c r="A126" s="563"/>
      <c r="B126" s="563"/>
      <c r="C126" s="563"/>
      <c r="D126" s="563"/>
      <c r="E126" s="563"/>
      <c r="F126" s="563"/>
      <c r="G126" s="563"/>
      <c r="H126" s="563"/>
      <c r="I126" s="563"/>
      <c r="J126" s="563"/>
      <c r="K126" s="563"/>
      <c r="L126" s="563"/>
      <c r="M126" s="563"/>
      <c r="N126" s="563"/>
      <c r="O126" s="563"/>
      <c r="P126" s="563"/>
      <c r="Q126" s="563"/>
      <c r="R126" s="563"/>
      <c r="S126" s="563"/>
      <c r="T126" s="563"/>
      <c r="U126" s="563"/>
      <c r="V126" s="563"/>
    </row>
    <row r="127" spans="1:22" x14ac:dyDescent="0.3">
      <c r="A127" s="563" t="s">
        <v>1739</v>
      </c>
      <c r="B127" s="563"/>
      <c r="C127" s="563"/>
      <c r="D127" s="574"/>
      <c r="E127" s="563"/>
      <c r="F127" s="563"/>
      <c r="G127" s="563"/>
      <c r="H127" s="563"/>
      <c r="I127" s="563"/>
      <c r="J127" s="563"/>
      <c r="K127" s="563"/>
      <c r="L127" s="563"/>
      <c r="M127" s="563"/>
      <c r="N127" s="563"/>
      <c r="O127" s="563"/>
      <c r="P127" s="563"/>
      <c r="Q127" s="563"/>
      <c r="R127" s="563"/>
      <c r="S127" s="563"/>
      <c r="T127" s="563"/>
      <c r="U127" s="563"/>
      <c r="V127" s="563"/>
    </row>
    <row r="128" spans="1:22" x14ac:dyDescent="0.3">
      <c r="A128" s="563"/>
      <c r="B128" s="563"/>
      <c r="C128" s="563"/>
      <c r="D128" s="563"/>
      <c r="E128" s="563"/>
      <c r="F128" s="563"/>
      <c r="G128" s="563"/>
      <c r="H128" s="563"/>
      <c r="I128" s="563"/>
      <c r="J128" s="563"/>
      <c r="K128" s="563"/>
      <c r="L128" s="563"/>
      <c r="M128" s="563"/>
      <c r="N128" s="563"/>
      <c r="O128" s="563"/>
      <c r="P128" s="563"/>
      <c r="Q128" s="563"/>
      <c r="R128" s="563"/>
      <c r="S128" s="563"/>
      <c r="T128" s="563"/>
      <c r="U128" s="563"/>
      <c r="V128" s="563"/>
    </row>
    <row r="129" spans="1:22" x14ac:dyDescent="0.3">
      <c r="A129" s="563"/>
      <c r="B129" s="563"/>
      <c r="C129" s="563"/>
      <c r="D129" s="563"/>
      <c r="E129" s="563"/>
      <c r="F129" s="563"/>
      <c r="G129" s="563"/>
      <c r="H129" s="563"/>
      <c r="I129" s="563"/>
      <c r="J129" s="563"/>
      <c r="K129" s="563"/>
      <c r="L129" s="563"/>
      <c r="M129" s="563"/>
      <c r="N129" s="563"/>
      <c r="O129" s="563"/>
      <c r="P129" s="563"/>
      <c r="Q129" s="563"/>
      <c r="R129" s="563"/>
      <c r="S129" s="563"/>
      <c r="T129" s="563"/>
      <c r="U129" s="563"/>
      <c r="V129" s="563"/>
    </row>
    <row r="130" spans="1:22" x14ac:dyDescent="0.3">
      <c r="A130" s="577" t="s">
        <v>253</v>
      </c>
      <c r="B130" s="576">
        <f t="shared" ref="B130:V130" si="51">B88*(1-$B$20)+B117+B113+B115</f>
        <v>0</v>
      </c>
      <c r="C130" s="576">
        <f t="shared" si="51"/>
        <v>-184.6</v>
      </c>
      <c r="D130" s="576">
        <f t="shared" si="51"/>
        <v>746.85</v>
      </c>
      <c r="E130" s="576">
        <f t="shared" si="51"/>
        <v>1166.1000000000001</v>
      </c>
      <c r="F130" s="576">
        <f t="shared" si="51"/>
        <v>1251.9000000000001</v>
      </c>
      <c r="G130" s="576">
        <f t="shared" si="51"/>
        <v>1340.3</v>
      </c>
      <c r="H130" s="576">
        <f t="shared" si="51"/>
        <v>1425.45</v>
      </c>
      <c r="I130" s="576">
        <f t="shared" si="51"/>
        <v>1425.45</v>
      </c>
      <c r="J130" s="576">
        <f t="shared" si="51"/>
        <v>1425.45</v>
      </c>
      <c r="K130" s="576">
        <f t="shared" si="51"/>
        <v>1425.45</v>
      </c>
      <c r="L130" s="576">
        <f t="shared" si="51"/>
        <v>1425.45</v>
      </c>
      <c r="M130" s="576">
        <f t="shared" si="51"/>
        <v>1425.45</v>
      </c>
      <c r="N130" s="576">
        <f t="shared" si="51"/>
        <v>1425.45</v>
      </c>
      <c r="O130" s="576">
        <f t="shared" si="51"/>
        <v>1425.45</v>
      </c>
      <c r="P130" s="576">
        <f t="shared" si="51"/>
        <v>1425.45</v>
      </c>
      <c r="Q130" s="576">
        <f t="shared" si="51"/>
        <v>1425.45</v>
      </c>
      <c r="R130" s="576">
        <f t="shared" si="51"/>
        <v>1425.45</v>
      </c>
      <c r="S130" s="576">
        <f t="shared" si="51"/>
        <v>1425.45</v>
      </c>
      <c r="T130" s="576">
        <f t="shared" si="51"/>
        <v>1425.45</v>
      </c>
      <c r="U130" s="576">
        <f t="shared" si="51"/>
        <v>1425.45</v>
      </c>
      <c r="V130" s="576">
        <f t="shared" si="51"/>
        <v>1425.45</v>
      </c>
    </row>
    <row r="131" spans="1:22" x14ac:dyDescent="0.3">
      <c r="A131" s="577" t="s">
        <v>730</v>
      </c>
      <c r="B131" s="578">
        <v>7.0000000000000007E-2</v>
      </c>
      <c r="C131" s="563"/>
      <c r="D131" s="574"/>
      <c r="E131" s="563"/>
      <c r="F131" s="563"/>
      <c r="G131" s="563"/>
      <c r="H131" s="563"/>
      <c r="I131" s="563"/>
      <c r="J131" s="563"/>
      <c r="K131" s="563"/>
      <c r="L131" s="563"/>
      <c r="M131" s="563"/>
      <c r="N131" s="563"/>
      <c r="O131" s="563"/>
      <c r="P131" s="563"/>
      <c r="Q131" s="563"/>
      <c r="R131" s="563"/>
      <c r="S131" s="563"/>
      <c r="T131" s="563"/>
      <c r="U131" s="563"/>
      <c r="V131" s="563"/>
    </row>
    <row r="132" spans="1:22" x14ac:dyDescent="0.3">
      <c r="A132" s="577" t="s">
        <v>519</v>
      </c>
      <c r="B132" s="576">
        <f>NPV(B131,B130:V130)</f>
        <v>11774.751745318743</v>
      </c>
      <c r="C132" s="563"/>
      <c r="D132" s="563"/>
      <c r="E132" s="563"/>
      <c r="F132" s="563"/>
      <c r="G132" s="563"/>
      <c r="H132" s="563"/>
      <c r="I132" s="563"/>
      <c r="J132" s="563"/>
      <c r="K132" s="563"/>
      <c r="L132" s="563"/>
      <c r="M132" s="563"/>
      <c r="N132" s="563"/>
      <c r="O132" s="563"/>
      <c r="P132" s="563"/>
      <c r="Q132" s="563"/>
      <c r="R132" s="563"/>
      <c r="S132" s="563"/>
      <c r="T132" s="563"/>
      <c r="U132" s="563"/>
      <c r="V132" s="563"/>
    </row>
  </sheetData>
  <mergeCells count="3">
    <mergeCell ref="A1:H1"/>
    <mergeCell ref="A75:H75"/>
    <mergeCell ref="A73:H73"/>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I54"/>
  <sheetViews>
    <sheetView showGridLines="0" workbookViewId="0"/>
  </sheetViews>
  <sheetFormatPr baseColWidth="10" defaultRowHeight="13.5" x14ac:dyDescent="0.3"/>
  <cols>
    <col min="1" max="1" width="27.84375" customWidth="1"/>
    <col min="2" max="4" width="5.61328125" customWidth="1"/>
    <col min="5" max="5" width="1.3828125" style="460" customWidth="1"/>
    <col min="6" max="6" width="24.61328125" customWidth="1"/>
    <col min="7" max="9" width="5.61328125" customWidth="1"/>
  </cols>
  <sheetData>
    <row r="1" spans="1:8" x14ac:dyDescent="0.3">
      <c r="A1" s="33" t="s">
        <v>1418</v>
      </c>
    </row>
    <row r="2" spans="1:8" x14ac:dyDescent="0.3">
      <c r="A2" s="452" t="s">
        <v>1389</v>
      </c>
      <c r="B2" s="466" t="s">
        <v>1395</v>
      </c>
      <c r="C2" s="466" t="s">
        <v>1667</v>
      </c>
      <c r="D2" s="4"/>
      <c r="E2" s="461"/>
      <c r="F2" s="452" t="s">
        <v>1396</v>
      </c>
      <c r="G2" s="466" t="s">
        <v>1395</v>
      </c>
      <c r="H2" s="466" t="s">
        <v>1667</v>
      </c>
    </row>
    <row r="3" spans="1:8" ht="27" x14ac:dyDescent="0.3">
      <c r="A3" s="3" t="s">
        <v>1390</v>
      </c>
      <c r="B3">
        <v>100</v>
      </c>
      <c r="C3">
        <v>30</v>
      </c>
      <c r="F3" t="s">
        <v>1397</v>
      </c>
      <c r="G3">
        <v>40</v>
      </c>
      <c r="H3">
        <v>10</v>
      </c>
    </row>
    <row r="4" spans="1:8" x14ac:dyDescent="0.3">
      <c r="A4" s="3" t="s">
        <v>1391</v>
      </c>
      <c r="F4" t="s">
        <v>1398</v>
      </c>
      <c r="G4">
        <v>80</v>
      </c>
      <c r="H4">
        <v>10</v>
      </c>
    </row>
    <row r="5" spans="1:8" x14ac:dyDescent="0.3">
      <c r="A5" s="6" t="s">
        <v>1392</v>
      </c>
      <c r="B5">
        <v>16</v>
      </c>
      <c r="F5" t="s">
        <v>1221</v>
      </c>
      <c r="G5">
        <v>10</v>
      </c>
      <c r="H5">
        <v>5</v>
      </c>
    </row>
    <row r="6" spans="1:8" x14ac:dyDescent="0.3">
      <c r="A6" s="6" t="s">
        <v>1393</v>
      </c>
      <c r="B6">
        <v>5</v>
      </c>
      <c r="F6" t="s">
        <v>1399</v>
      </c>
      <c r="G6">
        <v>191</v>
      </c>
      <c r="H6">
        <v>75</v>
      </c>
    </row>
    <row r="7" spans="1:8" x14ac:dyDescent="0.3">
      <c r="A7" s="3" t="s">
        <v>1394</v>
      </c>
      <c r="B7">
        <v>200</v>
      </c>
      <c r="C7">
        <v>70</v>
      </c>
    </row>
    <row r="8" spans="1:8" x14ac:dyDescent="0.3">
      <c r="A8" s="49" t="s">
        <v>1107</v>
      </c>
      <c r="B8" s="49">
        <f>SUM(B3:B7)</f>
        <v>321</v>
      </c>
      <c r="C8" s="49">
        <f>SUM(C3:C7)</f>
        <v>100</v>
      </c>
      <c r="D8" s="1"/>
      <c r="E8" s="462"/>
      <c r="F8" s="49" t="s">
        <v>1107</v>
      </c>
      <c r="G8" s="49">
        <f>SUM(G3:G7)</f>
        <v>321</v>
      </c>
      <c r="H8" s="49">
        <f>SUM(H3:H7)</f>
        <v>100</v>
      </c>
    </row>
    <row r="10" spans="1:8" x14ac:dyDescent="0.3">
      <c r="A10" s="452" t="s">
        <v>1400</v>
      </c>
      <c r="B10" s="466" t="s">
        <v>1395</v>
      </c>
      <c r="C10" s="466" t="s">
        <v>1667</v>
      </c>
      <c r="D10" s="4"/>
      <c r="E10" s="461"/>
    </row>
    <row r="11" spans="1:8" x14ac:dyDescent="0.3">
      <c r="A11" s="22" t="s">
        <v>1401</v>
      </c>
      <c r="B11">
        <v>200</v>
      </c>
      <c r="C11">
        <v>90</v>
      </c>
    </row>
    <row r="12" spans="1:8" x14ac:dyDescent="0.3">
      <c r="A12" s="22" t="s">
        <v>1415</v>
      </c>
      <c r="B12">
        <v>100</v>
      </c>
      <c r="C12">
        <v>50</v>
      </c>
    </row>
    <row r="13" spans="1:8" x14ac:dyDescent="0.3">
      <c r="A13" s="22" t="s">
        <v>1410</v>
      </c>
      <c r="C13">
        <v>2</v>
      </c>
    </row>
    <row r="14" spans="1:8" x14ac:dyDescent="0.3">
      <c r="A14" s="22" t="s">
        <v>1409</v>
      </c>
      <c r="B14">
        <v>25</v>
      </c>
      <c r="C14">
        <v>20</v>
      </c>
    </row>
    <row r="15" spans="1:8" x14ac:dyDescent="0.3">
      <c r="A15" s="22" t="s">
        <v>1408</v>
      </c>
      <c r="B15">
        <v>40</v>
      </c>
      <c r="C15">
        <v>8</v>
      </c>
    </row>
    <row r="16" spans="1:8" x14ac:dyDescent="0.3">
      <c r="A16" s="22" t="s">
        <v>1407</v>
      </c>
      <c r="B16">
        <v>10</v>
      </c>
      <c r="C16">
        <v>1</v>
      </c>
    </row>
    <row r="17" spans="1:9" x14ac:dyDescent="0.3">
      <c r="A17" s="22" t="s">
        <v>1402</v>
      </c>
      <c r="B17">
        <v>3</v>
      </c>
    </row>
    <row r="18" spans="1:9" x14ac:dyDescent="0.3">
      <c r="A18" s="22" t="s">
        <v>1406</v>
      </c>
      <c r="B18">
        <v>9</v>
      </c>
    </row>
    <row r="19" spans="1:9" x14ac:dyDescent="0.3">
      <c r="A19" s="22" t="s">
        <v>1403</v>
      </c>
      <c r="B19">
        <v>2</v>
      </c>
    </row>
    <row r="20" spans="1:9" x14ac:dyDescent="0.3">
      <c r="A20" s="22" t="s">
        <v>1405</v>
      </c>
      <c r="B20">
        <v>11</v>
      </c>
      <c r="C20">
        <v>4</v>
      </c>
    </row>
    <row r="21" spans="1:9" x14ac:dyDescent="0.3">
      <c r="A21" s="29" t="s">
        <v>1404</v>
      </c>
      <c r="B21" s="49">
        <f>B11-B12-B13-B14-B15-B16+B17-B18+B19-B20</f>
        <v>10</v>
      </c>
      <c r="C21" s="49">
        <f>C11-C12-C13-C14-C15-C16+C17-C18+C19-C20</f>
        <v>5</v>
      </c>
      <c r="D21" s="1"/>
      <c r="E21" s="462"/>
    </row>
    <row r="24" spans="1:9" x14ac:dyDescent="0.3">
      <c r="A24" s="4" t="s">
        <v>1668</v>
      </c>
    </row>
    <row r="25" spans="1:9" x14ac:dyDescent="0.3">
      <c r="A25" s="452" t="s">
        <v>1389</v>
      </c>
      <c r="B25" s="459">
        <v>0.8</v>
      </c>
      <c r="C25" s="459">
        <v>0.5</v>
      </c>
      <c r="D25" s="459">
        <v>0.2</v>
      </c>
      <c r="E25" s="463"/>
      <c r="F25" s="452" t="s">
        <v>1396</v>
      </c>
      <c r="G25" s="459">
        <v>0.8</v>
      </c>
      <c r="H25" s="459">
        <v>0.5</v>
      </c>
      <c r="I25" s="459">
        <v>0.2</v>
      </c>
    </row>
    <row r="26" spans="1:9" ht="27" x14ac:dyDescent="0.3">
      <c r="A26" s="3" t="s">
        <v>1390</v>
      </c>
      <c r="B26">
        <f>B3+C3</f>
        <v>130</v>
      </c>
      <c r="C26">
        <f>B3+$C$25*C3</f>
        <v>115</v>
      </c>
      <c r="D26">
        <f>B3</f>
        <v>100</v>
      </c>
      <c r="F26" t="s">
        <v>1397</v>
      </c>
      <c r="G26">
        <f>G3</f>
        <v>40</v>
      </c>
      <c r="H26">
        <f>G3</f>
        <v>40</v>
      </c>
      <c r="I26">
        <f>G3</f>
        <v>40</v>
      </c>
    </row>
    <row r="27" spans="1:9" x14ac:dyDescent="0.3">
      <c r="A27" s="3" t="s">
        <v>1391</v>
      </c>
      <c r="B27">
        <f>B28+B29</f>
        <v>5</v>
      </c>
      <c r="C27">
        <f>C28+C29</f>
        <v>5</v>
      </c>
      <c r="D27">
        <f>D28+D29</f>
        <v>10</v>
      </c>
      <c r="F27" t="s">
        <v>1398</v>
      </c>
    </row>
    <row r="28" spans="1:9" x14ac:dyDescent="0.3">
      <c r="A28" s="6" t="s">
        <v>412</v>
      </c>
      <c r="B28" s="8"/>
      <c r="C28" s="8"/>
      <c r="D28" s="8">
        <f>SUM(H3:H5)*D25</f>
        <v>5</v>
      </c>
      <c r="E28" s="464"/>
      <c r="F28" s="6" t="s">
        <v>1416</v>
      </c>
      <c r="G28">
        <f>G4+H4+H3-B5-G29</f>
        <v>80</v>
      </c>
      <c r="H28">
        <f>G4+H4*C25+H3*C25-B5</f>
        <v>74</v>
      </c>
      <c r="I28">
        <f>G4+D25*SUM(H3:H4)-B5</f>
        <v>68</v>
      </c>
    </row>
    <row r="29" spans="1:9" x14ac:dyDescent="0.3">
      <c r="A29" s="6" t="s">
        <v>1393</v>
      </c>
      <c r="B29" s="8">
        <f>B6</f>
        <v>5</v>
      </c>
      <c r="C29" s="8">
        <f>B6+$C$25*C6</f>
        <v>5</v>
      </c>
      <c r="D29" s="8">
        <f>B6</f>
        <v>5</v>
      </c>
      <c r="E29" s="464"/>
      <c r="F29" s="6" t="s">
        <v>1417</v>
      </c>
      <c r="G29">
        <f>(H4+H3)*(1-B25)</f>
        <v>3.9999999999999991</v>
      </c>
    </row>
    <row r="30" spans="1:9" x14ac:dyDescent="0.3">
      <c r="A30" s="3" t="s">
        <v>1394</v>
      </c>
      <c r="B30">
        <f>B7+C7</f>
        <v>270</v>
      </c>
      <c r="C30">
        <f>B7+$C$25*C7</f>
        <v>235</v>
      </c>
      <c r="D30">
        <f>B7</f>
        <v>200</v>
      </c>
      <c r="F30" t="s">
        <v>1221</v>
      </c>
    </row>
    <row r="31" spans="1:9" x14ac:dyDescent="0.3">
      <c r="A31" s="3"/>
      <c r="F31" s="6" t="s">
        <v>1416</v>
      </c>
      <c r="G31">
        <f>G5+H5*B25</f>
        <v>14</v>
      </c>
      <c r="H31">
        <f>G5+H5*C25</f>
        <v>12.5</v>
      </c>
      <c r="I31">
        <f>G5+H5*D25</f>
        <v>11</v>
      </c>
    </row>
    <row r="32" spans="1:9" x14ac:dyDescent="0.3">
      <c r="E32" s="462"/>
      <c r="F32" s="6" t="s">
        <v>1417</v>
      </c>
      <c r="G32">
        <f>H5*(1-B25)</f>
        <v>0.99999999999999978</v>
      </c>
    </row>
    <row r="33" spans="1:9" x14ac:dyDescent="0.3">
      <c r="F33" t="s">
        <v>1399</v>
      </c>
      <c r="G33">
        <f>G6+H6</f>
        <v>266</v>
      </c>
      <c r="H33">
        <f>G6+H6*$C$25</f>
        <v>228.5</v>
      </c>
      <c r="I33">
        <f>G6</f>
        <v>191</v>
      </c>
    </row>
    <row r="34" spans="1:9" x14ac:dyDescent="0.3">
      <c r="A34" s="49" t="s">
        <v>1107</v>
      </c>
      <c r="B34" s="49">
        <f>B26+B27+B30</f>
        <v>405</v>
      </c>
      <c r="C34" s="49">
        <f>C26+C27+C30</f>
        <v>355</v>
      </c>
      <c r="D34" s="49">
        <f>D26+D27+D30</f>
        <v>310</v>
      </c>
      <c r="F34" s="49" t="s">
        <v>1107</v>
      </c>
      <c r="G34" s="49">
        <f>SUM(G26:G33)</f>
        <v>405</v>
      </c>
      <c r="H34" s="49">
        <f>SUM(H26:H33)</f>
        <v>355</v>
      </c>
      <c r="I34" s="49">
        <f>SUM(I26:I33)</f>
        <v>310</v>
      </c>
    </row>
    <row r="35" spans="1:9" x14ac:dyDescent="0.3">
      <c r="F35" s="1"/>
      <c r="G35" s="1"/>
      <c r="H35" s="1"/>
      <c r="I35" s="1"/>
    </row>
    <row r="36" spans="1:9" x14ac:dyDescent="0.3">
      <c r="F36" s="1"/>
      <c r="G36" s="1"/>
      <c r="H36" s="1"/>
      <c r="I36" s="1"/>
    </row>
    <row r="37" spans="1:9" x14ac:dyDescent="0.3">
      <c r="A37" s="452" t="s">
        <v>1400</v>
      </c>
      <c r="B37" s="459">
        <v>0.8</v>
      </c>
      <c r="C37" s="459">
        <v>0.5</v>
      </c>
      <c r="D37" s="459">
        <v>0.2</v>
      </c>
      <c r="E37" s="465"/>
    </row>
    <row r="38" spans="1:9" x14ac:dyDescent="0.3">
      <c r="A38" s="22" t="s">
        <v>1401</v>
      </c>
      <c r="B38">
        <f>B11+C11</f>
        <v>290</v>
      </c>
      <c r="C38">
        <f>B11+C11*$C$25</f>
        <v>245</v>
      </c>
      <c r="D38">
        <f t="shared" ref="D38:D44" si="0">B11</f>
        <v>200</v>
      </c>
    </row>
    <row r="39" spans="1:9" x14ac:dyDescent="0.3">
      <c r="A39" s="22" t="s">
        <v>1415</v>
      </c>
      <c r="B39">
        <f t="shared" ref="B39:B44" si="1">B12+C12</f>
        <v>150</v>
      </c>
      <c r="C39">
        <f t="shared" ref="C39:C44" si="2">B12+C12*$C$25</f>
        <v>125</v>
      </c>
      <c r="D39">
        <f t="shared" si="0"/>
        <v>100</v>
      </c>
    </row>
    <row r="40" spans="1:9" x14ac:dyDescent="0.3">
      <c r="A40" s="22" t="s">
        <v>1410</v>
      </c>
      <c r="B40">
        <f t="shared" si="1"/>
        <v>2</v>
      </c>
      <c r="C40">
        <f t="shared" si="2"/>
        <v>1</v>
      </c>
      <c r="D40">
        <f t="shared" si="0"/>
        <v>0</v>
      </c>
    </row>
    <row r="41" spans="1:9" x14ac:dyDescent="0.3">
      <c r="A41" s="22" t="s">
        <v>1409</v>
      </c>
      <c r="B41">
        <f t="shared" si="1"/>
        <v>45</v>
      </c>
      <c r="C41">
        <f t="shared" si="2"/>
        <v>35</v>
      </c>
      <c r="D41">
        <f t="shared" si="0"/>
        <v>25</v>
      </c>
    </row>
    <row r="42" spans="1:9" x14ac:dyDescent="0.3">
      <c r="A42" s="22" t="s">
        <v>1408</v>
      </c>
      <c r="B42">
        <f t="shared" si="1"/>
        <v>48</v>
      </c>
      <c r="C42">
        <f t="shared" si="2"/>
        <v>44</v>
      </c>
      <c r="D42">
        <f t="shared" si="0"/>
        <v>40</v>
      </c>
    </row>
    <row r="43" spans="1:9" x14ac:dyDescent="0.3">
      <c r="A43" s="22" t="s">
        <v>1407</v>
      </c>
      <c r="B43">
        <f t="shared" si="1"/>
        <v>11</v>
      </c>
      <c r="C43">
        <f t="shared" si="2"/>
        <v>10.5</v>
      </c>
      <c r="D43">
        <f t="shared" si="0"/>
        <v>10</v>
      </c>
    </row>
    <row r="44" spans="1:9" x14ac:dyDescent="0.3">
      <c r="A44" s="22" t="s">
        <v>1402</v>
      </c>
      <c r="B44">
        <f t="shared" si="1"/>
        <v>3</v>
      </c>
      <c r="C44">
        <f t="shared" si="2"/>
        <v>3</v>
      </c>
      <c r="D44">
        <f t="shared" si="0"/>
        <v>3</v>
      </c>
    </row>
    <row r="45" spans="1:9" ht="27" x14ac:dyDescent="0.3">
      <c r="A45" s="26" t="s">
        <v>413</v>
      </c>
      <c r="D45">
        <f>C21*D25</f>
        <v>1</v>
      </c>
    </row>
    <row r="46" spans="1:9" x14ac:dyDescent="0.3">
      <c r="A46" s="22" t="s">
        <v>1406</v>
      </c>
      <c r="B46">
        <f>B18+C18</f>
        <v>9</v>
      </c>
      <c r="C46">
        <f>B18+C18*$C$25</f>
        <v>9</v>
      </c>
      <c r="D46">
        <f>B18</f>
        <v>9</v>
      </c>
    </row>
    <row r="47" spans="1:9" x14ac:dyDescent="0.3">
      <c r="A47" s="22" t="s">
        <v>1403</v>
      </c>
      <c r="B47">
        <f>B19+C19</f>
        <v>2</v>
      </c>
      <c r="C47">
        <f>B19+C19*$C$25</f>
        <v>2</v>
      </c>
      <c r="D47">
        <f>B19</f>
        <v>2</v>
      </c>
    </row>
    <row r="48" spans="1:9" x14ac:dyDescent="0.3">
      <c r="A48" s="22" t="s">
        <v>1405</v>
      </c>
      <c r="B48">
        <f>B20+C20</f>
        <v>15</v>
      </c>
      <c r="C48">
        <f>B20+C20*$C$25</f>
        <v>13</v>
      </c>
      <c r="D48">
        <f>B20</f>
        <v>11</v>
      </c>
    </row>
    <row r="49" spans="1:5" x14ac:dyDescent="0.3">
      <c r="A49" s="36" t="s">
        <v>1404</v>
      </c>
      <c r="B49" s="1">
        <f>B38-B39-B40-B41-B42-B43+B44-B46+B47-B48</f>
        <v>15</v>
      </c>
      <c r="C49" s="1">
        <f>C38-C39-C40-C41-C42-C43+C44-C46+C47-C48</f>
        <v>12.5</v>
      </c>
      <c r="D49" s="1">
        <f>D38-D39-D40-D41-D42-D43+D44+D45-D46+D47-D48</f>
        <v>11</v>
      </c>
      <c r="E49" s="462"/>
    </row>
    <row r="50" spans="1:5" x14ac:dyDescent="0.3">
      <c r="A50" s="22" t="s">
        <v>457</v>
      </c>
      <c r="B50" s="68">
        <f>(1-B25)*C21</f>
        <v>0.99999999999999978</v>
      </c>
    </row>
    <row r="51" spans="1:5" x14ac:dyDescent="0.3">
      <c r="A51" s="29" t="s">
        <v>414</v>
      </c>
      <c r="B51" s="49">
        <f>B49-B50</f>
        <v>14</v>
      </c>
      <c r="C51" s="49"/>
      <c r="D51" s="49"/>
      <c r="E51" s="462"/>
    </row>
    <row r="52" spans="1:5" x14ac:dyDescent="0.3">
      <c r="A52" s="6"/>
    </row>
    <row r="54" spans="1:5" x14ac:dyDescent="0.3">
      <c r="A54" s="33" t="s">
        <v>1420</v>
      </c>
    </row>
  </sheetData>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ignoredErrors>
    <ignoredError sqref="D28" formulaRange="1"/>
  </ignoredError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H137"/>
  <sheetViews>
    <sheetView showGridLines="0" workbookViewId="0"/>
  </sheetViews>
  <sheetFormatPr baseColWidth="10" defaultRowHeight="13.5" x14ac:dyDescent="0.3"/>
  <cols>
    <col min="1" max="1" width="37.23046875" bestFit="1" customWidth="1"/>
    <col min="2" max="5" width="12.3828125" bestFit="1" customWidth="1"/>
    <col min="6" max="6" width="13.3828125" bestFit="1" customWidth="1"/>
  </cols>
  <sheetData>
    <row r="1" spans="1:7" x14ac:dyDescent="0.3">
      <c r="A1" s="33" t="s">
        <v>671</v>
      </c>
      <c r="F1" s="66"/>
      <c r="G1" s="66"/>
    </row>
    <row r="2" spans="1:7" x14ac:dyDescent="0.3">
      <c r="A2" s="467"/>
      <c r="B2" s="466">
        <v>2006</v>
      </c>
      <c r="C2" s="466">
        <v>2007</v>
      </c>
      <c r="D2" s="466">
        <v>2008</v>
      </c>
      <c r="F2" s="4"/>
      <c r="G2" s="4"/>
    </row>
    <row r="3" spans="1:7" x14ac:dyDescent="0.3">
      <c r="A3" t="s">
        <v>1360</v>
      </c>
      <c r="B3" s="65">
        <v>256</v>
      </c>
      <c r="C3" s="65">
        <v>326</v>
      </c>
      <c r="D3" s="65">
        <v>422</v>
      </c>
      <c r="E3" s="65"/>
      <c r="F3" s="65"/>
    </row>
    <row r="4" spans="1:7" x14ac:dyDescent="0.3">
      <c r="A4" t="s">
        <v>96</v>
      </c>
      <c r="B4" s="65">
        <v>78</v>
      </c>
      <c r="C4" s="65">
        <v>104</v>
      </c>
      <c r="D4" s="65">
        <v>143</v>
      </c>
      <c r="E4" s="37"/>
      <c r="F4" s="65"/>
      <c r="G4" s="65"/>
    </row>
    <row r="5" spans="1:7" x14ac:dyDescent="0.3">
      <c r="A5" t="s">
        <v>1105</v>
      </c>
      <c r="B5" s="65">
        <v>102</v>
      </c>
      <c r="C5" s="65">
        <v>139</v>
      </c>
      <c r="D5" s="65">
        <v>190</v>
      </c>
      <c r="E5" s="65"/>
      <c r="F5" s="65"/>
      <c r="G5" s="65"/>
    </row>
    <row r="6" spans="1:7" x14ac:dyDescent="0.3">
      <c r="A6" t="s">
        <v>1184</v>
      </c>
      <c r="B6" s="65">
        <v>41</v>
      </c>
      <c r="C6" s="65">
        <v>52</v>
      </c>
      <c r="D6" s="65">
        <v>59</v>
      </c>
      <c r="E6" s="65"/>
      <c r="F6" s="65"/>
    </row>
    <row r="7" spans="1:7" x14ac:dyDescent="0.3">
      <c r="A7" t="s">
        <v>1221</v>
      </c>
      <c r="B7" s="65">
        <v>23</v>
      </c>
      <c r="C7" s="65">
        <v>27</v>
      </c>
      <c r="D7" s="65">
        <v>30</v>
      </c>
      <c r="E7" s="65"/>
      <c r="F7" s="65"/>
    </row>
    <row r="8" spans="1:7" x14ac:dyDescent="0.3">
      <c r="A8" t="s">
        <v>1378</v>
      </c>
      <c r="B8" s="65">
        <v>119</v>
      </c>
      <c r="C8" s="65">
        <v>129</v>
      </c>
      <c r="D8" s="65">
        <v>152</v>
      </c>
      <c r="E8" s="65"/>
      <c r="F8" s="65"/>
    </row>
    <row r="9" spans="1:7" x14ac:dyDescent="0.3">
      <c r="A9" t="s">
        <v>97</v>
      </c>
      <c r="B9" s="65">
        <v>42</v>
      </c>
      <c r="C9" s="65">
        <v>125</v>
      </c>
      <c r="D9" s="65">
        <v>150</v>
      </c>
      <c r="E9" s="65"/>
      <c r="F9" s="65"/>
    </row>
    <row r="11" spans="1:7" x14ac:dyDescent="0.3">
      <c r="A11" s="23" t="s">
        <v>98</v>
      </c>
    </row>
    <row r="12" spans="1:7" x14ac:dyDescent="0.3">
      <c r="A12" s="23"/>
    </row>
    <row r="13" spans="1:7" x14ac:dyDescent="0.3">
      <c r="A13" s="68" t="s">
        <v>417</v>
      </c>
      <c r="C13" s="37">
        <f>C3/B3-1</f>
        <v>0.2734375</v>
      </c>
      <c r="D13" s="37">
        <f>D3/C3-1</f>
        <v>0.29447852760736204</v>
      </c>
    </row>
    <row r="14" spans="1:7" x14ac:dyDescent="0.3">
      <c r="A14" s="68" t="s">
        <v>418</v>
      </c>
      <c r="B14" s="37">
        <f>B6/B3</f>
        <v>0.16015625</v>
      </c>
      <c r="C14" s="37">
        <f>C6/C3</f>
        <v>0.15950920245398773</v>
      </c>
      <c r="D14" s="37">
        <f>D6/D3</f>
        <v>0.13981042654028436</v>
      </c>
    </row>
    <row r="15" spans="1:7" x14ac:dyDescent="0.3">
      <c r="A15" s="68" t="s">
        <v>419</v>
      </c>
      <c r="B15" s="37">
        <f>B7/B3</f>
        <v>8.984375E-2</v>
      </c>
      <c r="C15" s="37">
        <f>C7/C3</f>
        <v>8.2822085889570546E-2</v>
      </c>
      <c r="D15" s="37">
        <f>D7/D3</f>
        <v>7.1090047393364927E-2</v>
      </c>
    </row>
    <row r="16" spans="1:7" x14ac:dyDescent="0.3">
      <c r="A16" s="68" t="s">
        <v>421</v>
      </c>
      <c r="B16" s="37">
        <f>B6*0.6/(B8+B9)</f>
        <v>0.15279503105590062</v>
      </c>
      <c r="C16" s="37">
        <f>C6*0.6/(C8+C9)</f>
        <v>0.12283464566929134</v>
      </c>
      <c r="D16" s="37">
        <f>D6*0.6/(D8+D9)</f>
        <v>0.11721854304635761</v>
      </c>
    </row>
    <row r="17" spans="1:8" x14ac:dyDescent="0.3">
      <c r="A17" t="s">
        <v>99</v>
      </c>
      <c r="B17" s="17">
        <f>B8/B9</f>
        <v>2.8333333333333335</v>
      </c>
      <c r="C17" s="17">
        <f>C8/C9</f>
        <v>1.032</v>
      </c>
      <c r="D17" s="17">
        <f>D8/D9</f>
        <v>1.0133333333333334</v>
      </c>
    </row>
    <row r="18" spans="1:8" x14ac:dyDescent="0.3">
      <c r="A18" t="s">
        <v>250</v>
      </c>
      <c r="B18" s="17">
        <f>B7/B8</f>
        <v>0.19327731092436976</v>
      </c>
      <c r="C18" s="17">
        <f>C7/C8</f>
        <v>0.20930232558139536</v>
      </c>
      <c r="D18" s="17">
        <f>D7/D8</f>
        <v>0.19736842105263158</v>
      </c>
    </row>
    <row r="19" spans="1:8" x14ac:dyDescent="0.3">
      <c r="B19" s="37"/>
      <c r="C19" s="37"/>
      <c r="D19" s="37"/>
    </row>
    <row r="20" spans="1:8" x14ac:dyDescent="0.3">
      <c r="B20" s="37"/>
      <c r="C20" s="37"/>
      <c r="D20" s="37"/>
    </row>
    <row r="21" spans="1:8" x14ac:dyDescent="0.3">
      <c r="A21" s="23" t="s">
        <v>425</v>
      </c>
      <c r="B21" s="37"/>
      <c r="C21" s="37"/>
      <c r="D21" s="37"/>
    </row>
    <row r="22" spans="1:8" x14ac:dyDescent="0.3">
      <c r="A22" s="1"/>
      <c r="B22" s="37"/>
      <c r="C22" s="37"/>
      <c r="D22" s="37"/>
    </row>
    <row r="23" spans="1:8" x14ac:dyDescent="0.3">
      <c r="A23" t="s">
        <v>422</v>
      </c>
      <c r="B23" s="65">
        <f>B4+B5</f>
        <v>180</v>
      </c>
      <c r="C23" s="65">
        <f>C4+C5</f>
        <v>243</v>
      </c>
      <c r="D23" s="65">
        <f>D4+D5</f>
        <v>333</v>
      </c>
    </row>
    <row r="24" spans="1:8" x14ac:dyDescent="0.3">
      <c r="A24" t="s">
        <v>423</v>
      </c>
      <c r="B24" s="37">
        <f>B23/(B3-B6)</f>
        <v>0.83720930232558144</v>
      </c>
      <c r="C24" s="37">
        <f>C23/(C3-C6)</f>
        <v>0.88686131386861311</v>
      </c>
      <c r="D24" s="37">
        <f>D23/(D3-D6)</f>
        <v>0.9173553719008265</v>
      </c>
    </row>
    <row r="25" spans="1:8" x14ac:dyDescent="0.3">
      <c r="A25" t="s">
        <v>424</v>
      </c>
      <c r="B25" s="37">
        <f>B23/B3</f>
        <v>0.703125</v>
      </c>
      <c r="C25" s="37">
        <f>C23/C3</f>
        <v>0.745398773006135</v>
      </c>
      <c r="D25" s="37">
        <f>D23/D3</f>
        <v>0.7890995260663507</v>
      </c>
    </row>
    <row r="26" spans="1:8" x14ac:dyDescent="0.3">
      <c r="B26" s="37"/>
      <c r="C26" s="37"/>
      <c r="D26" s="37"/>
    </row>
    <row r="27" spans="1:8" x14ac:dyDescent="0.3">
      <c r="B27" s="37"/>
      <c r="C27" s="37"/>
      <c r="D27" s="37"/>
    </row>
    <row r="28" spans="1:8" x14ac:dyDescent="0.3">
      <c r="A28" s="23" t="s">
        <v>1684</v>
      </c>
      <c r="F28" s="66"/>
      <c r="G28" s="66"/>
      <c r="H28" s="66"/>
    </row>
    <row r="29" spans="1:8" x14ac:dyDescent="0.3">
      <c r="A29" s="23"/>
      <c r="F29" s="66"/>
      <c r="G29" s="66"/>
      <c r="H29" s="66"/>
    </row>
    <row r="30" spans="1:8" x14ac:dyDescent="0.3">
      <c r="A30" s="416" t="s">
        <v>1685</v>
      </c>
      <c r="F30" s="66"/>
      <c r="G30" s="66"/>
      <c r="H30" s="66"/>
    </row>
    <row r="31" spans="1:8" x14ac:dyDescent="0.3">
      <c r="A31" s="68"/>
      <c r="F31" s="66"/>
      <c r="G31" s="66"/>
      <c r="H31" s="66"/>
    </row>
    <row r="32" spans="1:8" x14ac:dyDescent="0.3">
      <c r="A32" s="68" t="s">
        <v>426</v>
      </c>
      <c r="B32" s="37">
        <v>0.4</v>
      </c>
      <c r="F32" s="66"/>
      <c r="G32" s="66"/>
      <c r="H32" s="66"/>
    </row>
    <row r="33" spans="1:8" x14ac:dyDescent="0.3">
      <c r="A33" s="68" t="s">
        <v>427</v>
      </c>
      <c r="B33" s="37">
        <v>0.11</v>
      </c>
      <c r="F33" s="66"/>
      <c r="G33" s="66"/>
      <c r="H33" s="66"/>
    </row>
    <row r="34" spans="1:8" x14ac:dyDescent="0.3">
      <c r="A34" s="1"/>
      <c r="F34" s="66"/>
      <c r="G34" s="66"/>
      <c r="H34" s="66"/>
    </row>
    <row r="35" spans="1:8" x14ac:dyDescent="0.3">
      <c r="A35" s="467"/>
      <c r="B35" s="466">
        <v>2008</v>
      </c>
      <c r="C35" s="466">
        <v>2009</v>
      </c>
      <c r="D35" s="466" t="s">
        <v>428</v>
      </c>
    </row>
    <row r="36" spans="1:8" x14ac:dyDescent="0.3">
      <c r="A36" t="s">
        <v>1360</v>
      </c>
      <c r="B36" s="65">
        <f>D3</f>
        <v>422</v>
      </c>
      <c r="C36" s="65">
        <f>B36</f>
        <v>422</v>
      </c>
      <c r="D36" s="37"/>
      <c r="E36" s="65"/>
    </row>
    <row r="37" spans="1:8" x14ac:dyDescent="0.3">
      <c r="A37" t="s">
        <v>96</v>
      </c>
      <c r="B37" s="65">
        <f>+D4</f>
        <v>143</v>
      </c>
      <c r="C37" s="65">
        <f>B37*(1+B32)</f>
        <v>200.2</v>
      </c>
      <c r="D37" s="37">
        <f>C37/B37-1</f>
        <v>0.39999999999999991</v>
      </c>
      <c r="E37" s="65"/>
    </row>
    <row r="38" spans="1:8" x14ac:dyDescent="0.3">
      <c r="A38" t="s">
        <v>1105</v>
      </c>
      <c r="B38" s="65">
        <f>D5</f>
        <v>190</v>
      </c>
      <c r="C38" s="65">
        <f>B38*(1+B33)</f>
        <v>210.9</v>
      </c>
      <c r="D38" s="37">
        <f>C38/B38-1</f>
        <v>0.1100000000000001</v>
      </c>
      <c r="E38" s="65"/>
    </row>
    <row r="39" spans="1:8" x14ac:dyDescent="0.3">
      <c r="A39" t="s">
        <v>1184</v>
      </c>
      <c r="B39" s="65">
        <f>D6</f>
        <v>59</v>
      </c>
      <c r="C39" s="65">
        <f>C36-C37-C38-(B36-SUM(B37:B39))</f>
        <v>-19.099999999999994</v>
      </c>
      <c r="D39" s="37">
        <f>C39/B39-1</f>
        <v>-1.3237288135593219</v>
      </c>
      <c r="E39" s="65"/>
    </row>
    <row r="40" spans="1:8" x14ac:dyDescent="0.3">
      <c r="A40" t="s">
        <v>1221</v>
      </c>
      <c r="B40" s="65">
        <f>B39-(D6-D7)</f>
        <v>30</v>
      </c>
      <c r="C40" s="65">
        <f>C39-(B39-B40)</f>
        <v>-48.099999999999994</v>
      </c>
      <c r="D40" s="37">
        <f>C40/B40-1</f>
        <v>-2.6033333333333331</v>
      </c>
      <c r="E40" s="65"/>
    </row>
    <row r="43" spans="1:8" x14ac:dyDescent="0.3">
      <c r="A43" t="s">
        <v>418</v>
      </c>
      <c r="B43" s="37">
        <f>+B39/B36</f>
        <v>0.13981042654028436</v>
      </c>
      <c r="C43" s="37">
        <f>+C39/C36</f>
        <v>-4.5260663507108993E-2</v>
      </c>
    </row>
    <row r="44" spans="1:8" x14ac:dyDescent="0.3">
      <c r="A44" t="s">
        <v>419</v>
      </c>
      <c r="B44" s="37">
        <f>+B40/B36</f>
        <v>7.1090047393364927E-2</v>
      </c>
      <c r="C44" s="37">
        <f>+C40/C36</f>
        <v>-0.11398104265402842</v>
      </c>
    </row>
    <row r="45" spans="1:8" x14ac:dyDescent="0.3">
      <c r="A45" t="s">
        <v>420</v>
      </c>
      <c r="B45" s="37">
        <f>+B39*0.6/(B8+B9)</f>
        <v>0.21987577639751552</v>
      </c>
      <c r="C45" s="37">
        <f>+C39*0.6/(C8+C9)</f>
        <v>-4.5118110236220456E-2</v>
      </c>
    </row>
    <row r="46" spans="1:8" x14ac:dyDescent="0.3">
      <c r="A46" t="s">
        <v>429</v>
      </c>
      <c r="B46" s="37">
        <f>B40/B8</f>
        <v>0.25210084033613445</v>
      </c>
      <c r="C46" s="37">
        <f>C40/C8</f>
        <v>-0.37286821705426354</v>
      </c>
    </row>
    <row r="49" spans="1:6" x14ac:dyDescent="0.3">
      <c r="A49" s="33" t="s">
        <v>672</v>
      </c>
    </row>
    <row r="50" spans="1:6" x14ac:dyDescent="0.3">
      <c r="A50" t="s">
        <v>1278</v>
      </c>
    </row>
    <row r="51" spans="1:6" x14ac:dyDescent="0.3">
      <c r="A51" s="473"/>
      <c r="B51" s="473">
        <v>1996</v>
      </c>
      <c r="C51" s="473">
        <f>B51+1</f>
        <v>1997</v>
      </c>
      <c r="D51" s="473">
        <f>C51+1</f>
        <v>1998</v>
      </c>
      <c r="E51" s="473">
        <f>D51+1</f>
        <v>1999</v>
      </c>
      <c r="F51" s="473">
        <f>E51+1</f>
        <v>2000</v>
      </c>
    </row>
    <row r="52" spans="1:6" x14ac:dyDescent="0.3">
      <c r="A52" t="s">
        <v>1360</v>
      </c>
      <c r="B52" s="122">
        <v>13289</v>
      </c>
      <c r="C52" s="122">
        <v>20273</v>
      </c>
      <c r="D52" s="122">
        <v>31260</v>
      </c>
      <c r="E52" s="122">
        <v>40112</v>
      </c>
      <c r="F52" s="122">
        <v>100789</v>
      </c>
    </row>
    <row r="53" spans="1:6" x14ac:dyDescent="0.3">
      <c r="A53" t="s">
        <v>1221</v>
      </c>
    </row>
    <row r="54" spans="1:6" x14ac:dyDescent="0.3">
      <c r="A54" s="253" t="s">
        <v>89</v>
      </c>
      <c r="B54" s="171">
        <v>493</v>
      </c>
      <c r="C54" s="171">
        <v>515</v>
      </c>
      <c r="D54" s="171">
        <v>698</v>
      </c>
      <c r="E54" s="171">
        <v>957</v>
      </c>
      <c r="F54" s="171">
        <v>1266</v>
      </c>
    </row>
    <row r="55" spans="1:6" x14ac:dyDescent="0.3">
      <c r="A55" s="253" t="s">
        <v>1226</v>
      </c>
      <c r="B55" s="171">
        <v>91</v>
      </c>
      <c r="C55" s="171">
        <v>-410</v>
      </c>
      <c r="D55" s="171">
        <v>5</v>
      </c>
      <c r="E55" s="171">
        <v>-64</v>
      </c>
      <c r="F55" s="171">
        <v>-287</v>
      </c>
    </row>
    <row r="56" spans="1:6" x14ac:dyDescent="0.3">
      <c r="A56" s="61" t="s">
        <v>1107</v>
      </c>
      <c r="B56" s="254">
        <f>B54+B55</f>
        <v>584</v>
      </c>
      <c r="C56" s="254">
        <f>C54+C55</f>
        <v>105</v>
      </c>
      <c r="D56" s="254">
        <f>D54+D55</f>
        <v>703</v>
      </c>
      <c r="E56" s="254">
        <f>E54+E55</f>
        <v>893</v>
      </c>
      <c r="F56" s="254">
        <f>F54+F55</f>
        <v>979</v>
      </c>
    </row>
    <row r="57" spans="1:6" x14ac:dyDescent="0.3">
      <c r="A57" t="s">
        <v>1227</v>
      </c>
    </row>
    <row r="58" spans="1:6" x14ac:dyDescent="0.3">
      <c r="A58" s="253" t="s">
        <v>1273</v>
      </c>
      <c r="B58">
        <v>0.91</v>
      </c>
      <c r="C58">
        <v>0.87</v>
      </c>
      <c r="D58">
        <v>0.48</v>
      </c>
      <c r="E58">
        <v>0.5</v>
      </c>
      <c r="F58" s="5">
        <v>0.5</v>
      </c>
    </row>
    <row r="59" spans="1:6" x14ac:dyDescent="0.3">
      <c r="A59" s="253" t="s">
        <v>1226</v>
      </c>
      <c r="B59">
        <v>0.17</v>
      </c>
      <c r="C59">
        <v>-0.71</v>
      </c>
      <c r="D59">
        <v>0.01</v>
      </c>
      <c r="E59">
        <v>-0.08</v>
      </c>
      <c r="F59">
        <v>0.35</v>
      </c>
    </row>
    <row r="60" spans="1:6" x14ac:dyDescent="0.3">
      <c r="A60" s="61" t="s">
        <v>1107</v>
      </c>
      <c r="B60" s="61">
        <f>B58+B59</f>
        <v>1.08</v>
      </c>
      <c r="C60" s="61">
        <f>C58+C59</f>
        <v>0.16000000000000003</v>
      </c>
      <c r="D60" s="61">
        <f>D58+D59</f>
        <v>0.49</v>
      </c>
      <c r="E60" s="61">
        <f>E58+E59</f>
        <v>0.42</v>
      </c>
      <c r="F60" s="61">
        <f>F58+F59</f>
        <v>0.85</v>
      </c>
    </row>
    <row r="61" spans="1:6" x14ac:dyDescent="0.3">
      <c r="A61" t="s">
        <v>1274</v>
      </c>
      <c r="B61">
        <v>0.43</v>
      </c>
      <c r="C61">
        <v>0.46</v>
      </c>
      <c r="D61">
        <v>0.48</v>
      </c>
      <c r="E61" s="5">
        <v>0.5</v>
      </c>
      <c r="F61" s="5">
        <v>0.5</v>
      </c>
    </row>
    <row r="62" spans="1:6" x14ac:dyDescent="0.3">
      <c r="A62" t="s">
        <v>1275</v>
      </c>
      <c r="B62" s="308">
        <v>16137</v>
      </c>
      <c r="C62" s="308">
        <v>22552</v>
      </c>
      <c r="D62" s="308">
        <v>29350</v>
      </c>
      <c r="E62" s="308">
        <v>33381</v>
      </c>
      <c r="F62" s="308">
        <v>65503</v>
      </c>
    </row>
    <row r="63" spans="1:6" ht="27" x14ac:dyDescent="0.3">
      <c r="A63" s="3" t="s">
        <v>1276</v>
      </c>
      <c r="B63" s="308">
        <v>742</v>
      </c>
      <c r="C63" s="308">
        <v>276</v>
      </c>
      <c r="D63" s="308">
        <v>1873</v>
      </c>
      <c r="E63" s="308">
        <v>2228</v>
      </c>
      <c r="F63" s="308">
        <v>3010</v>
      </c>
    </row>
    <row r="64" spans="1:6" x14ac:dyDescent="0.3">
      <c r="A64" t="s">
        <v>1100</v>
      </c>
      <c r="B64" s="308">
        <v>1483</v>
      </c>
      <c r="C64" s="308">
        <v>2092</v>
      </c>
      <c r="D64" s="308">
        <v>3564</v>
      </c>
      <c r="E64" s="308">
        <v>3085</v>
      </c>
      <c r="F64" s="308">
        <v>3314</v>
      </c>
    </row>
    <row r="65" spans="1:6" x14ac:dyDescent="0.3">
      <c r="A65" t="s">
        <v>1277</v>
      </c>
      <c r="B65">
        <v>22</v>
      </c>
      <c r="C65">
        <v>21</v>
      </c>
      <c r="D65">
        <v>29</v>
      </c>
      <c r="E65">
        <v>44</v>
      </c>
      <c r="F65">
        <v>83</v>
      </c>
    </row>
    <row r="69" spans="1:6" x14ac:dyDescent="0.3">
      <c r="A69" s="23" t="s">
        <v>1283</v>
      </c>
    </row>
    <row r="70" spans="1:6" x14ac:dyDescent="0.3">
      <c r="A70" s="23"/>
    </row>
    <row r="71" spans="1:6" x14ac:dyDescent="0.3">
      <c r="A71" t="s">
        <v>1279</v>
      </c>
    </row>
    <row r="72" spans="1:6" x14ac:dyDescent="0.3">
      <c r="A72" t="s">
        <v>1280</v>
      </c>
    </row>
    <row r="73" spans="1:6" x14ac:dyDescent="0.3">
      <c r="A73" t="s">
        <v>1281</v>
      </c>
    </row>
    <row r="74" spans="1:6" x14ac:dyDescent="0.3">
      <c r="A74" t="s">
        <v>1282</v>
      </c>
    </row>
    <row r="76" spans="1:6" x14ac:dyDescent="0.3">
      <c r="A76" t="s">
        <v>1066</v>
      </c>
    </row>
    <row r="137" spans="1:1" x14ac:dyDescent="0.3">
      <c r="A137" t="s">
        <v>1284</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ignoredErrors>
    <ignoredError sqref="B37" formula="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pageSetUpPr fitToPage="1"/>
  </sheetPr>
  <dimension ref="A1:F58"/>
  <sheetViews>
    <sheetView showGridLines="0" workbookViewId="0">
      <selection activeCell="B77" sqref="B77"/>
    </sheetView>
  </sheetViews>
  <sheetFormatPr baseColWidth="10" defaultRowHeight="13.5" x14ac:dyDescent="0.3"/>
  <cols>
    <col min="1" max="1" width="55.765625" customWidth="1"/>
    <col min="2" max="2" width="18.23046875" customWidth="1"/>
    <col min="3" max="3" width="19.765625" bestFit="1" customWidth="1"/>
    <col min="4" max="4" width="20" bestFit="1" customWidth="1"/>
    <col min="5" max="5" width="20.23046875" bestFit="1" customWidth="1"/>
    <col min="6" max="6" width="18.23046875" customWidth="1"/>
    <col min="7" max="7" width="19.61328125" customWidth="1"/>
  </cols>
  <sheetData>
    <row r="1" spans="1:6" x14ac:dyDescent="0.3">
      <c r="A1" s="33" t="s">
        <v>1418</v>
      </c>
    </row>
    <row r="2" spans="1:6" x14ac:dyDescent="0.3">
      <c r="A2" s="33"/>
    </row>
    <row r="3" spans="1:6" x14ac:dyDescent="0.3">
      <c r="A3" s="469" t="s">
        <v>731</v>
      </c>
      <c r="B3" s="469">
        <v>1</v>
      </c>
      <c r="C3" s="469">
        <f>B3+1</f>
        <v>2</v>
      </c>
      <c r="D3" s="469">
        <f>C3+1</f>
        <v>3</v>
      </c>
      <c r="E3" s="469">
        <f>D3+1</f>
        <v>4</v>
      </c>
      <c r="F3" s="469">
        <f>E3+1</f>
        <v>5</v>
      </c>
    </row>
    <row r="4" spans="1:6" x14ac:dyDescent="0.3">
      <c r="A4" t="s">
        <v>1360</v>
      </c>
      <c r="B4" s="252">
        <v>100</v>
      </c>
      <c r="C4" s="252">
        <v>100</v>
      </c>
      <c r="D4" s="252">
        <v>100</v>
      </c>
      <c r="E4" s="252">
        <v>100</v>
      </c>
      <c r="F4" s="252">
        <v>100</v>
      </c>
    </row>
    <row r="5" spans="1:6" x14ac:dyDescent="0.3">
      <c r="A5" t="s">
        <v>1116</v>
      </c>
      <c r="B5" s="252">
        <v>100</v>
      </c>
      <c r="C5" s="252">
        <v>100</v>
      </c>
      <c r="D5" s="252">
        <v>104</v>
      </c>
      <c r="E5" s="252">
        <v>99</v>
      </c>
      <c r="F5" s="252">
        <v>0</v>
      </c>
    </row>
    <row r="6" spans="1:6" x14ac:dyDescent="0.3">
      <c r="A6" t="s">
        <v>1290</v>
      </c>
      <c r="B6" s="252">
        <v>23</v>
      </c>
      <c r="C6" s="252">
        <v>24.8</v>
      </c>
      <c r="D6" s="252">
        <v>0</v>
      </c>
      <c r="E6" s="252">
        <v>0</v>
      </c>
      <c r="F6" s="252">
        <v>0</v>
      </c>
    </row>
    <row r="7" spans="1:6" x14ac:dyDescent="0.3">
      <c r="A7" s="45" t="s">
        <v>1291</v>
      </c>
      <c r="B7" s="258">
        <v>0</v>
      </c>
      <c r="C7" s="258">
        <v>0</v>
      </c>
      <c r="D7" s="599">
        <v>46.6</v>
      </c>
      <c r="E7" s="255">
        <v>23.6</v>
      </c>
      <c r="F7" s="258">
        <v>0</v>
      </c>
    </row>
    <row r="8" spans="1:6" x14ac:dyDescent="0.3">
      <c r="A8" s="45" t="s">
        <v>1292</v>
      </c>
      <c r="B8" s="258">
        <v>7.8</v>
      </c>
      <c r="C8" s="258">
        <v>7</v>
      </c>
      <c r="D8" s="599"/>
      <c r="E8" s="255">
        <v>46.9</v>
      </c>
      <c r="F8" s="258">
        <v>14.1</v>
      </c>
    </row>
    <row r="9" spans="1:6" x14ac:dyDescent="0.3">
      <c r="A9" s="45" t="s">
        <v>1105</v>
      </c>
      <c r="B9" s="258">
        <v>9.3000000000000007</v>
      </c>
      <c r="C9" s="258">
        <v>11.7</v>
      </c>
      <c r="D9" s="258">
        <v>21.5</v>
      </c>
      <c r="E9" s="255">
        <v>24.1</v>
      </c>
      <c r="F9" s="258">
        <v>88.2</v>
      </c>
    </row>
    <row r="10" spans="1:6" x14ac:dyDescent="0.3">
      <c r="A10" s="45" t="s">
        <v>1293</v>
      </c>
      <c r="B10" s="258">
        <v>6.8</v>
      </c>
      <c r="C10" s="258">
        <v>6.7</v>
      </c>
      <c r="D10" s="258">
        <v>28.1</v>
      </c>
      <c r="E10" s="255">
        <v>3.7</v>
      </c>
      <c r="F10" s="258">
        <v>4.5999999999999996</v>
      </c>
    </row>
    <row r="11" spans="1:6" x14ac:dyDescent="0.3">
      <c r="A11" s="45" t="s">
        <v>1218</v>
      </c>
      <c r="B11" s="258">
        <v>2.6</v>
      </c>
      <c r="C11" s="258">
        <v>0.9</v>
      </c>
      <c r="D11" s="258">
        <v>14.4</v>
      </c>
      <c r="E11" s="255">
        <v>1.2</v>
      </c>
      <c r="F11" s="258">
        <v>0.7</v>
      </c>
    </row>
    <row r="12" spans="1:6" x14ac:dyDescent="0.3">
      <c r="A12" s="45" t="s">
        <v>1184</v>
      </c>
      <c r="B12" s="258">
        <f>B10-B11</f>
        <v>4.1999999999999993</v>
      </c>
      <c r="C12" s="258">
        <v>5.8</v>
      </c>
      <c r="D12" s="258">
        <v>7.1</v>
      </c>
      <c r="E12" s="258">
        <v>2.9</v>
      </c>
      <c r="F12" s="258">
        <v>3.1</v>
      </c>
    </row>
    <row r="13" spans="1:6" x14ac:dyDescent="0.3">
      <c r="A13" s="1"/>
      <c r="B13" s="257"/>
      <c r="C13" s="257"/>
      <c r="D13" s="257"/>
      <c r="E13" s="257"/>
      <c r="F13" s="257"/>
    </row>
    <row r="14" spans="1:6" x14ac:dyDescent="0.3">
      <c r="A14" s="12"/>
    </row>
    <row r="15" spans="1:6" x14ac:dyDescent="0.3">
      <c r="A15" s="259" t="s">
        <v>1302</v>
      </c>
      <c r="B15" s="260" t="s">
        <v>1296</v>
      </c>
      <c r="C15" s="260" t="s">
        <v>1299</v>
      </c>
      <c r="D15" s="260" t="s">
        <v>1294</v>
      </c>
      <c r="E15" s="260" t="s">
        <v>1301</v>
      </c>
      <c r="F15" s="260" t="s">
        <v>1298</v>
      </c>
    </row>
    <row r="16" spans="1:6" x14ac:dyDescent="0.3">
      <c r="A16" s="259" t="s">
        <v>1303</v>
      </c>
      <c r="B16" s="105" t="s">
        <v>1297</v>
      </c>
      <c r="C16" s="105" t="s">
        <v>1300</v>
      </c>
      <c r="D16" s="105" t="s">
        <v>1295</v>
      </c>
      <c r="E16" s="105" t="s">
        <v>171</v>
      </c>
      <c r="F16" s="105" t="s">
        <v>1105</v>
      </c>
    </row>
    <row r="17" spans="1:6" x14ac:dyDescent="0.3">
      <c r="A17" s="12"/>
    </row>
    <row r="18" spans="1:6" x14ac:dyDescent="0.3">
      <c r="A18" s="12"/>
    </row>
    <row r="19" spans="1:6" x14ac:dyDescent="0.3">
      <c r="A19" s="33" t="s">
        <v>1420</v>
      </c>
    </row>
    <row r="20" spans="1:6" x14ac:dyDescent="0.3">
      <c r="A20" s="12"/>
    </row>
    <row r="21" spans="1:6" x14ac:dyDescent="0.3">
      <c r="A21" s="469" t="s">
        <v>731</v>
      </c>
      <c r="B21" s="469">
        <v>1</v>
      </c>
      <c r="C21" s="469">
        <f>B21+1</f>
        <v>2</v>
      </c>
      <c r="D21" s="469">
        <f>C21+1</f>
        <v>3</v>
      </c>
      <c r="E21" s="469">
        <f>D21+1</f>
        <v>4</v>
      </c>
      <c r="F21" s="469">
        <f>E21+1</f>
        <v>5</v>
      </c>
    </row>
    <row r="22" spans="1:6" x14ac:dyDescent="0.3">
      <c r="A22" t="s">
        <v>1360</v>
      </c>
      <c r="B22" s="252">
        <v>100</v>
      </c>
      <c r="C22" s="252">
        <v>100</v>
      </c>
      <c r="D22" s="252">
        <v>100</v>
      </c>
      <c r="E22" s="252">
        <v>100</v>
      </c>
      <c r="F22" s="252">
        <v>100</v>
      </c>
    </row>
    <row r="23" spans="1:6" x14ac:dyDescent="0.3">
      <c r="A23" t="s">
        <v>1287</v>
      </c>
      <c r="B23" s="105">
        <v>35.9</v>
      </c>
      <c r="C23" s="105">
        <v>84</v>
      </c>
      <c r="D23" s="105">
        <v>67.7</v>
      </c>
      <c r="E23" s="252">
        <v>44.3</v>
      </c>
      <c r="F23" s="105">
        <v>52.2</v>
      </c>
    </row>
    <row r="24" spans="1:6" x14ac:dyDescent="0.3">
      <c r="A24" s="45" t="s">
        <v>1288</v>
      </c>
      <c r="B24" s="337">
        <v>37</v>
      </c>
      <c r="C24" s="337">
        <v>4.4000000000000004</v>
      </c>
      <c r="D24" s="258">
        <v>14</v>
      </c>
      <c r="E24" s="255">
        <v>23.1</v>
      </c>
      <c r="F24" s="337">
        <v>21.8</v>
      </c>
    </row>
    <row r="25" spans="1:6" x14ac:dyDescent="0.3">
      <c r="A25" s="45" t="s">
        <v>1289</v>
      </c>
      <c r="B25" s="337">
        <v>11</v>
      </c>
      <c r="C25" s="337">
        <v>10</v>
      </c>
      <c r="D25" s="258">
        <v>6.6</v>
      </c>
      <c r="E25" s="255">
        <v>10.7</v>
      </c>
      <c r="F25" s="337">
        <v>9.3000000000000007</v>
      </c>
    </row>
    <row r="26" spans="1:6" x14ac:dyDescent="0.3">
      <c r="A26" s="25" t="s">
        <v>1514</v>
      </c>
      <c r="B26" s="338">
        <v>0</v>
      </c>
      <c r="C26" s="338">
        <v>0</v>
      </c>
      <c r="D26" s="339">
        <v>20.100000000000001</v>
      </c>
      <c r="E26" s="256">
        <v>6.6</v>
      </c>
      <c r="F26" s="338">
        <v>2.1</v>
      </c>
    </row>
    <row r="27" spans="1:6" x14ac:dyDescent="0.3">
      <c r="A27" s="1" t="s">
        <v>106</v>
      </c>
      <c r="B27" s="257">
        <f>B22-B23-B24-B25-B26</f>
        <v>16.099999999999994</v>
      </c>
      <c r="C27" s="257">
        <f>C22-C23-C24-C25-C26</f>
        <v>1.5999999999999996</v>
      </c>
      <c r="D27" s="257">
        <f>D22-D23-D24-D25-D26</f>
        <v>-8.4000000000000039</v>
      </c>
      <c r="E27" s="257">
        <f>E22-E23-E24-E25-E26</f>
        <v>15.300000000000002</v>
      </c>
      <c r="F27" s="257">
        <f>F22-F23-F24-F25-F26</f>
        <v>14.599999999999996</v>
      </c>
    </row>
    <row r="29" spans="1:6" x14ac:dyDescent="0.3">
      <c r="A29" s="259" t="s">
        <v>1302</v>
      </c>
      <c r="B29" s="260" t="s">
        <v>1517</v>
      </c>
      <c r="C29" s="260" t="s">
        <v>1515</v>
      </c>
      <c r="D29" s="260" t="s">
        <v>1518</v>
      </c>
      <c r="E29" s="260" t="s">
        <v>1519</v>
      </c>
      <c r="F29" s="260" t="s">
        <v>1521</v>
      </c>
    </row>
    <row r="30" spans="1:6" ht="27" x14ac:dyDescent="0.3">
      <c r="A30" s="259" t="s">
        <v>1303</v>
      </c>
      <c r="B30" s="3" t="s">
        <v>1524</v>
      </c>
      <c r="C30" s="213" t="s">
        <v>1516</v>
      </c>
      <c r="D30" s="105" t="s">
        <v>1523</v>
      </c>
      <c r="E30" s="213" t="s">
        <v>1520</v>
      </c>
      <c r="F30" s="105" t="s">
        <v>1522</v>
      </c>
    </row>
    <row r="31" spans="1:6" x14ac:dyDescent="0.3">
      <c r="A31" s="68"/>
      <c r="B31" s="198"/>
      <c r="C31" s="198"/>
      <c r="D31" s="198"/>
      <c r="E31" s="198"/>
    </row>
    <row r="32" spans="1:6" x14ac:dyDescent="0.3">
      <c r="A32" s="68"/>
      <c r="B32" s="198"/>
      <c r="C32" s="198"/>
      <c r="D32" s="198"/>
      <c r="E32" s="198"/>
    </row>
    <row r="33" spans="1:3" x14ac:dyDescent="0.3">
      <c r="A33" s="33" t="s">
        <v>208</v>
      </c>
    </row>
    <row r="34" spans="1:3" x14ac:dyDescent="0.3">
      <c r="A34" s="1" t="s">
        <v>1566</v>
      </c>
    </row>
    <row r="36" spans="1:3" s="4" customFormat="1" x14ac:dyDescent="0.3">
      <c r="A36" s="474" t="s">
        <v>1400</v>
      </c>
      <c r="B36" s="474">
        <v>2015</v>
      </c>
    </row>
    <row r="37" spans="1:3" x14ac:dyDescent="0.3">
      <c r="A37" t="s">
        <v>1567</v>
      </c>
      <c r="B37" s="318">
        <f>1917.9-150</f>
        <v>1767.9</v>
      </c>
    </row>
    <row r="38" spans="1:3" x14ac:dyDescent="0.3">
      <c r="A38" t="s">
        <v>1115</v>
      </c>
      <c r="B38" s="318">
        <v>-2</v>
      </c>
    </row>
    <row r="39" spans="1:3" x14ac:dyDescent="0.3">
      <c r="A39" t="s">
        <v>1568</v>
      </c>
      <c r="B39" s="318">
        <f>SUM(B37:B38)</f>
        <v>1765.9</v>
      </c>
    </row>
    <row r="40" spans="1:3" x14ac:dyDescent="0.3">
      <c r="A40" t="s">
        <v>1569</v>
      </c>
      <c r="B40" s="318">
        <v>1511.5</v>
      </c>
    </row>
    <row r="41" spans="1:3" x14ac:dyDescent="0.3">
      <c r="A41" t="s">
        <v>1458</v>
      </c>
      <c r="B41" s="318">
        <f>B39-B40</f>
        <v>254.40000000000009</v>
      </c>
    </row>
    <row r="42" spans="1:3" x14ac:dyDescent="0.3">
      <c r="A42" t="s">
        <v>1570</v>
      </c>
      <c r="B42" s="318">
        <f>97.2-10-12.3</f>
        <v>74.900000000000006</v>
      </c>
    </row>
    <row r="43" spans="1:3" x14ac:dyDescent="0.3">
      <c r="A43" t="s">
        <v>1459</v>
      </c>
      <c r="B43" s="318">
        <f>B41-B42</f>
        <v>179.50000000000009</v>
      </c>
      <c r="C43" s="77"/>
    </row>
    <row r="44" spans="1:3" x14ac:dyDescent="0.3">
      <c r="A44" t="s">
        <v>1571</v>
      </c>
      <c r="B44" s="318">
        <f>105.5+12.3+3.4</f>
        <v>121.2</v>
      </c>
      <c r="C44" s="77"/>
    </row>
    <row r="45" spans="1:3" x14ac:dyDescent="0.3">
      <c r="A45" t="s">
        <v>1572</v>
      </c>
      <c r="B45" s="318">
        <v>9.8000000000000007</v>
      </c>
      <c r="C45" s="77"/>
    </row>
    <row r="46" spans="1:3" x14ac:dyDescent="0.3">
      <c r="A46" t="s">
        <v>16</v>
      </c>
      <c r="B46" s="318">
        <v>0.4</v>
      </c>
    </row>
    <row r="47" spans="1:3" x14ac:dyDescent="0.3">
      <c r="A47" t="s">
        <v>17</v>
      </c>
      <c r="B47" s="318">
        <f>22+35.6</f>
        <v>57.6</v>
      </c>
      <c r="C47" s="77"/>
    </row>
    <row r="48" spans="1:3" x14ac:dyDescent="0.3">
      <c r="A48" t="s">
        <v>1461</v>
      </c>
      <c r="B48" s="318">
        <f>B43-B44-B45+B46+B47</f>
        <v>106.50000000000009</v>
      </c>
    </row>
    <row r="49" spans="1:2" x14ac:dyDescent="0.3">
      <c r="A49" t="s">
        <v>22</v>
      </c>
      <c r="B49" s="318">
        <f>26.8+4</f>
        <v>30.8</v>
      </c>
    </row>
    <row r="50" spans="1:2" x14ac:dyDescent="0.3">
      <c r="A50" t="s">
        <v>1462</v>
      </c>
      <c r="B50" s="318">
        <f>B48-B49</f>
        <v>75.700000000000088</v>
      </c>
    </row>
    <row r="51" spans="1:2" x14ac:dyDescent="0.3">
      <c r="A51" t="s">
        <v>18</v>
      </c>
      <c r="B51" s="318">
        <f>178.3+6-150</f>
        <v>34.300000000000011</v>
      </c>
    </row>
    <row r="52" spans="1:2" x14ac:dyDescent="0.3">
      <c r="A52" t="s">
        <v>19</v>
      </c>
      <c r="B52" s="318">
        <v>17.100000000000001</v>
      </c>
    </row>
    <row r="53" spans="1:2" x14ac:dyDescent="0.3">
      <c r="A53" t="s">
        <v>1463</v>
      </c>
      <c r="B53" s="318">
        <f>B52-B51</f>
        <v>-17.20000000000001</v>
      </c>
    </row>
    <row r="54" spans="1:2" x14ac:dyDescent="0.3">
      <c r="A54" t="s">
        <v>1464</v>
      </c>
      <c r="B54" s="318">
        <f>B50+B53</f>
        <v>58.500000000000078</v>
      </c>
    </row>
    <row r="55" spans="1:2" x14ac:dyDescent="0.3">
      <c r="A55" t="s">
        <v>20</v>
      </c>
      <c r="B55" s="318">
        <v>50.8</v>
      </c>
    </row>
    <row r="56" spans="1:2" x14ac:dyDescent="0.3">
      <c r="A56" t="s">
        <v>1465</v>
      </c>
      <c r="B56" s="318">
        <f>-15.2-35.6</f>
        <v>-50.8</v>
      </c>
    </row>
    <row r="57" spans="1:2" x14ac:dyDescent="0.3">
      <c r="A57" t="s">
        <v>21</v>
      </c>
      <c r="B57" s="318">
        <v>3</v>
      </c>
    </row>
    <row r="58" spans="1:2" x14ac:dyDescent="0.3">
      <c r="A58" s="25" t="s">
        <v>1467</v>
      </c>
      <c r="B58" s="319">
        <f>B54+B56-B57</f>
        <v>4.700000000000081</v>
      </c>
    </row>
  </sheetData>
  <mergeCells count="1">
    <mergeCell ref="D7:D8"/>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H103"/>
  <sheetViews>
    <sheetView showGridLines="0" workbookViewId="0">
      <selection activeCell="B1" sqref="B1"/>
    </sheetView>
  </sheetViews>
  <sheetFormatPr baseColWidth="10" defaultRowHeight="13.5" x14ac:dyDescent="0.3"/>
  <cols>
    <col min="1" max="1" width="28" bestFit="1" customWidth="1"/>
    <col min="5" max="5" width="12.84375" customWidth="1"/>
    <col min="6" max="7" width="7.3828125" customWidth="1"/>
  </cols>
  <sheetData>
    <row r="1" spans="1:6" x14ac:dyDescent="0.3">
      <c r="A1" s="12" t="s">
        <v>1418</v>
      </c>
    </row>
    <row r="2" spans="1:6" x14ac:dyDescent="0.3">
      <c r="A2" s="12"/>
    </row>
    <row r="3" spans="1:6" x14ac:dyDescent="0.3">
      <c r="A3" s="469" t="s">
        <v>100</v>
      </c>
      <c r="B3" s="469" t="s">
        <v>108</v>
      </c>
      <c r="C3" s="469" t="s">
        <v>109</v>
      </c>
      <c r="D3" s="469" t="s">
        <v>110</v>
      </c>
      <c r="E3" s="469" t="s">
        <v>111</v>
      </c>
      <c r="F3" s="72"/>
    </row>
    <row r="4" spans="1:6" x14ac:dyDescent="0.3">
      <c r="A4" t="s">
        <v>1360</v>
      </c>
      <c r="B4">
        <v>100</v>
      </c>
      <c r="C4">
        <v>100</v>
      </c>
      <c r="D4">
        <v>100</v>
      </c>
      <c r="E4">
        <v>100</v>
      </c>
    </row>
    <row r="5" spans="1:6" x14ac:dyDescent="0.3">
      <c r="A5" t="s">
        <v>103</v>
      </c>
      <c r="B5">
        <v>65</v>
      </c>
      <c r="C5">
        <v>55</v>
      </c>
      <c r="D5">
        <v>36</v>
      </c>
      <c r="E5">
        <v>30</v>
      </c>
    </row>
    <row r="6" spans="1:6" x14ac:dyDescent="0.3">
      <c r="A6" s="25" t="s">
        <v>104</v>
      </c>
      <c r="B6" s="25">
        <v>25</v>
      </c>
      <c r="C6" s="25">
        <v>29</v>
      </c>
      <c r="D6" s="25">
        <v>50</v>
      </c>
      <c r="E6" s="25">
        <v>55</v>
      </c>
      <c r="F6" s="45"/>
    </row>
    <row r="7" spans="1:6" x14ac:dyDescent="0.3">
      <c r="A7" s="1" t="s">
        <v>105</v>
      </c>
      <c r="B7" s="1">
        <f>B4-B5-B6</f>
        <v>10</v>
      </c>
      <c r="C7" s="1">
        <f>C4-C5-C6</f>
        <v>16</v>
      </c>
      <c r="D7" s="1">
        <f>D4-D5-D6</f>
        <v>14</v>
      </c>
      <c r="E7" s="1">
        <f>E4-E5-E6</f>
        <v>15</v>
      </c>
      <c r="F7" s="1"/>
    </row>
    <row r="8" spans="1:6" x14ac:dyDescent="0.3">
      <c r="A8" s="25" t="s">
        <v>1156</v>
      </c>
      <c r="B8" s="25">
        <v>2</v>
      </c>
      <c r="C8" s="25">
        <v>8</v>
      </c>
      <c r="D8" s="25">
        <v>4</v>
      </c>
      <c r="E8" s="25">
        <v>6</v>
      </c>
      <c r="F8" s="45"/>
    </row>
    <row r="9" spans="1:6" x14ac:dyDescent="0.3">
      <c r="A9" s="1" t="s">
        <v>106</v>
      </c>
      <c r="B9" s="1">
        <f>B7-B8</f>
        <v>8</v>
      </c>
      <c r="C9" s="1">
        <f>C7-C8</f>
        <v>8</v>
      </c>
      <c r="D9" s="1">
        <f>D7-D8</f>
        <v>10</v>
      </c>
      <c r="E9" s="1">
        <f>E7-E8</f>
        <v>9</v>
      </c>
      <c r="F9" s="1"/>
    </row>
    <row r="10" spans="1:6" x14ac:dyDescent="0.3">
      <c r="A10" s="25" t="s">
        <v>1364</v>
      </c>
      <c r="B10" s="25">
        <v>2</v>
      </c>
      <c r="C10" s="25">
        <v>6</v>
      </c>
      <c r="D10" s="25">
        <v>1.5</v>
      </c>
      <c r="E10" s="25">
        <v>6</v>
      </c>
      <c r="F10" s="45"/>
    </row>
    <row r="11" spans="1:6" x14ac:dyDescent="0.3">
      <c r="A11" s="1" t="s">
        <v>107</v>
      </c>
      <c r="B11" s="1">
        <f>B9-B10</f>
        <v>6</v>
      </c>
      <c r="C11" s="1">
        <f>C9-C10</f>
        <v>2</v>
      </c>
      <c r="D11" s="1">
        <f>D9-D10</f>
        <v>8.5</v>
      </c>
      <c r="E11" s="1">
        <f>E9-E10</f>
        <v>3</v>
      </c>
      <c r="F11" s="1"/>
    </row>
    <row r="13" spans="1:6" x14ac:dyDescent="0.3">
      <c r="A13" s="68" t="s">
        <v>113</v>
      </c>
      <c r="B13" s="65">
        <f>(B6+B8)/(1-B5/B4)</f>
        <v>77.142857142857153</v>
      </c>
      <c r="C13" s="65">
        <f>(C6+C8)/(1-C5/C4)</f>
        <v>82.222222222222229</v>
      </c>
      <c r="D13" s="65">
        <f>(D6+D8)/(1-D5/D4)</f>
        <v>84.375</v>
      </c>
      <c r="E13" s="65">
        <f>(E6+E8)/(1-E5/E4)</f>
        <v>87.142857142857153</v>
      </c>
      <c r="F13" s="65"/>
    </row>
    <row r="14" spans="1:6" x14ac:dyDescent="0.3">
      <c r="A14" s="68" t="s">
        <v>114</v>
      </c>
      <c r="B14" s="468">
        <f>B$4/B13</f>
        <v>1.2962962962962961</v>
      </c>
      <c r="C14" s="468">
        <f>C$4/C13</f>
        <v>1.2162162162162162</v>
      </c>
      <c r="D14" s="468">
        <f>D$4/D13</f>
        <v>1.1851851851851851</v>
      </c>
      <c r="E14" s="468">
        <f>E$4/E13</f>
        <v>1.1475409836065573</v>
      </c>
      <c r="F14" s="69"/>
    </row>
    <row r="15" spans="1:6" x14ac:dyDescent="0.3">
      <c r="A15" s="68"/>
    </row>
    <row r="16" spans="1:6" x14ac:dyDescent="0.3">
      <c r="A16" s="68" t="s">
        <v>112</v>
      </c>
      <c r="B16" s="65">
        <f>(B6+B8+B10)/(1-B5/B4)</f>
        <v>82.857142857142861</v>
      </c>
      <c r="C16" s="65">
        <f>(C6+C8+C10)/(1-C5/C4)</f>
        <v>95.555555555555571</v>
      </c>
      <c r="D16" s="65">
        <f>(D6+D8+D10)/(1-D5/D4)</f>
        <v>86.71875</v>
      </c>
      <c r="E16" s="65">
        <f>(E6+E8+E10)/(1-E5/E4)</f>
        <v>95.714285714285722</v>
      </c>
      <c r="F16" s="65"/>
    </row>
    <row r="17" spans="1:8" x14ac:dyDescent="0.3">
      <c r="A17" s="68" t="s">
        <v>114</v>
      </c>
      <c r="B17" s="468">
        <f>B$4/B16</f>
        <v>1.2068965517241379</v>
      </c>
      <c r="C17" s="468">
        <f>C$4/C16</f>
        <v>1.0465116279069766</v>
      </c>
      <c r="D17" s="468">
        <f>D$4/D16</f>
        <v>1.1531531531531531</v>
      </c>
      <c r="E17" s="468">
        <f>E$4/E16</f>
        <v>1.044776119402985</v>
      </c>
      <c r="F17" s="69"/>
    </row>
    <row r="19" spans="1:8" x14ac:dyDescent="0.3">
      <c r="A19" s="33" t="s">
        <v>1285</v>
      </c>
    </row>
    <row r="20" spans="1:8" x14ac:dyDescent="0.3">
      <c r="A20" s="33"/>
    </row>
    <row r="21" spans="1:8" x14ac:dyDescent="0.3">
      <c r="A21" s="466" t="s">
        <v>1110</v>
      </c>
      <c r="B21" s="466">
        <v>1</v>
      </c>
      <c r="C21" s="466">
        <v>2</v>
      </c>
      <c r="D21" s="466">
        <v>3</v>
      </c>
      <c r="E21" s="228"/>
    </row>
    <row r="22" spans="1:8" x14ac:dyDescent="0.3">
      <c r="A22" t="s">
        <v>1360</v>
      </c>
      <c r="B22" s="65">
        <v>82000</v>
      </c>
      <c r="C22" s="65">
        <v>92000</v>
      </c>
      <c r="D22" s="65">
        <v>97000</v>
      </c>
      <c r="E22" s="17"/>
      <c r="F22" s="17"/>
      <c r="H22" s="65"/>
    </row>
    <row r="23" spans="1:8" x14ac:dyDescent="0.3">
      <c r="A23" t="s">
        <v>1115</v>
      </c>
      <c r="B23" s="65">
        <v>500</v>
      </c>
      <c r="C23" s="65">
        <v>1400</v>
      </c>
      <c r="D23" s="65">
        <v>2800</v>
      </c>
      <c r="E23" s="17"/>
      <c r="F23" s="17"/>
      <c r="H23" s="65"/>
    </row>
    <row r="24" spans="1:8" x14ac:dyDescent="0.3">
      <c r="A24" s="1" t="s">
        <v>82</v>
      </c>
      <c r="B24" s="65">
        <f>SUM(B22:B23)</f>
        <v>82500</v>
      </c>
      <c r="C24" s="65">
        <f>SUM(C22:C23)</f>
        <v>93400</v>
      </c>
      <c r="D24" s="65">
        <f>SUM(D22:D23)</f>
        <v>99800</v>
      </c>
      <c r="H24" s="65"/>
    </row>
    <row r="25" spans="1:8" x14ac:dyDescent="0.3">
      <c r="A25" t="s">
        <v>83</v>
      </c>
      <c r="B25" s="65">
        <v>24800</v>
      </c>
      <c r="C25" s="65">
        <v>27400</v>
      </c>
      <c r="D25" s="65">
        <v>29900</v>
      </c>
      <c r="E25" s="17"/>
      <c r="F25" s="17"/>
      <c r="H25" s="65"/>
    </row>
    <row r="26" spans="1:8" x14ac:dyDescent="0.3">
      <c r="A26" t="s">
        <v>84</v>
      </c>
      <c r="B26" s="65">
        <v>-1700</v>
      </c>
      <c r="C26" s="65">
        <v>-500</v>
      </c>
      <c r="D26" s="65">
        <v>-1600</v>
      </c>
      <c r="E26" s="17"/>
      <c r="F26" s="17"/>
      <c r="H26" s="65"/>
    </row>
    <row r="27" spans="1:8" x14ac:dyDescent="0.3">
      <c r="A27" t="s">
        <v>85</v>
      </c>
      <c r="B27" s="65">
        <v>20200</v>
      </c>
      <c r="C27" s="65">
        <v>23000</v>
      </c>
      <c r="D27" s="65">
        <v>23500</v>
      </c>
      <c r="E27" s="17"/>
      <c r="F27" s="17"/>
      <c r="H27" s="65"/>
    </row>
    <row r="28" spans="1:8" x14ac:dyDescent="0.3">
      <c r="A28" t="s">
        <v>1460</v>
      </c>
      <c r="B28" s="65">
        <v>1200</v>
      </c>
      <c r="C28" s="65">
        <v>1400</v>
      </c>
      <c r="D28" s="65">
        <v>1500</v>
      </c>
      <c r="E28" s="17"/>
      <c r="F28" s="17"/>
      <c r="H28" s="65"/>
    </row>
    <row r="29" spans="1:8" x14ac:dyDescent="0.3">
      <c r="A29" t="s">
        <v>86</v>
      </c>
      <c r="B29" s="65">
        <v>29000</v>
      </c>
      <c r="C29" s="65">
        <v>33000</v>
      </c>
      <c r="D29" s="65">
        <v>37000</v>
      </c>
      <c r="E29" s="17"/>
      <c r="F29" s="17"/>
      <c r="H29" s="65"/>
    </row>
    <row r="30" spans="1:8" x14ac:dyDescent="0.3">
      <c r="A30" t="s">
        <v>1156</v>
      </c>
      <c r="B30" s="65">
        <v>5200</v>
      </c>
      <c r="C30" s="65">
        <v>4900</v>
      </c>
      <c r="D30" s="65">
        <v>4800</v>
      </c>
      <c r="E30" s="17"/>
      <c r="F30" s="17"/>
      <c r="H30" s="65"/>
    </row>
    <row r="31" spans="1:8" x14ac:dyDescent="0.3">
      <c r="A31" t="s">
        <v>115</v>
      </c>
      <c r="B31" s="65">
        <v>100</v>
      </c>
      <c r="C31" s="65">
        <v>200</v>
      </c>
      <c r="D31" s="65">
        <v>0</v>
      </c>
      <c r="E31" s="17"/>
      <c r="F31" s="17"/>
      <c r="H31" s="65"/>
    </row>
    <row r="32" spans="1:8" x14ac:dyDescent="0.3">
      <c r="A32" s="1" t="s">
        <v>87</v>
      </c>
      <c r="B32" s="65">
        <f>SUM(B25:B31)</f>
        <v>78800</v>
      </c>
      <c r="C32" s="65">
        <f>SUM(C25:C31)</f>
        <v>89400</v>
      </c>
      <c r="D32" s="65">
        <f>SUM(D25:D31)</f>
        <v>95100</v>
      </c>
    </row>
    <row r="33" spans="1:7" x14ac:dyDescent="0.3">
      <c r="A33" s="49" t="s">
        <v>1184</v>
      </c>
      <c r="B33" s="71">
        <f>B24-B32</f>
        <v>3700</v>
      </c>
      <c r="C33" s="71">
        <f>C24-C32</f>
        <v>4000</v>
      </c>
      <c r="D33" s="71">
        <f>D24-D32</f>
        <v>4700</v>
      </c>
    </row>
    <row r="34" spans="1:7" x14ac:dyDescent="0.3">
      <c r="A34" t="s">
        <v>1384</v>
      </c>
      <c r="B34" s="65">
        <v>300</v>
      </c>
      <c r="C34" s="65">
        <v>400</v>
      </c>
      <c r="D34" s="65">
        <v>300</v>
      </c>
      <c r="F34" s="17"/>
    </row>
    <row r="35" spans="1:7" x14ac:dyDescent="0.3">
      <c r="A35" t="s">
        <v>1219</v>
      </c>
      <c r="B35" s="65">
        <v>2300</v>
      </c>
      <c r="C35" s="65">
        <v>2900</v>
      </c>
      <c r="D35" s="65">
        <v>3900</v>
      </c>
      <c r="E35" s="17"/>
      <c r="F35" s="17"/>
    </row>
    <row r="36" spans="1:7" x14ac:dyDescent="0.3">
      <c r="A36" s="49" t="s">
        <v>88</v>
      </c>
      <c r="B36" s="71">
        <f>B34-B35</f>
        <v>-2000</v>
      </c>
      <c r="C36" s="71">
        <f>C34-C35</f>
        <v>-2500</v>
      </c>
      <c r="D36" s="71">
        <f>D34-D35</f>
        <v>-3600</v>
      </c>
      <c r="E36" s="17"/>
      <c r="F36" s="17"/>
    </row>
    <row r="37" spans="1:7" x14ac:dyDescent="0.3">
      <c r="A37" t="s">
        <v>89</v>
      </c>
      <c r="B37" s="65">
        <v>-100</v>
      </c>
      <c r="C37" s="65">
        <v>-100</v>
      </c>
      <c r="D37" s="65">
        <v>100</v>
      </c>
    </row>
    <row r="38" spans="1:7" x14ac:dyDescent="0.3">
      <c r="A38" t="s">
        <v>116</v>
      </c>
      <c r="B38" s="65">
        <v>800</v>
      </c>
      <c r="C38" s="65">
        <v>700</v>
      </c>
      <c r="D38" s="65">
        <v>600</v>
      </c>
    </row>
    <row r="39" spans="1:7" x14ac:dyDescent="0.3">
      <c r="A39" s="49" t="s">
        <v>1221</v>
      </c>
      <c r="B39" s="71">
        <f>B33+B36+B37-B38</f>
        <v>800</v>
      </c>
      <c r="C39" s="71">
        <f>C33+C36+C37-C38</f>
        <v>700</v>
      </c>
      <c r="D39" s="71">
        <f>D33+D36+D37-D38</f>
        <v>600</v>
      </c>
      <c r="E39" s="17"/>
    </row>
    <row r="40" spans="1:7" x14ac:dyDescent="0.3">
      <c r="A40" s="47"/>
      <c r="B40" s="229"/>
      <c r="C40" s="229"/>
      <c r="D40" s="229"/>
      <c r="E40" s="17"/>
      <c r="G40" s="232"/>
    </row>
    <row r="41" spans="1:7" x14ac:dyDescent="0.3">
      <c r="A41" s="47" t="s">
        <v>434</v>
      </c>
      <c r="B41" s="229"/>
      <c r="C41" s="229"/>
      <c r="D41" s="229"/>
      <c r="E41" s="17"/>
      <c r="F41" s="600" t="s">
        <v>534</v>
      </c>
      <c r="G41" s="600"/>
    </row>
    <row r="42" spans="1:7" x14ac:dyDescent="0.3">
      <c r="A42" s="470"/>
      <c r="B42" s="471">
        <v>1</v>
      </c>
      <c r="C42" s="471">
        <v>2</v>
      </c>
      <c r="D42" s="471">
        <v>3</v>
      </c>
      <c r="E42" s="472"/>
      <c r="F42" s="466">
        <v>2</v>
      </c>
      <c r="G42" s="466">
        <v>3</v>
      </c>
    </row>
    <row r="43" spans="1:7" s="1" customFormat="1" x14ac:dyDescent="0.3">
      <c r="A43" s="49" t="s">
        <v>1360</v>
      </c>
      <c r="B43" s="71">
        <f>B22</f>
        <v>82000</v>
      </c>
      <c r="C43" s="71">
        <f>C22</f>
        <v>92000</v>
      </c>
      <c r="D43" s="71">
        <f>D22</f>
        <v>97000</v>
      </c>
      <c r="E43" s="235"/>
      <c r="F43" s="235">
        <f t="shared" ref="F43:F56" si="0">C43/B43-1</f>
        <v>0.12195121951219523</v>
      </c>
      <c r="G43" s="235">
        <f t="shared" ref="G43:G56" si="1">D43/C43-1</f>
        <v>5.4347826086956541E-2</v>
      </c>
    </row>
    <row r="44" spans="1:7" x14ac:dyDescent="0.3">
      <c r="A44" t="s">
        <v>1093</v>
      </c>
      <c r="B44" s="230">
        <f>B25+B26-B23</f>
        <v>22600</v>
      </c>
      <c r="C44" s="230">
        <f>C25+C26-C23</f>
        <v>25500</v>
      </c>
      <c r="D44" s="230">
        <f>D25+D26-D23</f>
        <v>25500</v>
      </c>
      <c r="E44" s="17"/>
      <c r="F44" s="17">
        <f t="shared" si="0"/>
        <v>0.12831858407079655</v>
      </c>
      <c r="G44" s="17">
        <f t="shared" si="1"/>
        <v>0</v>
      </c>
    </row>
    <row r="45" spans="1:7" x14ac:dyDescent="0.3">
      <c r="A45" s="49" t="s">
        <v>430</v>
      </c>
      <c r="B45" s="71">
        <f>B43-B44</f>
        <v>59400</v>
      </c>
      <c r="C45" s="71">
        <f>C43-C44</f>
        <v>66500</v>
      </c>
      <c r="D45" s="71">
        <f>D43-D44</f>
        <v>71500</v>
      </c>
      <c r="E45" s="235"/>
      <c r="F45" s="235">
        <f t="shared" si="0"/>
        <v>0.1195286195286196</v>
      </c>
      <c r="G45" s="235">
        <f t="shared" si="1"/>
        <v>7.5187969924812137E-2</v>
      </c>
    </row>
    <row r="46" spans="1:7" x14ac:dyDescent="0.3">
      <c r="A46" t="s">
        <v>85</v>
      </c>
      <c r="B46" s="230">
        <f t="shared" ref="B46:D48" si="2">B27</f>
        <v>20200</v>
      </c>
      <c r="C46" s="230">
        <f t="shared" si="2"/>
        <v>23000</v>
      </c>
      <c r="D46" s="230">
        <f t="shared" si="2"/>
        <v>23500</v>
      </c>
      <c r="E46" s="17"/>
      <c r="F46" s="17">
        <f t="shared" si="0"/>
        <v>0.13861386138613851</v>
      </c>
      <c r="G46" s="17">
        <f t="shared" si="1"/>
        <v>2.1739130434782705E-2</v>
      </c>
    </row>
    <row r="47" spans="1:7" x14ac:dyDescent="0.3">
      <c r="A47" t="s">
        <v>1460</v>
      </c>
      <c r="B47" s="230">
        <f t="shared" si="2"/>
        <v>1200</v>
      </c>
      <c r="C47" s="230">
        <f t="shared" si="2"/>
        <v>1400</v>
      </c>
      <c r="D47" s="230">
        <f t="shared" si="2"/>
        <v>1500</v>
      </c>
      <c r="E47" s="17"/>
      <c r="F47" s="17">
        <f t="shared" si="0"/>
        <v>0.16666666666666674</v>
      </c>
      <c r="G47" s="17">
        <f t="shared" si="1"/>
        <v>7.1428571428571397E-2</v>
      </c>
    </row>
    <row r="48" spans="1:7" x14ac:dyDescent="0.3">
      <c r="A48" t="s">
        <v>86</v>
      </c>
      <c r="B48" s="230">
        <f t="shared" si="2"/>
        <v>29000</v>
      </c>
      <c r="C48" s="230">
        <f t="shared" si="2"/>
        <v>33000</v>
      </c>
      <c r="D48" s="230">
        <f t="shared" si="2"/>
        <v>37000</v>
      </c>
      <c r="E48" s="17"/>
      <c r="F48" s="17">
        <f t="shared" si="0"/>
        <v>0.13793103448275867</v>
      </c>
      <c r="G48" s="17">
        <f t="shared" si="1"/>
        <v>0.1212121212121211</v>
      </c>
    </row>
    <row r="49" spans="1:7" x14ac:dyDescent="0.3">
      <c r="A49" t="s">
        <v>115</v>
      </c>
      <c r="B49" s="230">
        <f>B31</f>
        <v>100</v>
      </c>
      <c r="C49" s="230">
        <f>C31</f>
        <v>200</v>
      </c>
      <c r="D49" s="230">
        <f>D31</f>
        <v>0</v>
      </c>
      <c r="E49" s="17"/>
      <c r="F49" s="17">
        <f t="shared" si="0"/>
        <v>1</v>
      </c>
      <c r="G49" s="17">
        <f t="shared" si="1"/>
        <v>-1</v>
      </c>
    </row>
    <row r="50" spans="1:7" x14ac:dyDescent="0.3">
      <c r="A50" s="49" t="s">
        <v>105</v>
      </c>
      <c r="B50" s="71">
        <f>B45-B46-B47-B48-B49</f>
        <v>8900</v>
      </c>
      <c r="C50" s="71">
        <f>C45-C46-C47-C48-C49</f>
        <v>8900</v>
      </c>
      <c r="D50" s="71">
        <f>D45-D46-D47-D48-D49</f>
        <v>9500</v>
      </c>
      <c r="E50" s="235"/>
      <c r="F50" s="235">
        <f t="shared" si="0"/>
        <v>0</v>
      </c>
      <c r="G50" s="235">
        <f t="shared" si="1"/>
        <v>6.7415730337078594E-2</v>
      </c>
    </row>
    <row r="51" spans="1:7" x14ac:dyDescent="0.3">
      <c r="A51" t="s">
        <v>1156</v>
      </c>
      <c r="B51" s="230">
        <f>B30</f>
        <v>5200</v>
      </c>
      <c r="C51" s="230">
        <f>C30</f>
        <v>4900</v>
      </c>
      <c r="D51" s="230">
        <f>D30</f>
        <v>4800</v>
      </c>
      <c r="E51" s="17"/>
      <c r="F51" s="17">
        <f t="shared" si="0"/>
        <v>-5.7692307692307709E-2</v>
      </c>
      <c r="G51" s="17">
        <f t="shared" si="1"/>
        <v>-2.0408163265306145E-2</v>
      </c>
    </row>
    <row r="52" spans="1:7" x14ac:dyDescent="0.3">
      <c r="A52" s="49" t="s">
        <v>1184</v>
      </c>
      <c r="B52" s="71">
        <f>B50-B51</f>
        <v>3700</v>
      </c>
      <c r="C52" s="71">
        <f>C50-C51</f>
        <v>4000</v>
      </c>
      <c r="D52" s="71">
        <f>D50-D51</f>
        <v>4700</v>
      </c>
      <c r="E52" s="235"/>
      <c r="F52" s="235">
        <f t="shared" si="0"/>
        <v>8.1081081081081141E-2</v>
      </c>
      <c r="G52" s="235">
        <f t="shared" si="1"/>
        <v>0.17500000000000004</v>
      </c>
    </row>
    <row r="53" spans="1:7" s="1" customFormat="1" x14ac:dyDescent="0.3">
      <c r="A53" s="89" t="s">
        <v>432</v>
      </c>
      <c r="B53" s="236">
        <f>B35-B34</f>
        <v>2000</v>
      </c>
      <c r="C53" s="236">
        <f>C35-C34</f>
        <v>2500</v>
      </c>
      <c r="D53" s="236">
        <f>D35-D34</f>
        <v>3600</v>
      </c>
      <c r="E53" s="237"/>
      <c r="F53" s="237">
        <f t="shared" si="0"/>
        <v>0.25</v>
      </c>
      <c r="G53" s="237">
        <f t="shared" si="1"/>
        <v>0.43999999999999995</v>
      </c>
    </row>
    <row r="54" spans="1:7" x14ac:dyDescent="0.3">
      <c r="A54" t="s">
        <v>89</v>
      </c>
      <c r="B54" s="230">
        <f t="shared" ref="B54:D55" si="3">B37</f>
        <v>-100</v>
      </c>
      <c r="C54" s="230">
        <f t="shared" si="3"/>
        <v>-100</v>
      </c>
      <c r="D54" s="230">
        <f t="shared" si="3"/>
        <v>100</v>
      </c>
      <c r="E54" s="17"/>
      <c r="F54" s="17">
        <f t="shared" si="0"/>
        <v>0</v>
      </c>
      <c r="G54" s="17">
        <f t="shared" si="1"/>
        <v>-2</v>
      </c>
    </row>
    <row r="55" spans="1:7" x14ac:dyDescent="0.3">
      <c r="A55" t="s">
        <v>116</v>
      </c>
      <c r="B55" s="230">
        <f t="shared" si="3"/>
        <v>800</v>
      </c>
      <c r="C55" s="230">
        <f t="shared" si="3"/>
        <v>700</v>
      </c>
      <c r="D55" s="230">
        <f t="shared" si="3"/>
        <v>600</v>
      </c>
      <c r="E55" s="17"/>
      <c r="F55" s="17">
        <f t="shared" si="0"/>
        <v>-0.125</v>
      </c>
      <c r="G55" s="17">
        <f t="shared" si="1"/>
        <v>-0.1428571428571429</v>
      </c>
    </row>
    <row r="56" spans="1:7" x14ac:dyDescent="0.3">
      <c r="A56" s="49" t="s">
        <v>1221</v>
      </c>
      <c r="B56" s="71">
        <f>B52-B53+B54-B55</f>
        <v>800</v>
      </c>
      <c r="C56" s="71">
        <f>C52-C53+C54-C55</f>
        <v>700</v>
      </c>
      <c r="D56" s="71">
        <f>D52-D53+D54-D55</f>
        <v>600</v>
      </c>
      <c r="E56" s="235"/>
      <c r="F56" s="235">
        <f t="shared" si="0"/>
        <v>-0.125</v>
      </c>
      <c r="G56" s="235">
        <f t="shared" si="1"/>
        <v>-0.1428571428571429</v>
      </c>
    </row>
    <row r="57" spans="1:7" x14ac:dyDescent="0.3">
      <c r="A57" s="47"/>
      <c r="B57" s="229"/>
      <c r="C57" s="229"/>
      <c r="D57" s="229"/>
      <c r="E57" s="17"/>
    </row>
    <row r="58" spans="1:7" x14ac:dyDescent="0.3">
      <c r="A58" s="231" t="s">
        <v>433</v>
      </c>
      <c r="B58" s="229"/>
      <c r="C58" s="229"/>
      <c r="D58" s="229"/>
      <c r="E58" s="17"/>
    </row>
    <row r="59" spans="1:7" x14ac:dyDescent="0.3">
      <c r="A59" s="47"/>
      <c r="B59" s="229"/>
      <c r="C59" s="229"/>
      <c r="D59" s="229"/>
      <c r="E59" s="17"/>
    </row>
    <row r="60" spans="1:7" x14ac:dyDescent="0.3">
      <c r="A60" s="49" t="s">
        <v>1360</v>
      </c>
      <c r="B60" s="233">
        <f t="shared" ref="B60:D73" si="4">B43/B$43</f>
        <v>1</v>
      </c>
      <c r="C60" s="233">
        <f t="shared" si="4"/>
        <v>1</v>
      </c>
      <c r="D60" s="233">
        <f t="shared" si="4"/>
        <v>1</v>
      </c>
      <c r="E60" s="17"/>
    </row>
    <row r="61" spans="1:7" x14ac:dyDescent="0.3">
      <c r="A61" t="s">
        <v>1093</v>
      </c>
      <c r="B61" s="234">
        <f t="shared" si="4"/>
        <v>0.275609756097561</v>
      </c>
      <c r="C61" s="234">
        <f t="shared" si="4"/>
        <v>0.27717391304347827</v>
      </c>
      <c r="D61" s="234">
        <f t="shared" si="4"/>
        <v>0.26288659793814434</v>
      </c>
      <c r="E61" s="17"/>
    </row>
    <row r="62" spans="1:7" x14ac:dyDescent="0.3">
      <c r="A62" s="49" t="s">
        <v>273</v>
      </c>
      <c r="B62" s="233">
        <f t="shared" si="4"/>
        <v>0.724390243902439</v>
      </c>
      <c r="C62" s="233">
        <f t="shared" si="4"/>
        <v>0.72282608695652173</v>
      </c>
      <c r="D62" s="233">
        <f t="shared" si="4"/>
        <v>0.73711340206185572</v>
      </c>
      <c r="E62" s="17"/>
    </row>
    <row r="63" spans="1:7" x14ac:dyDescent="0.3">
      <c r="A63" t="s">
        <v>85</v>
      </c>
      <c r="B63" s="234">
        <f t="shared" si="4"/>
        <v>0.24634146341463414</v>
      </c>
      <c r="C63" s="234">
        <f t="shared" si="4"/>
        <v>0.25</v>
      </c>
      <c r="D63" s="234">
        <f t="shared" si="4"/>
        <v>0.2422680412371134</v>
      </c>
      <c r="E63" s="17"/>
    </row>
    <row r="64" spans="1:7" x14ac:dyDescent="0.3">
      <c r="A64" t="s">
        <v>1460</v>
      </c>
      <c r="B64" s="234">
        <f t="shared" si="4"/>
        <v>1.4634146341463415E-2</v>
      </c>
      <c r="C64" s="234">
        <f t="shared" si="4"/>
        <v>1.5217391304347827E-2</v>
      </c>
      <c r="D64" s="234">
        <f t="shared" si="4"/>
        <v>1.5463917525773196E-2</v>
      </c>
      <c r="E64" s="17"/>
    </row>
    <row r="65" spans="1:6" x14ac:dyDescent="0.3">
      <c r="A65" t="s">
        <v>86</v>
      </c>
      <c r="B65" s="234">
        <f t="shared" si="4"/>
        <v>0.35365853658536583</v>
      </c>
      <c r="C65" s="234">
        <f t="shared" si="4"/>
        <v>0.35869565217391303</v>
      </c>
      <c r="D65" s="234">
        <f t="shared" si="4"/>
        <v>0.38144329896907214</v>
      </c>
      <c r="E65" s="17"/>
    </row>
    <row r="66" spans="1:6" x14ac:dyDescent="0.3">
      <c r="A66" t="s">
        <v>115</v>
      </c>
      <c r="B66" s="234">
        <f t="shared" si="4"/>
        <v>1.2195121951219512E-3</v>
      </c>
      <c r="C66" s="234">
        <f t="shared" si="4"/>
        <v>2.1739130434782609E-3</v>
      </c>
      <c r="D66" s="234">
        <f t="shared" si="4"/>
        <v>0</v>
      </c>
      <c r="E66" s="17"/>
    </row>
    <row r="67" spans="1:6" x14ac:dyDescent="0.3">
      <c r="A67" s="49" t="s">
        <v>105</v>
      </c>
      <c r="B67" s="233">
        <f t="shared" si="4"/>
        <v>0.10853658536585366</v>
      </c>
      <c r="C67" s="233">
        <f t="shared" si="4"/>
        <v>9.6739130434782605E-2</v>
      </c>
      <c r="D67" s="233">
        <f t="shared" si="4"/>
        <v>9.7938144329896906E-2</v>
      </c>
      <c r="E67" s="17"/>
    </row>
    <row r="68" spans="1:6" x14ac:dyDescent="0.3">
      <c r="A68" t="s">
        <v>1156</v>
      </c>
      <c r="B68" s="234">
        <f t="shared" si="4"/>
        <v>6.3414634146341464E-2</v>
      </c>
      <c r="C68" s="234">
        <f t="shared" si="4"/>
        <v>5.3260869565217389E-2</v>
      </c>
      <c r="D68" s="234">
        <f t="shared" si="4"/>
        <v>4.9484536082474224E-2</v>
      </c>
      <c r="E68" s="17"/>
    </row>
    <row r="69" spans="1:6" x14ac:dyDescent="0.3">
      <c r="A69" s="49" t="s">
        <v>1184</v>
      </c>
      <c r="B69" s="233">
        <f t="shared" si="4"/>
        <v>4.5121951219512194E-2</v>
      </c>
      <c r="C69" s="233">
        <f t="shared" si="4"/>
        <v>4.3478260869565216E-2</v>
      </c>
      <c r="D69" s="233">
        <f t="shared" si="4"/>
        <v>4.8453608247422682E-2</v>
      </c>
      <c r="E69" s="17"/>
    </row>
    <row r="70" spans="1:6" x14ac:dyDescent="0.3">
      <c r="A70" s="49" t="s">
        <v>432</v>
      </c>
      <c r="B70" s="233">
        <f t="shared" si="4"/>
        <v>2.4390243902439025E-2</v>
      </c>
      <c r="C70" s="233">
        <f t="shared" si="4"/>
        <v>2.717391304347826E-2</v>
      </c>
      <c r="D70" s="233">
        <f t="shared" si="4"/>
        <v>3.711340206185567E-2</v>
      </c>
      <c r="E70" s="17"/>
    </row>
    <row r="71" spans="1:6" x14ac:dyDescent="0.3">
      <c r="A71" t="s">
        <v>89</v>
      </c>
      <c r="B71" s="234">
        <f t="shared" si="4"/>
        <v>-1.2195121951219512E-3</v>
      </c>
      <c r="C71" s="234">
        <f t="shared" si="4"/>
        <v>-1.0869565217391304E-3</v>
      </c>
      <c r="D71" s="234">
        <f t="shared" si="4"/>
        <v>1.0309278350515464E-3</v>
      </c>
      <c r="E71" s="17"/>
    </row>
    <row r="72" spans="1:6" x14ac:dyDescent="0.3">
      <c r="A72" t="s">
        <v>116</v>
      </c>
      <c r="B72" s="234">
        <f t="shared" si="4"/>
        <v>9.7560975609756097E-3</v>
      </c>
      <c r="C72" s="234">
        <f t="shared" si="4"/>
        <v>7.6086956521739134E-3</v>
      </c>
      <c r="D72" s="234">
        <f t="shared" si="4"/>
        <v>6.1855670103092781E-3</v>
      </c>
      <c r="E72" s="17"/>
    </row>
    <row r="73" spans="1:6" x14ac:dyDescent="0.3">
      <c r="A73" s="49" t="s">
        <v>1221</v>
      </c>
      <c r="B73" s="233">
        <f t="shared" si="4"/>
        <v>9.7560975609756097E-3</v>
      </c>
      <c r="C73" s="233">
        <f t="shared" si="4"/>
        <v>7.6086956521739134E-3</v>
      </c>
      <c r="D73" s="233">
        <f t="shared" si="4"/>
        <v>6.1855670103092781E-3</v>
      </c>
      <c r="E73" s="17"/>
    </row>
    <row r="74" spans="1:6" x14ac:dyDescent="0.3">
      <c r="A74" s="47"/>
      <c r="B74" s="229"/>
      <c r="C74" s="229"/>
      <c r="D74" s="229"/>
      <c r="E74" s="17"/>
    </row>
    <row r="75" spans="1:6" x14ac:dyDescent="0.3">
      <c r="B75" s="229"/>
      <c r="C75" s="229"/>
      <c r="D75" s="229"/>
      <c r="E75" s="17"/>
    </row>
    <row r="76" spans="1:6" x14ac:dyDescent="0.3">
      <c r="A76" s="33" t="s">
        <v>1286</v>
      </c>
      <c r="B76" s="229"/>
      <c r="C76" s="229"/>
      <c r="D76" s="229"/>
      <c r="E76" s="17"/>
      <c r="F76" s="17"/>
    </row>
    <row r="77" spans="1:6" x14ac:dyDescent="0.3">
      <c r="A77" s="33"/>
      <c r="F77" s="17"/>
    </row>
    <row r="78" spans="1:6" x14ac:dyDescent="0.3">
      <c r="A78" s="469" t="s">
        <v>168</v>
      </c>
      <c r="B78" s="469">
        <v>0</v>
      </c>
      <c r="C78" s="469">
        <v>1</v>
      </c>
      <c r="D78" s="469">
        <v>2</v>
      </c>
      <c r="E78" s="469">
        <v>3</v>
      </c>
      <c r="F78" s="17"/>
    </row>
    <row r="79" spans="1:6" x14ac:dyDescent="0.3">
      <c r="A79" t="s">
        <v>1116</v>
      </c>
      <c r="B79" s="70">
        <v>70.2</v>
      </c>
      <c r="C79" s="70">
        <v>106</v>
      </c>
      <c r="D79" s="70">
        <v>132</v>
      </c>
      <c r="E79" s="70">
        <v>161</v>
      </c>
    </row>
    <row r="80" spans="1:6" x14ac:dyDescent="0.3">
      <c r="A80" t="s">
        <v>169</v>
      </c>
      <c r="B80" s="70">
        <v>29.4</v>
      </c>
      <c r="C80" s="70">
        <v>35.4</v>
      </c>
      <c r="D80" s="70">
        <v>44.3</v>
      </c>
      <c r="E80" s="70">
        <v>53.8</v>
      </c>
    </row>
    <row r="81" spans="1:5" x14ac:dyDescent="0.3">
      <c r="A81" t="s">
        <v>86</v>
      </c>
      <c r="B81" s="70">
        <v>22.2</v>
      </c>
      <c r="C81" s="70">
        <v>29.4</v>
      </c>
      <c r="D81" s="70">
        <v>36.700000000000003</v>
      </c>
      <c r="E81" s="70">
        <v>41.1</v>
      </c>
    </row>
    <row r="82" spans="1:5" x14ac:dyDescent="0.3">
      <c r="A82" t="s">
        <v>1460</v>
      </c>
      <c r="B82" s="70">
        <v>0.5</v>
      </c>
      <c r="C82" s="70">
        <v>0.7</v>
      </c>
      <c r="D82" s="70">
        <v>0.7</v>
      </c>
      <c r="E82" s="70">
        <v>0.8</v>
      </c>
    </row>
    <row r="83" spans="1:5" x14ac:dyDescent="0.3">
      <c r="A83" t="s">
        <v>170</v>
      </c>
      <c r="B83" s="70">
        <v>13.7</v>
      </c>
      <c r="C83" s="70">
        <v>19.8</v>
      </c>
      <c r="D83" s="70">
        <v>24.6</v>
      </c>
      <c r="E83" s="70">
        <v>30.5</v>
      </c>
    </row>
    <row r="84" spans="1:5" x14ac:dyDescent="0.3">
      <c r="A84" s="25" t="s">
        <v>171</v>
      </c>
      <c r="B84" s="74">
        <v>2.5</v>
      </c>
      <c r="C84" s="74">
        <v>8.9</v>
      </c>
      <c r="D84" s="74">
        <v>11.2</v>
      </c>
      <c r="E84" s="74">
        <v>11.3</v>
      </c>
    </row>
    <row r="85" spans="1:5" x14ac:dyDescent="0.3">
      <c r="A85" t="s">
        <v>1218</v>
      </c>
      <c r="B85" s="75">
        <v>1.4</v>
      </c>
      <c r="C85" s="75">
        <v>2.7</v>
      </c>
      <c r="D85" s="75">
        <v>3.6</v>
      </c>
      <c r="E85" s="75">
        <v>5</v>
      </c>
    </row>
    <row r="87" spans="1:5" x14ac:dyDescent="0.3">
      <c r="A87" t="s">
        <v>103</v>
      </c>
      <c r="B87" s="70">
        <f>SUM(B88:B90)</f>
        <v>38.75</v>
      </c>
      <c r="C87" s="70">
        <f>SUM(C88:C90)</f>
        <v>54.199999999999996</v>
      </c>
      <c r="D87" s="70">
        <f>SUM(D88:D90)</f>
        <v>67.8</v>
      </c>
      <c r="E87" s="70">
        <f>SUM(E88:E90)</f>
        <v>80.349999999999994</v>
      </c>
    </row>
    <row r="88" spans="1:5" x14ac:dyDescent="0.3">
      <c r="A88" s="14" t="s">
        <v>169</v>
      </c>
      <c r="B88" s="73">
        <f>B80</f>
        <v>29.4</v>
      </c>
      <c r="C88" s="73">
        <f>C80</f>
        <v>35.4</v>
      </c>
      <c r="D88" s="73">
        <f>D80</f>
        <v>44.3</v>
      </c>
      <c r="E88" s="73">
        <f>E80</f>
        <v>53.8</v>
      </c>
    </row>
    <row r="89" spans="1:5" x14ac:dyDescent="0.3">
      <c r="A89" s="14" t="s">
        <v>171</v>
      </c>
      <c r="B89" s="73">
        <f>B84</f>
        <v>2.5</v>
      </c>
      <c r="C89" s="73">
        <f>C84</f>
        <v>8.9</v>
      </c>
      <c r="D89" s="73">
        <f>D84</f>
        <v>11.2</v>
      </c>
      <c r="E89" s="73">
        <f>E84</f>
        <v>11.3</v>
      </c>
    </row>
    <row r="90" spans="1:5" x14ac:dyDescent="0.3">
      <c r="A90" s="14" t="s">
        <v>172</v>
      </c>
      <c r="B90" s="73">
        <f>B83/2</f>
        <v>6.85</v>
      </c>
      <c r="C90" s="73">
        <f>C83/2</f>
        <v>9.9</v>
      </c>
      <c r="D90" s="73">
        <f>D83/2</f>
        <v>12.3</v>
      </c>
      <c r="E90" s="73">
        <f>E83/2</f>
        <v>15.25</v>
      </c>
    </row>
    <row r="91" spans="1:5" x14ac:dyDescent="0.3">
      <c r="A91" t="s">
        <v>104</v>
      </c>
      <c r="B91" s="70">
        <f>SUM(B92:B95)</f>
        <v>30.949999999999996</v>
      </c>
      <c r="C91" s="70">
        <f>SUM(C92:C95)</f>
        <v>42.7</v>
      </c>
      <c r="D91" s="70">
        <f>SUM(D92:D95)</f>
        <v>53.300000000000004</v>
      </c>
      <c r="E91" s="70">
        <f>SUM(E92:E95)</f>
        <v>62.15</v>
      </c>
    </row>
    <row r="92" spans="1:5" x14ac:dyDescent="0.3">
      <c r="A92" s="14" t="s">
        <v>86</v>
      </c>
      <c r="B92" s="73">
        <f t="shared" ref="B92:E93" si="5">B81</f>
        <v>22.2</v>
      </c>
      <c r="C92" s="73">
        <f t="shared" si="5"/>
        <v>29.4</v>
      </c>
      <c r="D92" s="73">
        <f t="shared" si="5"/>
        <v>36.700000000000003</v>
      </c>
      <c r="E92" s="73">
        <f t="shared" si="5"/>
        <v>41.1</v>
      </c>
    </row>
    <row r="93" spans="1:5" x14ac:dyDescent="0.3">
      <c r="A93" s="14" t="s">
        <v>1460</v>
      </c>
      <c r="B93" s="73">
        <f t="shared" si="5"/>
        <v>0.5</v>
      </c>
      <c r="C93" s="73">
        <f t="shared" si="5"/>
        <v>0.7</v>
      </c>
      <c r="D93" s="73">
        <f t="shared" si="5"/>
        <v>0.7</v>
      </c>
      <c r="E93" s="73">
        <f t="shared" si="5"/>
        <v>0.8</v>
      </c>
    </row>
    <row r="94" spans="1:5" x14ac:dyDescent="0.3">
      <c r="A94" s="14" t="s">
        <v>172</v>
      </c>
      <c r="B94" s="73">
        <f>B83/2</f>
        <v>6.85</v>
      </c>
      <c r="C94" s="73">
        <f>C83/2</f>
        <v>9.9</v>
      </c>
      <c r="D94" s="73">
        <f>D83/2</f>
        <v>12.3</v>
      </c>
      <c r="E94" s="73">
        <f>E83/2</f>
        <v>15.25</v>
      </c>
    </row>
    <row r="95" spans="1:5" x14ac:dyDescent="0.3">
      <c r="A95" s="14" t="s">
        <v>1218</v>
      </c>
      <c r="B95" s="73">
        <f>B85</f>
        <v>1.4</v>
      </c>
      <c r="C95" s="73">
        <f>C85</f>
        <v>2.7</v>
      </c>
      <c r="D95" s="73">
        <f>D85</f>
        <v>3.6</v>
      </c>
      <c r="E95" s="73">
        <f>E85</f>
        <v>5</v>
      </c>
    </row>
    <row r="97" spans="1:5" s="1" customFormat="1" x14ac:dyDescent="0.3">
      <c r="A97" s="1" t="s">
        <v>173</v>
      </c>
      <c r="B97" s="90">
        <f>B91/(1-B87/B79)</f>
        <v>69.083942766295692</v>
      </c>
      <c r="C97" s="90">
        <f>C91/(1-C87/C79)</f>
        <v>87.378378378378386</v>
      </c>
      <c r="D97" s="90">
        <f>D91/(1-D87/D79)</f>
        <v>109.58878504672899</v>
      </c>
      <c r="E97" s="90">
        <f>E91/(1-E87/E79)</f>
        <v>124.06881587104772</v>
      </c>
    </row>
    <row r="98" spans="1:5" x14ac:dyDescent="0.3">
      <c r="A98" s="68" t="s">
        <v>114</v>
      </c>
      <c r="B98" s="17">
        <f>B79/B97</f>
        <v>1.0161550888529889</v>
      </c>
      <c r="C98" s="17">
        <f>C79/C97</f>
        <v>1.2131147540983604</v>
      </c>
      <c r="D98" s="17">
        <f>D79/D97</f>
        <v>1.2045028142589116</v>
      </c>
      <c r="E98" s="17">
        <f>E79/E97</f>
        <v>1.2976669348350767</v>
      </c>
    </row>
    <row r="100" spans="1:5" x14ac:dyDescent="0.3">
      <c r="A100" t="s">
        <v>1364</v>
      </c>
      <c r="B100" s="70">
        <v>1.6</v>
      </c>
      <c r="C100" s="70">
        <f>1.6+3</f>
        <v>4.5999999999999996</v>
      </c>
      <c r="D100" s="70">
        <f>1.6+3</f>
        <v>4.5999999999999996</v>
      </c>
      <c r="E100" s="70">
        <f>1.6+3</f>
        <v>4.5999999999999996</v>
      </c>
    </row>
    <row r="102" spans="1:5" s="1" customFormat="1" x14ac:dyDescent="0.3">
      <c r="A102" s="1" t="s">
        <v>174</v>
      </c>
      <c r="B102" s="90">
        <f>(B91+B100)/(1-B87/B79)</f>
        <v>72.655325914149444</v>
      </c>
      <c r="C102" s="90">
        <f>(C91+C100)/(1-C87/C79)</f>
        <v>96.791505791505799</v>
      </c>
      <c r="D102" s="90">
        <f>(D91+D100)/(1-D87/D79)</f>
        <v>119.04672897196264</v>
      </c>
      <c r="E102" s="90">
        <f>(E91+E100)/(1-E87/E79)</f>
        <v>133.25170489770611</v>
      </c>
    </row>
    <row r="103" spans="1:5" x14ac:dyDescent="0.3">
      <c r="A103" s="68" t="s">
        <v>114</v>
      </c>
      <c r="B103" s="17">
        <f>B79/B102</f>
        <v>0.96620583717357911</v>
      </c>
      <c r="C103" s="17">
        <f>C79/C102</f>
        <v>1.095137420718816</v>
      </c>
      <c r="D103" s="17">
        <f>D79/D102</f>
        <v>1.1088082901554401</v>
      </c>
      <c r="E103" s="17">
        <f>E79/E102</f>
        <v>1.2082397003745322</v>
      </c>
    </row>
  </sheetData>
  <mergeCells count="1">
    <mergeCell ref="F41:G41"/>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ignoredErrors>
    <ignoredError sqref="B24:D24"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F93"/>
  <sheetViews>
    <sheetView showGridLines="0" topLeftCell="A79" workbookViewId="0">
      <selection activeCell="F102" sqref="F102"/>
    </sheetView>
  </sheetViews>
  <sheetFormatPr baseColWidth="10" defaultRowHeight="13.5" x14ac:dyDescent="0.3"/>
  <cols>
    <col min="1" max="1" width="38.84375" customWidth="1"/>
  </cols>
  <sheetData>
    <row r="1" spans="1:4" x14ac:dyDescent="0.3">
      <c r="A1" s="33" t="s">
        <v>1525</v>
      </c>
    </row>
    <row r="2" spans="1:4" x14ac:dyDescent="0.3">
      <c r="A2" s="33"/>
    </row>
    <row r="3" spans="1:4" x14ac:dyDescent="0.3">
      <c r="A3" s="475" t="s">
        <v>187</v>
      </c>
    </row>
    <row r="4" spans="1:4" x14ac:dyDescent="0.3">
      <c r="A4" t="s">
        <v>1360</v>
      </c>
      <c r="B4">
        <v>100</v>
      </c>
    </row>
    <row r="5" spans="1:4" x14ac:dyDescent="0.3">
      <c r="A5" t="s">
        <v>96</v>
      </c>
      <c r="B5">
        <v>30</v>
      </c>
    </row>
    <row r="6" spans="1:4" x14ac:dyDescent="0.3">
      <c r="A6" t="s">
        <v>175</v>
      </c>
      <c r="B6">
        <v>40</v>
      </c>
    </row>
    <row r="7" spans="1:4" x14ac:dyDescent="0.3">
      <c r="A7" t="s">
        <v>176</v>
      </c>
      <c r="B7" s="68">
        <v>20</v>
      </c>
    </row>
    <row r="9" spans="1:4" x14ac:dyDescent="0.3">
      <c r="A9" s="1" t="s">
        <v>177</v>
      </c>
    </row>
    <row r="10" spans="1:4" x14ac:dyDescent="0.3">
      <c r="A10" t="s">
        <v>178</v>
      </c>
      <c r="B10">
        <v>15</v>
      </c>
      <c r="C10" t="s">
        <v>179</v>
      </c>
      <c r="D10" s="80" t="s">
        <v>193</v>
      </c>
    </row>
    <row r="11" spans="1:4" x14ac:dyDescent="0.3">
      <c r="A11" t="s">
        <v>180</v>
      </c>
      <c r="B11">
        <v>1</v>
      </c>
      <c r="C11" t="s">
        <v>182</v>
      </c>
      <c r="D11">
        <v>30</v>
      </c>
    </row>
    <row r="12" spans="1:4" x14ac:dyDescent="0.3">
      <c r="A12" s="14" t="s">
        <v>185</v>
      </c>
      <c r="B12" s="78">
        <v>1</v>
      </c>
      <c r="C12" s="8" t="s">
        <v>182</v>
      </c>
    </row>
    <row r="13" spans="1:4" x14ac:dyDescent="0.3">
      <c r="A13" s="14" t="s">
        <v>189</v>
      </c>
      <c r="B13" s="8">
        <v>15</v>
      </c>
      <c r="C13" s="8" t="s">
        <v>179</v>
      </c>
    </row>
    <row r="14" spans="1:4" x14ac:dyDescent="0.3">
      <c r="A14" t="s">
        <v>181</v>
      </c>
      <c r="B14">
        <v>15</v>
      </c>
      <c r="C14" t="s">
        <v>179</v>
      </c>
    </row>
    <row r="16" spans="1:4" x14ac:dyDescent="0.3">
      <c r="A16" s="1" t="s">
        <v>183</v>
      </c>
    </row>
    <row r="17" spans="1:4" x14ac:dyDescent="0.3">
      <c r="A17" t="s">
        <v>1380</v>
      </c>
      <c r="B17">
        <v>2</v>
      </c>
      <c r="C17" t="s">
        <v>182</v>
      </c>
    </row>
    <row r="18" spans="1:4" x14ac:dyDescent="0.3">
      <c r="A18" t="s">
        <v>184</v>
      </c>
      <c r="B18">
        <v>1</v>
      </c>
      <c r="C18" t="s">
        <v>182</v>
      </c>
    </row>
    <row r="20" spans="1:4" ht="20" x14ac:dyDescent="0.3">
      <c r="A20" s="467"/>
      <c r="B20" s="476" t="s">
        <v>190</v>
      </c>
      <c r="C20" s="477" t="s">
        <v>191</v>
      </c>
      <c r="D20" s="476" t="s">
        <v>708</v>
      </c>
    </row>
    <row r="21" spans="1:4" x14ac:dyDescent="0.3">
      <c r="A21" t="s">
        <v>192</v>
      </c>
      <c r="B21" s="17">
        <f>B5/B4</f>
        <v>0.3</v>
      </c>
      <c r="C21" s="77">
        <f>B10</f>
        <v>15</v>
      </c>
      <c r="D21" s="77">
        <f>B21*C21</f>
        <v>4.5</v>
      </c>
    </row>
    <row r="22" spans="1:4" x14ac:dyDescent="0.3">
      <c r="A22" t="s">
        <v>188</v>
      </c>
      <c r="B22" s="17"/>
    </row>
    <row r="23" spans="1:4" x14ac:dyDescent="0.3">
      <c r="A23" s="14" t="s">
        <v>185</v>
      </c>
      <c r="B23" s="81">
        <f>B5/B4</f>
        <v>0.3</v>
      </c>
      <c r="C23" s="8">
        <f>B12*Jours</f>
        <v>30</v>
      </c>
      <c r="D23" s="426">
        <f>B23*C23</f>
        <v>9</v>
      </c>
    </row>
    <row r="24" spans="1:4" x14ac:dyDescent="0.3">
      <c r="A24" s="14" t="s">
        <v>189</v>
      </c>
      <c r="B24" s="81">
        <f>B6/B4</f>
        <v>0.4</v>
      </c>
      <c r="C24" s="8">
        <f>B13</f>
        <v>15</v>
      </c>
      <c r="D24" s="426">
        <f>B24*C24</f>
        <v>6</v>
      </c>
    </row>
    <row r="25" spans="1:4" x14ac:dyDescent="0.3">
      <c r="A25" t="s">
        <v>1345</v>
      </c>
      <c r="B25" s="17">
        <f>(B5+B6+B7)/B4</f>
        <v>0.9</v>
      </c>
      <c r="C25">
        <f>B14</f>
        <v>15</v>
      </c>
      <c r="D25">
        <f>B25*C25</f>
        <v>13.5</v>
      </c>
    </row>
    <row r="26" spans="1:4" x14ac:dyDescent="0.3">
      <c r="A26" s="45" t="s">
        <v>186</v>
      </c>
      <c r="B26" s="238">
        <f>B4/B4</f>
        <v>1</v>
      </c>
      <c r="C26" s="45">
        <f>B18*Jours</f>
        <v>30</v>
      </c>
      <c r="D26" s="386">
        <f>B26*C26</f>
        <v>30</v>
      </c>
    </row>
    <row r="27" spans="1:4" x14ac:dyDescent="0.3">
      <c r="A27" s="25" t="s">
        <v>1471</v>
      </c>
      <c r="B27" s="82">
        <f>-B5/B4</f>
        <v>-0.3</v>
      </c>
      <c r="C27" s="159">
        <f>B17*Jours</f>
        <v>60</v>
      </c>
      <c r="D27" s="159">
        <f>B27*C27</f>
        <v>-18</v>
      </c>
    </row>
    <row r="28" spans="1:4" x14ac:dyDescent="0.3">
      <c r="A28" s="79" t="s">
        <v>1107</v>
      </c>
      <c r="D28" s="77">
        <f>SUM(D21:D27)</f>
        <v>45</v>
      </c>
    </row>
    <row r="30" spans="1:4" x14ac:dyDescent="0.3">
      <c r="A30" s="33" t="s">
        <v>1526</v>
      </c>
    </row>
    <row r="31" spans="1:4" x14ac:dyDescent="0.3">
      <c r="A31" s="33"/>
    </row>
    <row r="32" spans="1:4" x14ac:dyDescent="0.3">
      <c r="A32" t="s">
        <v>194</v>
      </c>
      <c r="B32" s="17">
        <v>0.25</v>
      </c>
      <c r="C32" t="s">
        <v>435</v>
      </c>
    </row>
    <row r="33" spans="1:6" x14ac:dyDescent="0.3">
      <c r="A33" t="s">
        <v>195</v>
      </c>
      <c r="B33">
        <v>100</v>
      </c>
    </row>
    <row r="34" spans="1:6" x14ac:dyDescent="0.3">
      <c r="A34" t="s">
        <v>196</v>
      </c>
      <c r="B34">
        <v>120</v>
      </c>
    </row>
    <row r="35" spans="1:6" x14ac:dyDescent="0.3">
      <c r="A35" t="s">
        <v>197</v>
      </c>
      <c r="B35" s="37">
        <v>0.15</v>
      </c>
      <c r="C35" t="s">
        <v>435</v>
      </c>
    </row>
    <row r="37" spans="1:6" x14ac:dyDescent="0.3">
      <c r="A37" s="3" t="s">
        <v>198</v>
      </c>
      <c r="B37">
        <f>B35*B34-B32*(B34-B33)</f>
        <v>13</v>
      </c>
    </row>
    <row r="39" spans="1:6" x14ac:dyDescent="0.3">
      <c r="A39" s="33" t="s">
        <v>436</v>
      </c>
    </row>
    <row r="40" spans="1:6" x14ac:dyDescent="0.3">
      <c r="A40" s="478"/>
      <c r="B40" s="466">
        <v>1</v>
      </c>
      <c r="C40" s="466">
        <v>2</v>
      </c>
      <c r="D40" s="466">
        <v>3</v>
      </c>
      <c r="E40" s="466">
        <v>4</v>
      </c>
      <c r="F40" s="466">
        <v>5</v>
      </c>
    </row>
    <row r="41" spans="1:6" x14ac:dyDescent="0.3">
      <c r="A41" s="1" t="s">
        <v>76</v>
      </c>
    </row>
    <row r="42" spans="1:6" x14ac:dyDescent="0.3">
      <c r="A42" t="s">
        <v>199</v>
      </c>
      <c r="B42" s="77">
        <v>6.1</v>
      </c>
      <c r="C42" s="77">
        <v>7.4</v>
      </c>
      <c r="D42" s="77">
        <v>9.1</v>
      </c>
      <c r="E42" s="77">
        <v>13</v>
      </c>
      <c r="F42" s="77">
        <v>15.4</v>
      </c>
    </row>
    <row r="43" spans="1:6" x14ac:dyDescent="0.3">
      <c r="A43" t="s">
        <v>200</v>
      </c>
      <c r="B43" s="77">
        <v>6.4</v>
      </c>
      <c r="C43" s="77">
        <v>8.9</v>
      </c>
      <c r="D43" s="77">
        <v>10.5</v>
      </c>
      <c r="E43" s="77">
        <v>11.1</v>
      </c>
      <c r="F43" s="77">
        <v>11.6</v>
      </c>
    </row>
    <row r="44" spans="1:6" x14ac:dyDescent="0.3">
      <c r="A44" t="s">
        <v>201</v>
      </c>
      <c r="B44" s="77">
        <v>2.1</v>
      </c>
      <c r="C44" s="77">
        <v>3.5</v>
      </c>
      <c r="D44" s="77">
        <v>3.5</v>
      </c>
      <c r="E44" s="77">
        <v>3.8</v>
      </c>
      <c r="F44" s="77">
        <v>3.4</v>
      </c>
    </row>
    <row r="45" spans="1:6" x14ac:dyDescent="0.3">
      <c r="B45" s="77"/>
      <c r="C45" s="77"/>
      <c r="D45" s="77"/>
      <c r="E45" s="77"/>
      <c r="F45" s="77"/>
    </row>
    <row r="46" spans="1:6" x14ac:dyDescent="0.3">
      <c r="A46" s="1" t="s">
        <v>202</v>
      </c>
      <c r="B46" s="77"/>
      <c r="C46" s="77"/>
      <c r="D46" s="77"/>
      <c r="E46" s="77"/>
      <c r="F46" s="77"/>
    </row>
    <row r="47" spans="1:6" x14ac:dyDescent="0.3">
      <c r="A47" t="s">
        <v>203</v>
      </c>
      <c r="B47" s="77">
        <v>32.799999999999997</v>
      </c>
      <c r="C47" s="77">
        <v>44.7</v>
      </c>
      <c r="D47" s="77">
        <v>49.4</v>
      </c>
      <c r="E47" s="77">
        <v>48.9</v>
      </c>
      <c r="F47" s="77">
        <v>50</v>
      </c>
    </row>
    <row r="48" spans="1:6" x14ac:dyDescent="0.3">
      <c r="A48" t="s">
        <v>204</v>
      </c>
      <c r="B48" s="77">
        <v>38.9</v>
      </c>
      <c r="C48" s="77">
        <v>52.6</v>
      </c>
      <c r="D48" s="77">
        <v>58.1</v>
      </c>
      <c r="E48" s="77">
        <v>57.4</v>
      </c>
      <c r="F48" s="77">
        <v>57.2</v>
      </c>
    </row>
    <row r="49" spans="1:6" x14ac:dyDescent="0.3">
      <c r="A49" t="s">
        <v>205</v>
      </c>
      <c r="B49" s="77">
        <v>12.5</v>
      </c>
      <c r="C49" s="77">
        <v>19.2</v>
      </c>
      <c r="D49" s="77">
        <v>19.600000000000001</v>
      </c>
      <c r="E49" s="77">
        <v>20.9</v>
      </c>
      <c r="F49" s="77">
        <v>20.399999999999999</v>
      </c>
    </row>
    <row r="51" spans="1:6" x14ac:dyDescent="0.3">
      <c r="A51" s="1" t="s">
        <v>98</v>
      </c>
    </row>
    <row r="52" spans="1:6" x14ac:dyDescent="0.3">
      <c r="A52" t="s">
        <v>1419</v>
      </c>
      <c r="B52" s="77">
        <f>B42+B43-B44</f>
        <v>10.4</v>
      </c>
      <c r="C52" s="77">
        <f>C42+C43-C44</f>
        <v>12.8</v>
      </c>
      <c r="D52" s="77">
        <f>D42+D43-D44</f>
        <v>16.100000000000001</v>
      </c>
      <c r="E52" s="77">
        <f>E42+E43-E44</f>
        <v>20.3</v>
      </c>
      <c r="F52" s="77">
        <f>F42+F43-F44</f>
        <v>23.6</v>
      </c>
    </row>
    <row r="53" spans="1:6" x14ac:dyDescent="0.3">
      <c r="A53" t="s">
        <v>207</v>
      </c>
      <c r="B53" s="107">
        <f>B52/B47*365</f>
        <v>115.73170731707319</v>
      </c>
      <c r="C53" s="107">
        <f>C52/C47*365</f>
        <v>104.51901565995526</v>
      </c>
      <c r="D53" s="107">
        <f>D52/D47*365</f>
        <v>118.95748987854252</v>
      </c>
      <c r="E53" s="107">
        <f>E52/E47*365</f>
        <v>151.5235173824131</v>
      </c>
      <c r="F53" s="107">
        <f>F52/F47*365</f>
        <v>172.28</v>
      </c>
    </row>
    <row r="54" spans="1:6" x14ac:dyDescent="0.3">
      <c r="A54" t="s">
        <v>77</v>
      </c>
      <c r="B54" s="220">
        <f>B43/B48*365</f>
        <v>60.051413881748076</v>
      </c>
      <c r="C54" s="220">
        <f>C43/C48*365</f>
        <v>61.758555133079852</v>
      </c>
      <c r="D54" s="220">
        <f>D43/D48*365</f>
        <v>65.963855421686745</v>
      </c>
      <c r="E54" s="220">
        <f>E43/E48*365</f>
        <v>70.583623693379792</v>
      </c>
      <c r="F54" s="220">
        <f>F43/F48*365</f>
        <v>74.020979020979013</v>
      </c>
    </row>
    <row r="55" spans="1:6" x14ac:dyDescent="0.3">
      <c r="A55" t="s">
        <v>78</v>
      </c>
      <c r="B55" s="220">
        <f>B42/B47*365</f>
        <v>67.881097560975604</v>
      </c>
      <c r="C55" s="220">
        <f>C42/C47*365</f>
        <v>60.425055928411631</v>
      </c>
      <c r="D55" s="220">
        <f>D42/D47*365</f>
        <v>67.23684210526315</v>
      </c>
      <c r="E55" s="220">
        <f>E42/E47*365</f>
        <v>97.034764826175859</v>
      </c>
      <c r="F55" s="220">
        <f>F42/F47*365</f>
        <v>112.42</v>
      </c>
    </row>
    <row r="56" spans="1:6" x14ac:dyDescent="0.3">
      <c r="A56" t="s">
        <v>79</v>
      </c>
      <c r="B56" s="220">
        <f>B44/B49*365</f>
        <v>61.32</v>
      </c>
      <c r="C56" s="220">
        <f>C44/C49*365</f>
        <v>66.536458333333343</v>
      </c>
      <c r="D56" s="220">
        <f>D44/D49*365</f>
        <v>65.178571428571416</v>
      </c>
      <c r="E56" s="220">
        <f>E44/E49*365</f>
        <v>66.36363636363636</v>
      </c>
      <c r="F56" s="220">
        <f>F44/F49*365</f>
        <v>60.833333333333343</v>
      </c>
    </row>
    <row r="58" spans="1:6" x14ac:dyDescent="0.3">
      <c r="A58" s="12" t="s">
        <v>208</v>
      </c>
    </row>
    <row r="59" spans="1:6" x14ac:dyDescent="0.3">
      <c r="A59" t="s">
        <v>209</v>
      </c>
      <c r="B59">
        <v>4</v>
      </c>
      <c r="C59" t="s">
        <v>210</v>
      </c>
    </row>
    <row r="60" spans="1:6" x14ac:dyDescent="0.3">
      <c r="A60" t="s">
        <v>211</v>
      </c>
      <c r="B60" s="37">
        <v>0.6</v>
      </c>
      <c r="C60" t="s">
        <v>212</v>
      </c>
    </row>
    <row r="61" spans="1:6" x14ac:dyDescent="0.3">
      <c r="A61" t="s">
        <v>213</v>
      </c>
      <c r="B61">
        <v>45</v>
      </c>
      <c r="C61" t="s">
        <v>214</v>
      </c>
    </row>
    <row r="62" spans="1:6" x14ac:dyDescent="0.3">
      <c r="A62" t="s">
        <v>215</v>
      </c>
      <c r="B62">
        <v>30</v>
      </c>
      <c r="C62" t="s">
        <v>179</v>
      </c>
    </row>
    <row r="63" spans="1:6" x14ac:dyDescent="0.3">
      <c r="A63" t="s">
        <v>216</v>
      </c>
      <c r="B63" s="37">
        <v>0.1</v>
      </c>
      <c r="C63" t="s">
        <v>212</v>
      </c>
    </row>
    <row r="64" spans="1:6" x14ac:dyDescent="0.3">
      <c r="A64" t="s">
        <v>1326</v>
      </c>
      <c r="B64" s="37">
        <v>0.5</v>
      </c>
      <c r="C64" t="s">
        <v>219</v>
      </c>
      <c r="D64">
        <v>15</v>
      </c>
      <c r="E64" t="s">
        <v>218</v>
      </c>
    </row>
    <row r="65" spans="1:5" x14ac:dyDescent="0.3">
      <c r="A65" t="s">
        <v>217</v>
      </c>
      <c r="B65" s="37">
        <v>0.2</v>
      </c>
      <c r="C65" t="s">
        <v>220</v>
      </c>
      <c r="D65">
        <v>25</v>
      </c>
      <c r="E65" t="s">
        <v>218</v>
      </c>
    </row>
    <row r="67" spans="1:5" ht="20" x14ac:dyDescent="0.3">
      <c r="A67" s="466" t="s">
        <v>1419</v>
      </c>
      <c r="B67" s="476" t="s">
        <v>190</v>
      </c>
      <c r="C67" s="477" t="s">
        <v>191</v>
      </c>
      <c r="D67" s="476" t="s">
        <v>708</v>
      </c>
    </row>
    <row r="68" spans="1:5" x14ac:dyDescent="0.3">
      <c r="A68" t="s">
        <v>1471</v>
      </c>
      <c r="B68" s="151">
        <f>B60*(1+TVA)</f>
        <v>0.72</v>
      </c>
      <c r="C68" s="5">
        <f>B62</f>
        <v>30</v>
      </c>
      <c r="D68" s="5">
        <f t="shared" ref="D68:D73" si="0">B68*C68</f>
        <v>21.599999999999998</v>
      </c>
    </row>
    <row r="69" spans="1:5" x14ac:dyDescent="0.3">
      <c r="A69" t="s">
        <v>438</v>
      </c>
      <c r="B69" s="84">
        <f>B63</f>
        <v>0.1</v>
      </c>
      <c r="C69" s="5">
        <v>15</v>
      </c>
      <c r="D69" s="5">
        <f t="shared" si="0"/>
        <v>1.5</v>
      </c>
    </row>
    <row r="70" spans="1:5" x14ac:dyDescent="0.3">
      <c r="A70" t="s">
        <v>437</v>
      </c>
      <c r="B70" s="84">
        <f>B63*B64</f>
        <v>0.05</v>
      </c>
      <c r="C70" s="5">
        <f>15+D64</f>
        <v>30</v>
      </c>
      <c r="D70" s="5">
        <f t="shared" si="0"/>
        <v>1.5</v>
      </c>
    </row>
    <row r="71" spans="1:5" x14ac:dyDescent="0.3">
      <c r="A71" t="s">
        <v>1374</v>
      </c>
      <c r="B71" s="84">
        <v>0.6</v>
      </c>
      <c r="C71" s="5">
        <f>360/B59</f>
        <v>90</v>
      </c>
      <c r="D71" s="5">
        <f t="shared" si="0"/>
        <v>54</v>
      </c>
    </row>
    <row r="72" spans="1:5" x14ac:dyDescent="0.3">
      <c r="A72" t="s">
        <v>415</v>
      </c>
      <c r="B72" s="151">
        <f>(1+TVA)</f>
        <v>1.2</v>
      </c>
      <c r="C72" s="5">
        <f>B61+15</f>
        <v>60</v>
      </c>
      <c r="D72" s="5">
        <f>B72*C72</f>
        <v>72</v>
      </c>
      <c r="E72" t="s">
        <v>1608</v>
      </c>
    </row>
    <row r="73" spans="1:5" x14ac:dyDescent="0.3">
      <c r="A73" t="s">
        <v>221</v>
      </c>
      <c r="B73" s="84">
        <f>TVA-B60*TVA</f>
        <v>8.0000000000000016E-2</v>
      </c>
      <c r="C73" s="5">
        <f>15+D65</f>
        <v>40</v>
      </c>
      <c r="D73" s="5">
        <f t="shared" si="0"/>
        <v>3.2000000000000006</v>
      </c>
    </row>
    <row r="74" spans="1:5" x14ac:dyDescent="0.3">
      <c r="A74" s="79" t="s">
        <v>1107</v>
      </c>
      <c r="D74" s="179">
        <f>+D71+D72-D73-D68-D69-D70</f>
        <v>98.2</v>
      </c>
    </row>
    <row r="77" spans="1:5" x14ac:dyDescent="0.3">
      <c r="A77" s="12" t="s">
        <v>222</v>
      </c>
    </row>
    <row r="79" spans="1:5" x14ac:dyDescent="0.3">
      <c r="A79" t="s">
        <v>206</v>
      </c>
      <c r="B79">
        <v>15</v>
      </c>
      <c r="C79" t="s">
        <v>210</v>
      </c>
    </row>
    <row r="80" spans="1:5" x14ac:dyDescent="0.3">
      <c r="A80" t="s">
        <v>224</v>
      </c>
      <c r="B80">
        <v>90</v>
      </c>
      <c r="C80" t="s">
        <v>179</v>
      </c>
    </row>
    <row r="81" spans="1:5" x14ac:dyDescent="0.3">
      <c r="A81" t="s">
        <v>223</v>
      </c>
      <c r="B81">
        <v>10</v>
      </c>
      <c r="C81" t="s">
        <v>179</v>
      </c>
    </row>
    <row r="82" spans="1:5" x14ac:dyDescent="0.3">
      <c r="A82" t="s">
        <v>80</v>
      </c>
      <c r="B82" s="37">
        <v>0.75</v>
      </c>
    </row>
    <row r="83" spans="1:5" x14ac:dyDescent="0.3">
      <c r="A83" t="s">
        <v>225</v>
      </c>
    </row>
    <row r="85" spans="1:5" ht="20" x14ac:dyDescent="0.3">
      <c r="A85" s="466" t="s">
        <v>1419</v>
      </c>
      <c r="B85" s="476" t="s">
        <v>190</v>
      </c>
      <c r="C85" s="477" t="s">
        <v>191</v>
      </c>
      <c r="D85" s="476" t="s">
        <v>708</v>
      </c>
    </row>
    <row r="86" spans="1:5" x14ac:dyDescent="0.3">
      <c r="A86" t="s">
        <v>1374</v>
      </c>
      <c r="B86" s="221">
        <v>0.75</v>
      </c>
      <c r="C86" s="5">
        <f>365/B79</f>
        <v>24.333333333333332</v>
      </c>
      <c r="D86" s="5">
        <f>B86*C86</f>
        <v>18.25</v>
      </c>
    </row>
    <row r="87" spans="1:5" x14ac:dyDescent="0.3">
      <c r="A87" t="s">
        <v>415</v>
      </c>
      <c r="B87" s="37">
        <v>1</v>
      </c>
      <c r="C87" s="5">
        <f>B81</f>
        <v>10</v>
      </c>
      <c r="D87" s="5">
        <f>B87*C87</f>
        <v>10</v>
      </c>
    </row>
    <row r="88" spans="1:5" x14ac:dyDescent="0.3">
      <c r="A88" t="s">
        <v>1471</v>
      </c>
      <c r="B88" s="221">
        <v>0.75</v>
      </c>
      <c r="C88" s="5">
        <f>B80</f>
        <v>90</v>
      </c>
      <c r="D88" s="5">
        <f>B88*C88</f>
        <v>67.5</v>
      </c>
    </row>
    <row r="89" spans="1:5" x14ac:dyDescent="0.3">
      <c r="A89" s="79" t="s">
        <v>1107</v>
      </c>
      <c r="D89" s="179">
        <f>D87+D86-D88</f>
        <v>-39.25</v>
      </c>
      <c r="E89" t="s">
        <v>458</v>
      </c>
    </row>
    <row r="93" spans="1:5" x14ac:dyDescent="0.3">
      <c r="A93" s="33" t="s">
        <v>490</v>
      </c>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45</vt:i4>
      </vt:variant>
      <vt:variant>
        <vt:lpstr>Plages nommées</vt:lpstr>
      </vt:variant>
      <vt:variant>
        <vt:i4>5</vt:i4>
      </vt:variant>
    </vt:vector>
  </HeadingPairs>
  <TitlesOfParts>
    <vt:vector size="50" baseType="lpstr">
      <vt:lpstr>Chapitre 2</vt:lpstr>
      <vt:lpstr> Chapitre 3</vt:lpstr>
      <vt:lpstr>Chapitre 4</vt:lpstr>
      <vt:lpstr>Chapitre 5</vt:lpstr>
      <vt:lpstr>Chapitre 7</vt:lpstr>
      <vt:lpstr>Chapitre 9</vt:lpstr>
      <vt:lpstr>Chapitre 10</vt:lpstr>
      <vt:lpstr>Chapitre 11</vt:lpstr>
      <vt:lpstr> Chapitre 12</vt:lpstr>
      <vt:lpstr>Chapitre 13</vt:lpstr>
      <vt:lpstr>Chapitre 14</vt:lpstr>
      <vt:lpstr>Chapitre 15</vt:lpstr>
      <vt:lpstr> Chapitre 18</vt:lpstr>
      <vt:lpstr>Chapitre 19</vt:lpstr>
      <vt:lpstr>Chapitre 20</vt:lpstr>
      <vt:lpstr>Chapitre 21</vt:lpstr>
      <vt:lpstr>Chapitre 22</vt:lpstr>
      <vt:lpstr>Chapitre 23</vt:lpstr>
      <vt:lpstr>Chapitre 24</vt:lpstr>
      <vt:lpstr>Chapitre 26</vt:lpstr>
      <vt:lpstr>Chapitre 27</vt:lpstr>
      <vt:lpstr>Chapitre 28</vt:lpstr>
      <vt:lpstr> Chapitre 29</vt:lpstr>
      <vt:lpstr> Chapitre 30</vt:lpstr>
      <vt:lpstr>Chapitre 31</vt:lpstr>
      <vt:lpstr>Chapitre 32</vt:lpstr>
      <vt:lpstr> Chapitre 33</vt:lpstr>
      <vt:lpstr>Chapitre 34</vt:lpstr>
      <vt:lpstr>Chapitre 35</vt:lpstr>
      <vt:lpstr>Chapitre 36</vt:lpstr>
      <vt:lpstr> Chapitre 37</vt:lpstr>
      <vt:lpstr>Chapitre 38</vt:lpstr>
      <vt:lpstr>Chapitre 39</vt:lpstr>
      <vt:lpstr>Chapitre 40</vt:lpstr>
      <vt:lpstr>Chapitre 41</vt:lpstr>
      <vt:lpstr> Chapitre 42</vt:lpstr>
      <vt:lpstr> Chapitre 43</vt:lpstr>
      <vt:lpstr> Chapitre 44</vt:lpstr>
      <vt:lpstr>Chapitre 45</vt:lpstr>
      <vt:lpstr>Chapitre 46</vt:lpstr>
      <vt:lpstr>Chapitre 49</vt:lpstr>
      <vt:lpstr>Chapitre 51</vt:lpstr>
      <vt:lpstr>Chapitre 52</vt:lpstr>
      <vt:lpstr> Chapitre 54</vt:lpstr>
      <vt:lpstr>Chapitre 55</vt:lpstr>
      <vt:lpstr>IS</vt:lpstr>
      <vt:lpstr>Jours</vt:lpstr>
      <vt:lpstr>TVA</vt:lpstr>
      <vt:lpstr>'Chapitre 2'!Zone_d_impression</vt:lpstr>
      <vt:lpstr>'Chapitre 32'!Zone_d_impression</vt:lpstr>
    </vt:vector>
  </TitlesOfParts>
  <Company>Carles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Pochez</dc:creator>
  <cp:lastModifiedBy>Le Fur Yann</cp:lastModifiedBy>
  <cp:lastPrinted>2014-04-18T06:10:28Z</cp:lastPrinted>
  <dcterms:created xsi:type="dcterms:W3CDTF">2001-06-20T16:25:08Z</dcterms:created>
  <dcterms:modified xsi:type="dcterms:W3CDTF">2016-08-29T11:57:04Z</dcterms:modified>
</cp:coreProperties>
</file>