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5.xml" ContentType="application/vnd.openxmlformats-officedocument.drawing+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8.xml" ContentType="application/vnd.openxmlformats-officedocument.drawing+xml"/>
  <Override PartName="/xl/worksheets/sheet30.xml" ContentType="application/vnd.openxmlformats-officedocument.spreadsheetml.worksheet+xml"/>
  <Override PartName="/xl/drawings/drawing19.xml" ContentType="application/vnd.openxmlformats-officedocument.drawing+xml"/>
  <Override PartName="/xl/worksheets/sheet31.xml" ContentType="application/vnd.openxmlformats-officedocument.spreadsheetml.worksheet+xml"/>
  <Override PartName="/xl/drawings/drawing20.xml" ContentType="application/vnd.openxmlformats-officedocument.drawing+xml"/>
  <Override PartName="/xl/worksheets/sheet32.xml" ContentType="application/vnd.openxmlformats-officedocument.spreadsheetml.worksheet+xml"/>
  <Override PartName="/xl/drawings/drawing21.xml" ContentType="application/vnd.openxmlformats-officedocument.drawing+xml"/>
  <Override PartName="/xl/worksheets/sheet33.xml" ContentType="application/vnd.openxmlformats-officedocument.spreadsheetml.worksheet+xml"/>
  <Override PartName="/xl/drawings/drawing22.xml" ContentType="application/vnd.openxmlformats-officedocument.drawing+xml"/>
  <Override PartName="/xl/worksheets/sheet34.xml" ContentType="application/vnd.openxmlformats-officedocument.spreadsheetml.worksheet+xml"/>
  <Override PartName="/xl/drawings/drawing23.xml" ContentType="application/vnd.openxmlformats-officedocument.drawing+xml"/>
  <Override PartName="/xl/worksheets/sheet35.xml" ContentType="application/vnd.openxmlformats-officedocument.spreadsheetml.worksheet+xml"/>
  <Override PartName="/xl/drawings/drawing24.xml" ContentType="application/vnd.openxmlformats-officedocument.drawing+xml"/>
  <Override PartName="/xl/worksheets/sheet36.xml" ContentType="application/vnd.openxmlformats-officedocument.spreadsheetml.worksheet+xml"/>
  <Override PartName="/xl/drawings/drawing25.xml" ContentType="application/vnd.openxmlformats-officedocument.drawing+xml"/>
  <Override PartName="/xl/worksheets/sheet37.xml" ContentType="application/vnd.openxmlformats-officedocument.spreadsheetml.worksheet+xml"/>
  <Override PartName="/xl/drawings/drawing26.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drawings/drawing28.xml" ContentType="application/vnd.openxmlformats-officedocument.drawing+xml"/>
  <Override PartName="/xl/worksheets/sheet40.xml" ContentType="application/vnd.openxmlformats-officedocument.spreadsheetml.worksheet+xml"/>
  <Override PartName="/xl/drawings/drawing29.xml" ContentType="application/vnd.openxmlformats-officedocument.drawing+xml"/>
  <Override PartName="/xl/worksheets/sheet41.xml" ContentType="application/vnd.openxmlformats-officedocument.spreadsheetml.worksheet+xml"/>
  <Override PartName="/xl/drawings/drawing30.xml" ContentType="application/vnd.openxmlformats-officedocument.drawing+xml"/>
  <Override PartName="/xl/worksheets/sheet42.xml" ContentType="application/vnd.openxmlformats-officedocument.spreadsheetml.worksheet+xml"/>
  <Override PartName="/xl/drawings/drawing31.xml" ContentType="application/vnd.openxmlformats-officedocument.drawing+xml"/>
  <Override PartName="/xl/worksheets/sheet43.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10" yWindow="65431" windowWidth="5325" windowHeight="6705" tabRatio="930" firstSheet="34" activeTab="42"/>
  </bookViews>
  <sheets>
    <sheet name="Chapitre 2" sheetId="1" r:id="rId1"/>
    <sheet name=" Chapitre 3" sheetId="2" r:id="rId2"/>
    <sheet name="Chapitre 4" sheetId="3" r:id="rId3"/>
    <sheet name="Chapitre 5" sheetId="4" r:id="rId4"/>
    <sheet name=" Chapitre 6" sheetId="5" r:id="rId5"/>
    <sheet name="Chapitre 8" sheetId="6" r:id="rId6"/>
    <sheet name="Chapitre 10" sheetId="7" r:id="rId7"/>
    <sheet name="Chapitre 11" sheetId="8" r:id="rId8"/>
    <sheet name="Chapitre 12" sheetId="9" r:id="rId9"/>
    <sheet name=" Chapitre 13" sheetId="10" r:id="rId10"/>
    <sheet name="Chapitre 14" sheetId="11" r:id="rId11"/>
    <sheet name="Chapitre 15" sheetId="12" r:id="rId12"/>
    <sheet name="Chapitre 16" sheetId="13" r:id="rId13"/>
    <sheet name=" Chapitre 17" sheetId="14" r:id="rId14"/>
    <sheet name=" Chapitre 20" sheetId="15" r:id="rId15"/>
    <sheet name="Chapitre 21" sheetId="16" r:id="rId16"/>
    <sheet name="Chapitre 22" sheetId="17" r:id="rId17"/>
    <sheet name="Chapitre 23" sheetId="18" r:id="rId18"/>
    <sheet name="Chapitre 24" sheetId="19" r:id="rId19"/>
    <sheet name="Chapitre 25" sheetId="20" r:id="rId20"/>
    <sheet name="Chapitre 26" sheetId="21" r:id="rId21"/>
    <sheet name="Chapitre 27" sheetId="22" r:id="rId22"/>
    <sheet name="Chapitre 28" sheetId="23" r:id="rId23"/>
    <sheet name="Chapitre 29" sheetId="24" r:id="rId24"/>
    <sheet name="Chapitre 30" sheetId="25" r:id="rId25"/>
    <sheet name=" Chapitre 31" sheetId="26" r:id="rId26"/>
    <sheet name=" Chapitre 32" sheetId="27" r:id="rId27"/>
    <sheet name="Chapitre 33 " sheetId="28" r:id="rId28"/>
    <sheet name="Chapitre 34" sheetId="29" r:id="rId29"/>
    <sheet name=" Chapitre 35" sheetId="30" r:id="rId30"/>
    <sheet name="Chapitre 36" sheetId="31" r:id="rId31"/>
    <sheet name="Chapitre 37 " sheetId="32" r:id="rId32"/>
    <sheet name="Chapitre 38" sheetId="33" r:id="rId33"/>
    <sheet name=" Chapitre 39 " sheetId="34" r:id="rId34"/>
    <sheet name="Chapitre 40 " sheetId="35" r:id="rId35"/>
    <sheet name="Chapitre 41" sheetId="36" r:id="rId36"/>
    <sheet name="Chapitre 42" sheetId="37" r:id="rId37"/>
    <sheet name=" Chapitre 43" sheetId="38" r:id="rId38"/>
    <sheet name="Chapitre 44" sheetId="39" r:id="rId39"/>
    <sheet name="Chapitre 45 " sheetId="40" r:id="rId40"/>
    <sheet name="Chapitre 48" sheetId="41" r:id="rId41"/>
    <sheet name="Chapitre 50" sheetId="42" r:id="rId42"/>
    <sheet name=" Chapitre 53" sheetId="43" r:id="rId43"/>
  </sheets>
  <definedNames>
    <definedName name="IS">' Chapitre 17'!$B$131</definedName>
    <definedName name="Jours">' Chapitre 13'!$D$10</definedName>
    <definedName name="TVA">' Chapitre 13'!$B$64</definedName>
    <definedName name="_xlnm.Print_Area" localSheetId="0">'Chapitre 2'!$A$1:$I$39</definedName>
    <definedName name="_xlnm.Print_Area" localSheetId="32">'Chapitre 38'!$A:$G</definedName>
  </definedNames>
  <calcPr fullCalcOnLoad="1"/>
</workbook>
</file>

<file path=xl/comments12.xml><?xml version="1.0" encoding="utf-8"?>
<comments xmlns="http://schemas.openxmlformats.org/spreadsheetml/2006/main">
  <authors>
    <author>user</author>
  </authors>
  <commentList>
    <comment ref="A90" authorId="0">
      <text>
        <r>
          <rPr>
            <sz val="8"/>
            <rFont val="Tahoma"/>
            <family val="2"/>
          </rPr>
          <t>Ne pas oublier de rajouter le goodwill amorti.</t>
        </r>
      </text>
    </comment>
  </commentList>
</comments>
</file>

<file path=xl/comments8.xml><?xml version="1.0" encoding="utf-8"?>
<comments xmlns="http://schemas.openxmlformats.org/spreadsheetml/2006/main">
  <authors>
    <author>user</author>
  </authors>
  <commentList>
    <comment ref="B36" authorId="0">
      <text>
        <r>
          <rPr>
            <sz val="8"/>
            <rFont val="Tahoma"/>
            <family val="2"/>
          </rPr>
          <t>Escomptes accordés déduits du chiffre d'affaires.</t>
        </r>
      </text>
    </comment>
  </commentList>
</comments>
</file>

<file path=xl/sharedStrings.xml><?xml version="1.0" encoding="utf-8"?>
<sst xmlns="http://schemas.openxmlformats.org/spreadsheetml/2006/main" count="2778" uniqueCount="1591">
  <si>
    <t>Charges financières nettes</t>
  </si>
  <si>
    <t>Marges</t>
  </si>
  <si>
    <t>Retraitements</t>
  </si>
  <si>
    <t>du CA</t>
  </si>
  <si>
    <t>Exercice 3: Société Moretti</t>
  </si>
  <si>
    <t>Dettes charges sociales</t>
  </si>
  <si>
    <t>Dettes personnel</t>
  </si>
  <si>
    <t>Variation du BFR</t>
  </si>
  <si>
    <t>Exercice 4: Adidas Salomon</t>
  </si>
  <si>
    <t>Immobilisations corporelles &amp; incorporelles</t>
  </si>
  <si>
    <t>Cf. l'ouvrage</t>
  </si>
  <si>
    <t>Rotation du crédit clients</t>
  </si>
  <si>
    <t>Rotation du crédit fournisseurs</t>
  </si>
  <si>
    <t>1. Bilan économique</t>
  </si>
  <si>
    <t>2. Analyse du compte de résultat</t>
  </si>
  <si>
    <t>3. Ratio d'analyse du BFR</t>
  </si>
  <si>
    <t>5. Analyse de l'investissement</t>
  </si>
  <si>
    <t>Flux d'investissement/Immo</t>
  </si>
  <si>
    <t>6. Effet de levier</t>
  </si>
  <si>
    <t>Résultat d'exp après IS/AE</t>
  </si>
  <si>
    <t>Résultat d'exp après IS/CA</t>
  </si>
  <si>
    <t>CA/AE</t>
  </si>
  <si>
    <t>Taux de l'impôt sur les sociétés</t>
  </si>
  <si>
    <t>Marge nette corrigée (1)</t>
  </si>
  <si>
    <t>Rotation de l'actif économique (2)</t>
  </si>
  <si>
    <t>1+levier financier (3)</t>
  </si>
  <si>
    <t>+ Variation des provisions d'exploitation</t>
  </si>
  <si>
    <t>- Intérêts minoritaires</t>
  </si>
  <si>
    <t xml:space="preserve"> </t>
  </si>
  <si>
    <t>= Immobilisations</t>
  </si>
  <si>
    <t>- Fournisseurs</t>
  </si>
  <si>
    <t>= BFR</t>
  </si>
  <si>
    <t>Dettes bancaires et financières à LMT</t>
  </si>
  <si>
    <t>Dettes bancaires et financières à court terme</t>
  </si>
  <si>
    <t>- Disponibilités</t>
  </si>
  <si>
    <t>= Endettement bancaire et financier net</t>
  </si>
  <si>
    <t>+ Augmentation/réduction de capital</t>
  </si>
  <si>
    <t>1. Analyse du compte de résultat</t>
  </si>
  <si>
    <t>2. Ratio d'analyse du BFR</t>
  </si>
  <si>
    <t>3. Analyse des flux de trésorie</t>
  </si>
  <si>
    <t>4. Analyse de l'investissement</t>
  </si>
  <si>
    <t>5. Effet de levier</t>
  </si>
  <si>
    <t>Marge économique (RE/CA)</t>
  </si>
  <si>
    <t>(1-IS)</t>
  </si>
  <si>
    <t>Rotation AE (CA/AE)</t>
  </si>
  <si>
    <t>(Re - i)</t>
  </si>
  <si>
    <t>Taux</t>
  </si>
  <si>
    <t>Valeur actuelle</t>
  </si>
  <si>
    <t>Valeur percue</t>
  </si>
  <si>
    <t>Durée</t>
  </si>
  <si>
    <t>Coefficient d'actualisation</t>
  </si>
  <si>
    <t>Valeur placée aujourd'hui</t>
  </si>
  <si>
    <t>Alternative</t>
  </si>
  <si>
    <t>Date (année)</t>
  </si>
  <si>
    <t>Taux d'actualisation</t>
  </si>
  <si>
    <t>Paiements actualisés</t>
  </si>
  <si>
    <t>Paiements bruts</t>
  </si>
  <si>
    <t>Exercice 6</t>
  </si>
  <si>
    <t>Valeur aujourd'hui</t>
  </si>
  <si>
    <t>Exercice 7</t>
  </si>
  <si>
    <t>Coefficient de capitalisation</t>
  </si>
  <si>
    <t>Durée (ans)</t>
  </si>
  <si>
    <t>Somme capitalisée</t>
  </si>
  <si>
    <t>Somme placée</t>
  </si>
  <si>
    <t>Exercice 8</t>
  </si>
  <si>
    <t>Aujourd'hui</t>
  </si>
  <si>
    <t>Dans 4 ans</t>
  </si>
  <si>
    <t>Exercice 9</t>
  </si>
  <si>
    <t>75%/n</t>
  </si>
  <si>
    <t>Exercice 10</t>
  </si>
  <si>
    <t>125%/n</t>
  </si>
  <si>
    <t>Exercice 11</t>
  </si>
  <si>
    <t>Valeur capitalisée</t>
  </si>
  <si>
    <t>Taux mini</t>
  </si>
  <si>
    <t>Exercice 12</t>
  </si>
  <si>
    <t>Capital initial</t>
  </si>
  <si>
    <t>Date de placement</t>
  </si>
  <si>
    <t>deniers</t>
  </si>
  <si>
    <t>Durée en 2000</t>
  </si>
  <si>
    <t>Exercice 13</t>
  </si>
  <si>
    <t>K€</t>
  </si>
  <si>
    <t>Exercice 14</t>
  </si>
  <si>
    <t>Taux exigé</t>
  </si>
  <si>
    <t>$</t>
  </si>
  <si>
    <t>Exercice 15</t>
  </si>
  <si>
    <t>Dividendes versés annuels</t>
  </si>
  <si>
    <t>Date versement</t>
  </si>
  <si>
    <t>Totale</t>
  </si>
  <si>
    <t>Dividendes capitalisés</t>
  </si>
  <si>
    <t>Valeur de vente</t>
  </si>
  <si>
    <t>Prix maxi aujourd'hui</t>
  </si>
  <si>
    <t>Vo</t>
  </si>
  <si>
    <t>Flux</t>
  </si>
  <si>
    <t>VAN</t>
  </si>
  <si>
    <t>Rente annuelle</t>
  </si>
  <si>
    <t>Valeur actuelle de la rente perpétuelle</t>
  </si>
  <si>
    <t>Valeur actuelle de la rente perpétuelle revalorisée</t>
  </si>
  <si>
    <t>Taux de revalorisation</t>
  </si>
  <si>
    <t>Date</t>
  </si>
  <si>
    <t>Taux éxigé</t>
  </si>
  <si>
    <t>Prix maxi</t>
  </si>
  <si>
    <t>Prix marché</t>
  </si>
  <si>
    <t>-&gt; acheter car:</t>
  </si>
  <si>
    <t>Taux de rentabilité obtenu</t>
  </si>
  <si>
    <t>Valeur rente perpetuelle</t>
  </si>
  <si>
    <t>Années</t>
  </si>
  <si>
    <t>Valeur titre</t>
  </si>
  <si>
    <t>Prix annuel</t>
  </si>
  <si>
    <t>Croissance</t>
  </si>
  <si>
    <t>Coût d'opportunité</t>
  </si>
  <si>
    <t>Valeur offre location annuelle</t>
  </si>
  <si>
    <t>Droit TV</t>
  </si>
  <si>
    <t>0t7</t>
  </si>
  <si>
    <t>Valeur 30 ans</t>
  </si>
  <si>
    <t>Valeur infini</t>
  </si>
  <si>
    <t>Nbre de parutions</t>
  </si>
  <si>
    <t>Loyer</t>
  </si>
  <si>
    <t>Prix achat</t>
  </si>
  <si>
    <t>Revenu annuel</t>
  </si>
  <si>
    <t>Revenu avec MBA</t>
  </si>
  <si>
    <t>Interruption (an)</t>
  </si>
  <si>
    <t>Années avant retraite</t>
  </si>
  <si>
    <t>Taux actualisation</t>
  </si>
  <si>
    <t>VA sans MBA</t>
  </si>
  <si>
    <t>VA avec MBA</t>
  </si>
  <si>
    <t>Coût du MBA</t>
  </si>
  <si>
    <t>VA nette du MBA</t>
  </si>
  <si>
    <t>Taux tous les 2 ans</t>
  </si>
  <si>
    <t>Taux actuariel</t>
  </si>
  <si>
    <t>Taux proportionnel sur 3 mois</t>
  </si>
  <si>
    <t>V0</t>
  </si>
  <si>
    <t>V2</t>
  </si>
  <si>
    <t>V7</t>
  </si>
  <si>
    <t>Durée (an)</t>
  </si>
  <si>
    <t>Vf</t>
  </si>
  <si>
    <t>Fréquence versement</t>
  </si>
  <si>
    <t>an</t>
  </si>
  <si>
    <t>TRA</t>
  </si>
  <si>
    <t>Titre 1</t>
  </si>
  <si>
    <t>Titre 2</t>
  </si>
  <si>
    <t>VAN Titre 1</t>
  </si>
  <si>
    <t>VAN Titre 2</t>
  </si>
  <si>
    <t>€</t>
  </si>
  <si>
    <t>Durée (Jours)</t>
  </si>
  <si>
    <t>Taux rentabilité</t>
  </si>
  <si>
    <t>Banquier 1</t>
  </si>
  <si>
    <t>Banquier 2</t>
  </si>
  <si>
    <t>Fréquence (mois)</t>
  </si>
  <si>
    <t>Taux actuariel eq</t>
  </si>
  <si>
    <t>Remboursement par annuité constante</t>
  </si>
  <si>
    <t>Remboursement par amortissement constant</t>
  </si>
  <si>
    <t>Capital restant dû</t>
  </si>
  <si>
    <t>Intérêts</t>
  </si>
  <si>
    <t>Annuité</t>
  </si>
  <si>
    <t>Amort. du capital</t>
  </si>
  <si>
    <t>Différé (an)</t>
  </si>
  <si>
    <t>Taux émission</t>
  </si>
  <si>
    <t>Taux remboursement</t>
  </si>
  <si>
    <t>Taux des intérêts</t>
  </si>
  <si>
    <t>Flux acheteur</t>
  </si>
  <si>
    <t>Flux émetteur</t>
  </si>
  <si>
    <t>Com placement</t>
  </si>
  <si>
    <t>Gestion annuelle</t>
  </si>
  <si>
    <t>Coût final</t>
  </si>
  <si>
    <t>Mensualité</t>
  </si>
  <si>
    <t>Valeur</t>
  </si>
  <si>
    <t>Nbre mensualités</t>
  </si>
  <si>
    <t>Date (mois)</t>
  </si>
  <si>
    <t>TRA (annuel)</t>
  </si>
  <si>
    <t>Taux d'intérêt mensuel</t>
  </si>
  <si>
    <t>Valeur marché</t>
  </si>
  <si>
    <t>Taux sur 2 périodes</t>
  </si>
  <si>
    <t>Indice</t>
  </si>
  <si>
    <t>Rentabilité indice</t>
  </si>
  <si>
    <t>Rentabilités périodiques</t>
  </si>
  <si>
    <t>Soazic SA</t>
  </si>
  <si>
    <t>Endettement net (31/12/2002)</t>
  </si>
  <si>
    <t>ou de manière plus détaillée</t>
  </si>
  <si>
    <t>Ecart type rent indice</t>
  </si>
  <si>
    <t>Taux de rentabilité</t>
  </si>
  <si>
    <t>Ecart type</t>
  </si>
  <si>
    <t>Objectif ET 14%</t>
  </si>
  <si>
    <t>Objectif ET 23%</t>
  </si>
  <si>
    <t>Titres</t>
  </si>
  <si>
    <t>Rentabilité attendue</t>
  </si>
  <si>
    <t>Ecart-type</t>
  </si>
  <si>
    <t>ρ C,D</t>
  </si>
  <si>
    <t>Portefeuille</t>
  </si>
  <si>
    <t>ε</t>
  </si>
  <si>
    <t>δ</t>
  </si>
  <si>
    <t>σ</t>
  </si>
  <si>
    <t>β</t>
  </si>
  <si>
    <t>α</t>
  </si>
  <si>
    <t>% d'actif sans risque ajouté</t>
  </si>
  <si>
    <t>% d'actif sans risque endetté</t>
  </si>
  <si>
    <t>r sans risque</t>
  </si>
  <si>
    <t>Action</t>
  </si>
  <si>
    <t>r observé</t>
  </si>
  <si>
    <t>prime risque marché</t>
  </si>
  <si>
    <t>évaluation</t>
  </si>
  <si>
    <t>EUR</t>
  </si>
  <si>
    <t>β Alboni.com</t>
  </si>
  <si>
    <t>prix max aujourd'hui</t>
  </si>
  <si>
    <t>r attendue</t>
  </si>
  <si>
    <t>bj1</t>
  </si>
  <si>
    <t>rj</t>
  </si>
  <si>
    <t>bj2</t>
  </si>
  <si>
    <t>rj - r medaf</t>
  </si>
  <si>
    <t>r medaf</t>
  </si>
  <si>
    <t>r marché</t>
  </si>
  <si>
    <t>NRJ</t>
  </si>
  <si>
    <t>GWR</t>
  </si>
  <si>
    <t>Capital Radio</t>
  </si>
  <si>
    <t>Scottish Radio</t>
  </si>
  <si>
    <t>valeur des capitaux propres</t>
  </si>
  <si>
    <t>valeur de l'endettement net</t>
  </si>
  <si>
    <t>résultat d'exploitation</t>
  </si>
  <si>
    <t>Radio européenne</t>
  </si>
  <si>
    <t>taux de croissance à 5 ans</t>
  </si>
  <si>
    <t>valeur mini actif economique</t>
  </si>
  <si>
    <t>valeur maxi actif economique</t>
  </si>
  <si>
    <t>multiple du résultat d'expl.</t>
  </si>
  <si>
    <t>valeur affinée de l'actif économique</t>
  </si>
  <si>
    <t>Montant</t>
  </si>
  <si>
    <t>MEUR</t>
  </si>
  <si>
    <t>Prix d'émission</t>
  </si>
  <si>
    <t>Date de jouissance</t>
  </si>
  <si>
    <t>Date de règlement</t>
  </si>
  <si>
    <t>ans</t>
  </si>
  <si>
    <t>Intérêt annuel</t>
  </si>
  <si>
    <t>Chronique des flux</t>
  </si>
  <si>
    <t>Flux actualisés</t>
  </si>
  <si>
    <t>Taux rendement actuariel</t>
  </si>
  <si>
    <t>Sensibilité</t>
  </si>
  <si>
    <t>Duration</t>
  </si>
  <si>
    <t>VA</t>
  </si>
  <si>
    <t>Taux requis</t>
  </si>
  <si>
    <t xml:space="preserve">flux </t>
  </si>
  <si>
    <t>Exercice 2: emprunt Syldaves</t>
  </si>
  <si>
    <t>durée</t>
  </si>
  <si>
    <t>TMO</t>
  </si>
  <si>
    <t>Taux emprunt TA</t>
  </si>
  <si>
    <t>Taux emprunt TB</t>
  </si>
  <si>
    <t>Exercice 3: emprunt d'Etat</t>
  </si>
  <si>
    <t>Date d'échéance</t>
  </si>
  <si>
    <t>Cours</t>
  </si>
  <si>
    <t>Taux actuariels</t>
  </si>
  <si>
    <t>0t1</t>
  </si>
  <si>
    <t>0t2</t>
  </si>
  <si>
    <t>0t3</t>
  </si>
  <si>
    <t>0t4</t>
  </si>
  <si>
    <t>0t5</t>
  </si>
  <si>
    <t>0t6</t>
  </si>
  <si>
    <t>DPA</t>
  </si>
  <si>
    <t>g</t>
  </si>
  <si>
    <t>V</t>
  </si>
  <si>
    <t>Cours action</t>
  </si>
  <si>
    <t>BPA</t>
  </si>
  <si>
    <t>Taux distribution</t>
  </si>
  <si>
    <t>PER</t>
  </si>
  <si>
    <t>PER (année 3)</t>
  </si>
  <si>
    <t>Bénéfice net par action (année 3)</t>
  </si>
  <si>
    <t>Valeur action (année 3)</t>
  </si>
  <si>
    <t>Dettes/CP</t>
  </si>
  <si>
    <t>Exercice 2: Ouragan</t>
  </si>
  <si>
    <t>Exercice 3: Norne</t>
  </si>
  <si>
    <t>Exercice 1: emprunt Sanzot</t>
  </si>
  <si>
    <t>Au 21 février 2006</t>
  </si>
  <si>
    <t>Exercice 2 : Nestor SA</t>
  </si>
  <si>
    <t>Nbre d'actions de Séraphin</t>
  </si>
  <si>
    <t>rCP</t>
  </si>
  <si>
    <t>PBR</t>
  </si>
  <si>
    <t>(opérateur de marcher)</t>
  </si>
  <si>
    <t>Alternative 1: par l'opérateur</t>
  </si>
  <si>
    <t>J'emprunte dans 3 mois</t>
  </si>
  <si>
    <t>Je rends dans 6 mois</t>
  </si>
  <si>
    <t>Alternative 2: par l'arbitrage suivant</t>
  </si>
  <si>
    <t>je place aujourd'hui pour 3 mois</t>
  </si>
  <si>
    <t>et non 67,7 comme indique par erreur dans le corrige page 730</t>
  </si>
  <si>
    <t>et non 2,25% comme indique par erreur dans le corrige de la page 801</t>
  </si>
  <si>
    <t>Recapitalisation</t>
  </si>
  <si>
    <t>et non de 150 comme indique par erreur dans l ennonce page 890</t>
  </si>
  <si>
    <t>Exercice 3 : Picchi SA</t>
  </si>
  <si>
    <t>et non 6967 comme indique par erreur page 892</t>
  </si>
  <si>
    <t>et non 4730 comme indique par erreur page 892</t>
  </si>
  <si>
    <t>et non 3250 comme indique par erreur page 964</t>
  </si>
  <si>
    <t>On me rends 3 mois plus tard</t>
  </si>
  <si>
    <t>Je rends au terme des 6 mois</t>
  </si>
  <si>
    <t>Gain alternative 2 sur 1</t>
  </si>
  <si>
    <t>Sté</t>
  </si>
  <si>
    <t>M6</t>
  </si>
  <si>
    <t>d</t>
  </si>
  <si>
    <t>Taux rendement</t>
  </si>
  <si>
    <t>CP/Action</t>
  </si>
  <si>
    <t>Option d'achat</t>
  </si>
  <si>
    <t>Échéance</t>
  </si>
  <si>
    <t>N(d2)</t>
  </si>
  <si>
    <t>N(d1)</t>
  </si>
  <si>
    <t>V act sj</t>
  </si>
  <si>
    <t>T</t>
  </si>
  <si>
    <t>d1</t>
  </si>
  <si>
    <t>d2</t>
  </si>
  <si>
    <t>ln(V/K)</t>
  </si>
  <si>
    <t>Exercice K</t>
  </si>
  <si>
    <t>(rF+σ²/2)*T</t>
  </si>
  <si>
    <t>σ*√T</t>
  </si>
  <si>
    <t>exp(-T*rF)</t>
  </si>
  <si>
    <t>Vol σ</t>
  </si>
  <si>
    <t>Application de Black Scholes pour recalcule de la valeur</t>
  </si>
  <si>
    <t>Valeur option</t>
  </si>
  <si>
    <t>option 1</t>
  </si>
  <si>
    <t>option 2</t>
  </si>
  <si>
    <t>Option d'achat (option 1)</t>
  </si>
  <si>
    <t>CP + endettement net = AE</t>
  </si>
  <si>
    <t>Valeur en jours de CA</t>
  </si>
  <si>
    <t>Part du risque total dû au marché</t>
  </si>
  <si>
    <t>Question 2</t>
  </si>
  <si>
    <t>Montant investissement</t>
  </si>
  <si>
    <t>Bénéfices annuels inf.</t>
  </si>
  <si>
    <t>Valeur action</t>
  </si>
  <si>
    <t>Bénéfice net</t>
  </si>
  <si>
    <t>Division</t>
  </si>
  <si>
    <t>Taux de rentabilité éxigé par le marché</t>
  </si>
  <si>
    <t>Résultat économique après impôt</t>
  </si>
  <si>
    <t>Il y a une erreur dans le corrigé de cet exercice page 678 du Vernimmen 2005. En effet il est indiqué dans l'énoncé de refaire le tableau de la page 668 qui suppose un taux de distribution de 40% alors que le corrigé est bati sur un taux de distribution des résultats de 33,3%. ici nous avons repris un taux de 40% qui affecte uniquement les cellules B 56 et C56.</t>
  </si>
  <si>
    <t>Au Pays-Bas, la fiscalité avantage l'endettement, alors qu'au Maroc elle avantage les capitaux propres.</t>
  </si>
  <si>
    <t>Distribution</t>
  </si>
  <si>
    <t>Investissement dans …</t>
  </si>
  <si>
    <t>Valeur créée</t>
  </si>
  <si>
    <t>Valeur de marché</t>
  </si>
  <si>
    <t>Résultat d'exp. sur nouvel investissement</t>
  </si>
  <si>
    <t>Résultat d'exp. actu</t>
  </si>
  <si>
    <t>Valeur de la division</t>
  </si>
  <si>
    <t>Valeur éxigée</t>
  </si>
  <si>
    <t>Vcp/V</t>
  </si>
  <si>
    <t>kcp</t>
  </si>
  <si>
    <t>Vd/V</t>
  </si>
  <si>
    <t>kd</t>
  </si>
  <si>
    <t>k</t>
  </si>
  <si>
    <t>Société</t>
  </si>
  <si>
    <t>Résultat d'exp.</t>
  </si>
  <si>
    <t>Vcp</t>
  </si>
  <si>
    <t>Vd</t>
  </si>
  <si>
    <t>Vd/(Vcp+Vd)</t>
  </si>
  <si>
    <t>Taux de distribution</t>
  </si>
  <si>
    <t>dividendes annuels</t>
  </si>
  <si>
    <t>dette</t>
  </si>
  <si>
    <t>Portefeuille perso</t>
  </si>
  <si>
    <t>valeur des actions</t>
  </si>
  <si>
    <t>% d'actions initial</t>
  </si>
  <si>
    <t>montant</t>
  </si>
  <si>
    <t>placement</t>
  </si>
  <si>
    <t>revenus totaux</t>
  </si>
  <si>
    <t>Arbitrage</t>
  </si>
  <si>
    <t>Dette sousjacente</t>
  </si>
  <si>
    <t>kcp0</t>
  </si>
  <si>
    <t>kd1</t>
  </si>
  <si>
    <t>k0</t>
  </si>
  <si>
    <t>AE0</t>
  </si>
  <si>
    <t>Vd1</t>
  </si>
  <si>
    <t>Vcp1</t>
  </si>
  <si>
    <t>AE1</t>
  </si>
  <si>
    <t>kcp1</t>
  </si>
  <si>
    <t>β0</t>
  </si>
  <si>
    <t>k1</t>
  </si>
  <si>
    <t>β1</t>
  </si>
  <si>
    <t>βcp0</t>
  </si>
  <si>
    <t>βcp1</t>
  </si>
  <si>
    <t>βd1</t>
  </si>
  <si>
    <t>IS</t>
  </si>
  <si>
    <t>Vcp0</t>
  </si>
  <si>
    <t>V eco impôt</t>
  </si>
  <si>
    <t>Vd total</t>
  </si>
  <si>
    <t>Nouvelle dette</t>
  </si>
  <si>
    <t>Δ Vd1</t>
  </si>
  <si>
    <t>Δ Vd2</t>
  </si>
  <si>
    <t>La banque m'achète mes USD</t>
  </si>
  <si>
    <t>Je place mes EUR</t>
  </si>
  <si>
    <t>La banque me vends des USD</t>
  </si>
  <si>
    <t>Je place mes USD</t>
  </si>
  <si>
    <t>J'emprunte mes EUR</t>
  </si>
  <si>
    <t>V eco impôt non reçue &gt; 4 ans</t>
  </si>
  <si>
    <t>Résultat d'expl.</t>
  </si>
  <si>
    <t>Résultat av impôt</t>
  </si>
  <si>
    <t>Impôt sur le revenu</t>
  </si>
  <si>
    <t>sur les dividendes/+ values</t>
  </si>
  <si>
    <t>sur les intérêts</t>
  </si>
  <si>
    <t>Revenu net pour l'investisseur</t>
  </si>
  <si>
    <t>Impôts totaux</t>
  </si>
  <si>
    <t>Verfinance</t>
  </si>
  <si>
    <t>V actions Uninet</t>
  </si>
  <si>
    <t>n actions Uninet</t>
  </si>
  <si>
    <t>Options d'achat Uninet</t>
  </si>
  <si>
    <t>Prix exercice</t>
  </si>
  <si>
    <t>Option à 5 ans</t>
  </si>
  <si>
    <t>Options à 7 ans</t>
  </si>
  <si>
    <t>Vcp verfinance</t>
  </si>
  <si>
    <t>Vd verfinance</t>
  </si>
  <si>
    <t>Vd verfinance/n actions</t>
  </si>
  <si>
    <t>Option 1: Repousser la date d'échéance de la dette à 7 ans, alors:</t>
  </si>
  <si>
    <t>nbre actions cédées</t>
  </si>
  <si>
    <t>Option 2: Céder une partie des actions</t>
  </si>
  <si>
    <t>Vae</t>
  </si>
  <si>
    <t>avant</t>
  </si>
  <si>
    <t>après</t>
  </si>
  <si>
    <t>Augmentation de capital</t>
  </si>
  <si>
    <t>Δ Vcp</t>
  </si>
  <si>
    <t>Δ Vd</t>
  </si>
  <si>
    <t>Holding SA</t>
  </si>
  <si>
    <t>Options d'achat Fille SA</t>
  </si>
  <si>
    <t>V actions Fille SA</t>
  </si>
  <si>
    <t>Option à 3 ans</t>
  </si>
  <si>
    <t>Valeur unit.</t>
  </si>
  <si>
    <t>nbre</t>
  </si>
  <si>
    <t>V actions Holding SA</t>
  </si>
  <si>
    <t>Obligations émises</t>
  </si>
  <si>
    <t>Actions Fille SA vendues</t>
  </si>
  <si>
    <t>Vcp avant</t>
  </si>
  <si>
    <t>Vd avant</t>
  </si>
  <si>
    <t>Vcp après</t>
  </si>
  <si>
    <t>Vd après</t>
  </si>
  <si>
    <t>Dette/n actions Holding SA</t>
  </si>
  <si>
    <t>option d'achat de 94 actions Fille SA au prix de 300 000, soit:</t>
  </si>
  <si>
    <t>Prix d'exercice</t>
  </si>
  <si>
    <t>Valeur de l'option</t>
  </si>
  <si>
    <t>achat matériel</t>
  </si>
  <si>
    <t>M EUR</t>
  </si>
  <si>
    <t>frais d'installation</t>
  </si>
  <si>
    <t>durée d'utilisation</t>
  </si>
  <si>
    <t>valeur résiduelle</t>
  </si>
  <si>
    <t>augmentation du BFR</t>
  </si>
  <si>
    <t>augmentation annuel de l'EBE</t>
  </si>
  <si>
    <t>amortissement sur</t>
  </si>
  <si>
    <t>Echéancier des flux du projet</t>
  </si>
  <si>
    <t>Flux total</t>
  </si>
  <si>
    <t>Amortissement</t>
  </si>
  <si>
    <t>Δ EBE</t>
  </si>
  <si>
    <t>TRI</t>
  </si>
  <si>
    <t>Achat nouvelle machine</t>
  </si>
  <si>
    <t>Calcul VAN</t>
  </si>
  <si>
    <t>Calcul TRI</t>
  </si>
  <si>
    <t>durée de vie</t>
  </si>
  <si>
    <t>coût</t>
  </si>
  <si>
    <t>amortissement linéaire sur 5 ans</t>
  </si>
  <si>
    <t>économies annuelles de charges</t>
  </si>
  <si>
    <t>Cession machine actuelle</t>
  </si>
  <si>
    <t>coût achat an dernier</t>
  </si>
  <si>
    <t>valeur nette comptable aujourd'hui</t>
  </si>
  <si>
    <t>prix de cession possible</t>
  </si>
  <si>
    <t>Taux de rentabilité éxigé</t>
  </si>
  <si>
    <t>achat</t>
  </si>
  <si>
    <t>Δ impôt</t>
  </si>
  <si>
    <t>cession</t>
  </si>
  <si>
    <t>moins value de cession</t>
  </si>
  <si>
    <t>Flux actualisés et cumulés</t>
  </si>
  <si>
    <t>subvention</t>
  </si>
  <si>
    <t>investissement initial</t>
  </si>
  <si>
    <t>Chronique de flux</t>
  </si>
  <si>
    <t>- Flux d'investissement</t>
  </si>
  <si>
    <t>1 USD</t>
  </si>
  <si>
    <t>acheteur/ emprunte</t>
  </si>
  <si>
    <t>vendeur/ prête</t>
  </si>
  <si>
    <t>(point de vue de la banque)</t>
  </si>
  <si>
    <t>la banque achète dans 3 mois 1 USD pour ? EUR</t>
  </si>
  <si>
    <t>la banque vends dans 3 mois 1 USD pour ? EUR</t>
  </si>
  <si>
    <t>date</t>
  </si>
  <si>
    <t>investissement</t>
  </si>
  <si>
    <t>Investissement machine</t>
  </si>
  <si>
    <t>Coût unitaire</t>
  </si>
  <si>
    <t>Nbre de pieces/an</t>
  </si>
  <si>
    <t>Charges</t>
  </si>
  <si>
    <t>Exploitation</t>
  </si>
  <si>
    <t>Amortissements</t>
  </si>
  <si>
    <t>Produits</t>
  </si>
  <si>
    <t>Parking</t>
  </si>
  <si>
    <t>Garage</t>
  </si>
  <si>
    <t>Station service</t>
  </si>
  <si>
    <t>Investissement initial</t>
  </si>
  <si>
    <t>Revenus net</t>
  </si>
  <si>
    <t>Flux cumulés et actualisés</t>
  </si>
  <si>
    <t>Délai de récupération</t>
  </si>
  <si>
    <t>VAN à 10%</t>
  </si>
  <si>
    <t>Calcul de la rentabilité économique</t>
  </si>
  <si>
    <t>Calcul du délai de récupération &amp; VAN à 10%</t>
  </si>
  <si>
    <t>Calcul du TRI</t>
  </si>
  <si>
    <t>VNC des immo</t>
  </si>
  <si>
    <t>BFR moyen</t>
  </si>
  <si>
    <t>Chronique de flux nouvelle machine</t>
  </si>
  <si>
    <t>Cession ancienne machine</t>
  </si>
  <si>
    <t>Taux de crédit d'impôt sur - values</t>
  </si>
  <si>
    <t>Prix d'achat</t>
  </si>
  <si>
    <t>Durée totale d'amortissement</t>
  </si>
  <si>
    <t>Crédit d'impôt</t>
  </si>
  <si>
    <t>Valeur nominalement d'amortissement</t>
  </si>
  <si>
    <t>Production annuelle</t>
  </si>
  <si>
    <t>Coûts nouvelle machine</t>
  </si>
  <si>
    <t>Coûts machine initiale</t>
  </si>
  <si>
    <t>main d'œuvre dir/unité</t>
  </si>
  <si>
    <t>mat prem/unité</t>
  </si>
  <si>
    <t>admin/unité</t>
  </si>
  <si>
    <t>Δ IS</t>
  </si>
  <si>
    <t>Δ IS (hors crédit d'impôt)</t>
  </si>
  <si>
    <t>Cession fin de vie</t>
  </si>
  <si>
    <t>Gain coût de fab</t>
  </si>
  <si>
    <t>Gain sur achat extérieur</t>
  </si>
  <si>
    <t>Allongement de la durée du crédit (jours)</t>
  </si>
  <si>
    <t>Accroissement des ventes</t>
  </si>
  <si>
    <t>Chiffre d'affaires annuel</t>
  </si>
  <si>
    <t>Prix vente/unité</t>
  </si>
  <si>
    <t>Prix de revient</t>
  </si>
  <si>
    <t>Coûts fixes</t>
  </si>
  <si>
    <t>Rentabilité exigée avant impôt sur CP</t>
  </si>
  <si>
    <t>CA</t>
  </si>
  <si>
    <t>Chronique des flux actualisés</t>
  </si>
  <si>
    <t>Durée d'allongement optimum</t>
  </si>
  <si>
    <t>Augmentation des créance douteuses</t>
  </si>
  <si>
    <t>Créances douteuses/ventes</t>
  </si>
  <si>
    <t>crédit d'impôt</t>
  </si>
  <si>
    <t>Δ amortissement</t>
  </si>
  <si>
    <t>Chronique des flux de la nouvelle machine par rapport à l'ancienne</t>
  </si>
  <si>
    <t>pièces</t>
  </si>
  <si>
    <t>paiement client actualisé à la date de paiement</t>
  </si>
  <si>
    <t>coûts de fabrication</t>
  </si>
  <si>
    <t>nbre de pièces fabriquées ( en milliers)</t>
  </si>
  <si>
    <t>résultat d'expl.</t>
  </si>
  <si>
    <t>Δ résultat d'expl.</t>
  </si>
  <si>
    <t>VAN av IS</t>
  </si>
  <si>
    <t>VAN ap IS</t>
  </si>
  <si>
    <t>a. Cacul des dilutions</t>
  </si>
  <si>
    <t>Chronique des flux différentiels &amp; actualisés</t>
  </si>
  <si>
    <t>Cotation de l'action</t>
  </si>
  <si>
    <t>Dividendes 5 1ères années</t>
  </si>
  <si>
    <t>Dividendes après</t>
  </si>
  <si>
    <t>flux</t>
  </si>
  <si>
    <t>Valeur nominale de la dette</t>
  </si>
  <si>
    <t>Cotation de la dette</t>
  </si>
  <si>
    <t>rd</t>
  </si>
  <si>
    <t>flux actualisés</t>
  </si>
  <si>
    <t>Nbre d'actions émises</t>
  </si>
  <si>
    <t>Montant comptable</t>
  </si>
  <si>
    <t>CP</t>
  </si>
  <si>
    <t>presentation par destination</t>
  </si>
  <si>
    <t>salaires</t>
  </si>
  <si>
    <t>matieres premieres</t>
  </si>
  <si>
    <t>Cout des ventes</t>
  </si>
  <si>
    <t>Rémunération perpétuelle</t>
  </si>
  <si>
    <t>Calcul du coût du capital</t>
  </si>
  <si>
    <t>Coût</t>
  </si>
  <si>
    <t>Flux avant impôt</t>
  </si>
  <si>
    <t>Structure de financement</t>
  </si>
  <si>
    <t>Proportion</t>
  </si>
  <si>
    <t>Coût avant impôt</t>
  </si>
  <si>
    <t>Coût après impôt</t>
  </si>
  <si>
    <t>flux av IS</t>
  </si>
  <si>
    <t>flux ap IS</t>
  </si>
  <si>
    <t>Exercice 6: cas Cyclone</t>
  </si>
  <si>
    <t>Division vente de matériaux</t>
  </si>
  <si>
    <t>Division trasport maritime</t>
  </si>
  <si>
    <t>Division chantier naval</t>
  </si>
  <si>
    <t>Capitalisation boursière</t>
  </si>
  <si>
    <t>Re av IS</t>
  </si>
  <si>
    <t>βd estimé</t>
  </si>
  <si>
    <t>βcp observé</t>
  </si>
  <si>
    <t>Taux ss risque</t>
  </si>
  <si>
    <t>rm</t>
  </si>
  <si>
    <t>Groupe</t>
  </si>
  <si>
    <t>Apport aujourd'hui</t>
  </si>
  <si>
    <t>Retour dans 5 ans</t>
  </si>
  <si>
    <t>maxi!</t>
  </si>
  <si>
    <t>Investissement proposé</t>
  </si>
  <si>
    <t>Re ap IS</t>
  </si>
  <si>
    <t>g objectif</t>
  </si>
  <si>
    <t>rd av IS</t>
  </si>
  <si>
    <t>Structure financière implicitement choisie</t>
  </si>
  <si>
    <t>D/C</t>
  </si>
  <si>
    <t>Taux de croissance implicitement prévu</t>
  </si>
  <si>
    <t>AE</t>
  </si>
  <si>
    <t>Res. d'expl. ap IS</t>
  </si>
  <si>
    <t>Frais fi. ap IS</t>
  </si>
  <si>
    <t>Résultat réinvesti</t>
  </si>
  <si>
    <t>CP ap répartition</t>
  </si>
  <si>
    <t>DPA net</t>
  </si>
  <si>
    <t>rendement brut</t>
  </si>
  <si>
    <t>rendement net</t>
  </si>
  <si>
    <t>croissance du DPA</t>
  </si>
  <si>
    <t>nb actions</t>
  </si>
  <si>
    <t>Levée</t>
  </si>
  <si>
    <t>valeur action émise</t>
  </si>
  <si>
    <t>Vdps</t>
  </si>
  <si>
    <t>dil apparente</t>
  </si>
  <si>
    <t>dil réelle</t>
  </si>
  <si>
    <t>dil technique</t>
  </si>
  <si>
    <t>coef d'ajustement</t>
  </si>
  <si>
    <t>Proportion de souscription</t>
  </si>
  <si>
    <t>Distribution d'actions gratuites?</t>
  </si>
  <si>
    <t>produit de la vente des DPS</t>
  </si>
  <si>
    <t>nb de DPS à vendre</t>
  </si>
  <si>
    <t>achat d'actions avec les DPS restants</t>
  </si>
  <si>
    <t>bilan vente/achat</t>
  </si>
  <si>
    <t>nb d'actions achetées</t>
  </si>
  <si>
    <t>C'est équivalent à la distribution de</t>
  </si>
  <si>
    <t>actions gratuites</t>
  </si>
  <si>
    <t>L'actionnaire ne suit pas…</t>
  </si>
  <si>
    <t>Tous les actionnaires suivent</t>
  </si>
  <si>
    <t>augmentation capital</t>
  </si>
  <si>
    <t>souscription par actionnaire X</t>
  </si>
  <si>
    <t>Nouveau BPA</t>
  </si>
  <si>
    <t>Ancien BPA</t>
  </si>
  <si>
    <t>Croissance des CP</t>
  </si>
  <si>
    <t>CP av</t>
  </si>
  <si>
    <t>CP ap</t>
  </si>
  <si>
    <t>croissance CP</t>
  </si>
  <si>
    <t>CPA av</t>
  </si>
  <si>
    <t>CPA ap</t>
  </si>
  <si>
    <t>sans brutale fièvre</t>
  </si>
  <si>
    <t>avec brutale fièvre</t>
  </si>
  <si>
    <t>Res. d'expl.</t>
  </si>
  <si>
    <t>Res. net</t>
  </si>
  <si>
    <t>VMP &amp; dispo</t>
  </si>
  <si>
    <t>Nb actions</t>
  </si>
  <si>
    <t>Rapport de souscription</t>
  </si>
  <si>
    <t>en % de Vcp</t>
  </si>
  <si>
    <t>V AE</t>
  </si>
  <si>
    <t>Placement</t>
  </si>
  <si>
    <t>revenu</t>
  </si>
  <si>
    <t>Comparaison des 2 investissements concurrents</t>
  </si>
  <si>
    <t>% d'actions</t>
  </si>
  <si>
    <t>Somme initiale à investir</t>
  </si>
  <si>
    <t>Taux EUR 3 mois</t>
  </si>
  <si>
    <t>Taux USD 3 mois</t>
  </si>
  <si>
    <t>1 EUR</t>
  </si>
  <si>
    <t>USD</t>
  </si>
  <si>
    <t>Cs (1 USD)</t>
  </si>
  <si>
    <t>Ct (1 USD)</t>
  </si>
  <si>
    <t>J'emprunte USD</t>
  </si>
  <si>
    <t>Taux EUR 6 mois</t>
  </si>
  <si>
    <t>1 EUR Spot</t>
  </si>
  <si>
    <t>1 EUR à 6 mois</t>
  </si>
  <si>
    <t>J'emprunte à quel taux USD à 6 mois?</t>
  </si>
  <si>
    <t>Je place à quel taux USD à 6 mois?</t>
  </si>
  <si>
    <t>j'emprunte des EUR</t>
  </si>
  <si>
    <t>j'achète des USD</t>
  </si>
  <si>
    <t>je vends des USD dans 6 mois</t>
  </si>
  <si>
    <t>Taux USD 6 mois</t>
  </si>
  <si>
    <t>je vends des USD</t>
  </si>
  <si>
    <t>je place des EUR</t>
  </si>
  <si>
    <t>j'achète des USD dans 6 mois</t>
  </si>
  <si>
    <t>500 M$ dans 3 mois et pour 3 mois</t>
  </si>
  <si>
    <t>j'emprunte aujourd'hui pour 6 mois</t>
  </si>
  <si>
    <t>Δ coût crédit client</t>
  </si>
  <si>
    <t>Actions</t>
  </si>
  <si>
    <t>Obligations</t>
  </si>
  <si>
    <t>Valeur nominale</t>
  </si>
  <si>
    <t>Bénéfice attendu</t>
  </si>
  <si>
    <t>Taux imposition</t>
  </si>
  <si>
    <t>BPA "fully diluted"</t>
  </si>
  <si>
    <t>Obligation convertible</t>
  </si>
  <si>
    <t>Taux d'intérêt</t>
  </si>
  <si>
    <t>Prix de souscription de l'action X</t>
  </si>
  <si>
    <t>Taux de placement avant impôt</t>
  </si>
  <si>
    <t>OBSA
(placement fonds à 8%)</t>
  </si>
  <si>
    <t>OBSA
(rachat actions)</t>
  </si>
  <si>
    <t>Taux emprunt initial</t>
  </si>
  <si>
    <t>Émission de l'OBSA pour rembourser un emprunt</t>
  </si>
  <si>
    <t>Gain</t>
  </si>
  <si>
    <t>Gain par action (fully diluted)</t>
  </si>
  <si>
    <t>Nbre d'actions</t>
  </si>
  <si>
    <t>Cours de bourse</t>
  </si>
  <si>
    <t>Capitaux propres comptables</t>
  </si>
  <si>
    <t>Rachat</t>
  </si>
  <si>
    <t>Prix</t>
  </si>
  <si>
    <t>CPA</t>
  </si>
  <si>
    <t>initial</t>
  </si>
  <si>
    <t>Coût dette après impôt</t>
  </si>
  <si>
    <t>rachat à 500</t>
  </si>
  <si>
    <t>rachat à 1500</t>
  </si>
  <si>
    <t>un indice est donne case A137 de cette feuille</t>
  </si>
  <si>
    <t>Société Boislevé - bilan économique</t>
  </si>
  <si>
    <t>Société Boislevé - compte de résultat (présentation par nature)</t>
  </si>
  <si>
    <t>Société Boislevé - compte de résultat (présentation par fonction)</t>
  </si>
  <si>
    <t>Capitaux propres comptables part du groupe</t>
  </si>
  <si>
    <t>- Δ BFR</t>
  </si>
  <si>
    <t>Frais financiers avant impôt</t>
  </si>
  <si>
    <t>Taux impôt</t>
  </si>
  <si>
    <t>Financement par capitaux propres …</t>
  </si>
  <si>
    <t>Taux de croissance du BPA</t>
  </si>
  <si>
    <t>… ou par endettement</t>
  </si>
  <si>
    <t>Valeur attendue</t>
  </si>
  <si>
    <t>Avant absorbsion</t>
  </si>
  <si>
    <t>Après absorbsion…</t>
  </si>
  <si>
    <t>Méthode bénéfice net</t>
  </si>
  <si>
    <t>Méthode Vcp</t>
  </si>
  <si>
    <t>Méthode CP</t>
  </si>
  <si>
    <t>Nombre d'actions</t>
  </si>
  <si>
    <t>b. PER différents</t>
  </si>
  <si>
    <t>c. Partage des synergies?</t>
  </si>
  <si>
    <t>Accroissement du bénéf</t>
  </si>
  <si>
    <t>PER ap fusion</t>
  </si>
  <si>
    <t>Valeur créée par la fusion</t>
  </si>
  <si>
    <t>e. Valeur créée</t>
  </si>
  <si>
    <t>V créée</t>
  </si>
  <si>
    <t>Synergie</t>
  </si>
  <si>
    <t>… dans (ans)</t>
  </si>
  <si>
    <t>Consommations</t>
  </si>
  <si>
    <t>Flux d'exploitation</t>
  </si>
  <si>
    <t>Moyenne PER</t>
  </si>
  <si>
    <t>Période</t>
  </si>
  <si>
    <t>Recettes d'explotation</t>
  </si>
  <si>
    <t>Dépenses d'exploitation</t>
  </si>
  <si>
    <t>ETE</t>
  </si>
  <si>
    <t>Investissement</t>
  </si>
  <si>
    <t>Flux de trésorie disponible avant impôt</t>
  </si>
  <si>
    <t>Flux revenant aux créanciers</t>
  </si>
  <si>
    <t>Flux revenant aux actionnaires</t>
  </si>
  <si>
    <t>Stock</t>
  </si>
  <si>
    <t>Frais de personnel</t>
  </si>
  <si>
    <t>Transport</t>
  </si>
  <si>
    <t>Total</t>
  </si>
  <si>
    <t>Prêt</t>
  </si>
  <si>
    <t>Intérêt</t>
  </si>
  <si>
    <t>Année</t>
  </si>
  <si>
    <t>Lego</t>
  </si>
  <si>
    <t>Présentation par nature</t>
  </si>
  <si>
    <t>Moyenne des Re</t>
  </si>
  <si>
    <t>Augmentation du chiffre d'affaires</t>
  </si>
  <si>
    <t>Production vendue</t>
  </si>
  <si>
    <t>Production stockée</t>
  </si>
  <si>
    <t>Production</t>
  </si>
  <si>
    <t>Charges d'exploitation consommées</t>
  </si>
  <si>
    <t>Exédent Brut d'Exploitation (EBE)</t>
  </si>
  <si>
    <t>Dotations aux amortissements</t>
  </si>
  <si>
    <t>Société Castafiore Spa</t>
  </si>
  <si>
    <t>Société Nestor</t>
  </si>
  <si>
    <t>Sociétés Tryphon et Tournesol</t>
  </si>
  <si>
    <t>Tryphon</t>
  </si>
  <si>
    <t>Tournesol</t>
  </si>
  <si>
    <t>Société Ottokar</t>
  </si>
  <si>
    <t>Société Bianca</t>
  </si>
  <si>
    <t>Société Castafiore</t>
  </si>
  <si>
    <t>Exercice 1: La machine à coudre nucléaire !</t>
  </si>
  <si>
    <t>Société Enron</t>
  </si>
  <si>
    <t>Publicis</t>
  </si>
  <si>
    <t>Exercice 2 : augmentation de capital de Quantel</t>
  </si>
  <si>
    <t>2004 (6 mois)</t>
  </si>
  <si>
    <t>Résultat non récurrent</t>
  </si>
  <si>
    <t>Forte croissance du CA dans le passé mais semble faire une pause</t>
  </si>
  <si>
    <t>Marge REX revient presque à 0 au 1er semestre après avoir presque doublé l'année dernière</t>
  </si>
  <si>
    <t>Société peu endettée</t>
  </si>
  <si>
    <t>EBE semble volatil</t>
  </si>
  <si>
    <t>Actifs sont quasi exclusivement incorporels</t>
  </si>
  <si>
    <t>Dupont</t>
  </si>
  <si>
    <t>Control par Mr Dupont</t>
  </si>
  <si>
    <t>Dupond</t>
  </si>
  <si>
    <t>Control par Mr Dupond</t>
  </si>
  <si>
    <t>Séraphin</t>
  </si>
  <si>
    <t>Lampion</t>
  </si>
  <si>
    <t>a. Après absorbsion de Lampion par Séraphin…</t>
  </si>
  <si>
    <t>Actionnaires Séraphin</t>
  </si>
  <si>
    <t>Actionnaires Lampion</t>
  </si>
  <si>
    <t>PER de Séraphin</t>
  </si>
  <si>
    <t>Parité min (Séraphin/Lampion)</t>
  </si>
  <si>
    <t>Parité max (Séraphin/Lampion)</t>
  </si>
  <si>
    <t>d. Valeur de Mondass</t>
  </si>
  <si>
    <t>V Mondass</t>
  </si>
  <si>
    <t>Revalorisation de Lampion</t>
  </si>
  <si>
    <t>Variation des provisions sur actifs immobilisés</t>
  </si>
  <si>
    <t>Résultat d'exploitation</t>
  </si>
  <si>
    <t>Charges financières nettes des produits financiers</t>
  </si>
  <si>
    <t>Resultat courant</t>
  </si>
  <si>
    <t>Resultat exceptionnel</t>
  </si>
  <si>
    <t>Impôt sur les sociétés</t>
  </si>
  <si>
    <t>Resultat net</t>
  </si>
  <si>
    <t>Dividendes</t>
  </si>
  <si>
    <t>Résultat mis en réserve</t>
  </si>
  <si>
    <t>Produits finis</t>
  </si>
  <si>
    <t>Valeur unitaire</t>
  </si>
  <si>
    <t>Boitier</t>
  </si>
  <si>
    <t>Carte mère</t>
  </si>
  <si>
    <t>Processeur</t>
  </si>
  <si>
    <t>Mémoire vive</t>
  </si>
  <si>
    <t>Carte graphique</t>
  </si>
  <si>
    <t>Disque dur</t>
  </si>
  <si>
    <t>Ecran</t>
  </si>
  <si>
    <t>Lecteur CD-ROM</t>
  </si>
  <si>
    <t>Consommation composants</t>
  </si>
  <si>
    <t>Variation de stock composants</t>
  </si>
  <si>
    <t>Composants</t>
  </si>
  <si>
    <t>Prix de vente</t>
  </si>
  <si>
    <t>Plus value vente locaux</t>
  </si>
  <si>
    <t>Achat local</t>
  </si>
  <si>
    <t>Vente local</t>
  </si>
  <si>
    <t>Durée amort</t>
  </si>
  <si>
    <t>Durée amortie</t>
  </si>
  <si>
    <t>Amortissement locaux</t>
  </si>
  <si>
    <t>Location locaux</t>
  </si>
  <si>
    <t>Nombre de mois</t>
  </si>
  <si>
    <t>Location de locaux</t>
  </si>
  <si>
    <t>Intérêt emprunt</t>
  </si>
  <si>
    <t>Emprunt</t>
  </si>
  <si>
    <t>Taux annuel</t>
  </si>
  <si>
    <t>Nbre de mois de l'année avant remboursement</t>
  </si>
  <si>
    <t>Taux d'imposition sur les sociétés</t>
  </si>
  <si>
    <t>Excédent brut d'exploitation (EBE)</t>
  </si>
  <si>
    <t>Dotation aux amortissements</t>
  </si>
  <si>
    <t>Charges financières</t>
  </si>
  <si>
    <t>Résultat courant</t>
  </si>
  <si>
    <t>Résultat net</t>
  </si>
  <si>
    <t>Immobilisation nettes (A)</t>
  </si>
  <si>
    <t>Actif économique (A+B)</t>
  </si>
  <si>
    <t xml:space="preserve">Capitaux propres (C) </t>
  </si>
  <si>
    <t>dont dividendes à verser</t>
  </si>
  <si>
    <t>Eléments exceptionnels</t>
  </si>
  <si>
    <t>Bénéfice par action dilué</t>
  </si>
  <si>
    <t>Résultat opérationnel</t>
  </si>
  <si>
    <t>Dividende par action</t>
  </si>
  <si>
    <t>Total de l'actif</t>
  </si>
  <si>
    <t>Flux de trésorerie d'exploitation (hors variation du BFR)</t>
  </si>
  <si>
    <t>Cours de l'action au 31/12</t>
  </si>
  <si>
    <t>Comptes non audités en M$</t>
  </si>
  <si>
    <t>Pourquoi les comptes sont-ils non audités ?</t>
  </si>
  <si>
    <t>L'exceptionnel est-il récurrent ou non ?</t>
  </si>
  <si>
    <t>Quel est l'impact du BFR et de la variation de BFR ?</t>
  </si>
  <si>
    <t>Pourquoi les multiples (PER) sont-ils élevés ?</t>
  </si>
  <si>
    <t>Points essentiels à étudier</t>
  </si>
  <si>
    <t>Indice : il s'agit des comptes d'Enron</t>
  </si>
  <si>
    <t>Exercice 2: société Filao</t>
  </si>
  <si>
    <t>Exercice 3: société Evezard</t>
  </si>
  <si>
    <t>Coût des ventes</t>
  </si>
  <si>
    <t>Frais commerciaux</t>
  </si>
  <si>
    <t>Frais administratifs</t>
  </si>
  <si>
    <t>Marge commerciale</t>
  </si>
  <si>
    <t>Consommations de matières premières</t>
  </si>
  <si>
    <t>Autres consommations externes</t>
  </si>
  <si>
    <t>Excédent Brut d'Exploitation</t>
  </si>
  <si>
    <t>Production d'électricité</t>
  </si>
  <si>
    <t>Dotations aux am.</t>
  </si>
  <si>
    <t>Grande distribution</t>
  </si>
  <si>
    <t>Marge comm. faible</t>
  </si>
  <si>
    <t>Travail temporaire</t>
  </si>
  <si>
    <t>Distribution spécialisée</t>
  </si>
  <si>
    <t>Marge comm. forte</t>
  </si>
  <si>
    <t>BTP</t>
  </si>
  <si>
    <t>Secteur</t>
  </si>
  <si>
    <t>Indices</t>
  </si>
  <si>
    <t>Coûts comm. élevés</t>
  </si>
  <si>
    <t>Coût des ventes faible</t>
  </si>
  <si>
    <t>Fr. adm &amp; comm. faibles</t>
  </si>
  <si>
    <t>Exercice 2: Société Palaric</t>
  </si>
  <si>
    <t>Dettes bancaires et financières à court, moyen et long terme</t>
  </si>
  <si>
    <t>- Disponible</t>
  </si>
  <si>
    <t>- Placement financier</t>
  </si>
  <si>
    <t>Capitaux investis dans l'exploitation (C+D)</t>
  </si>
  <si>
    <t>+ Créances d'exploitation</t>
  </si>
  <si>
    <t>- Dettes d'exploitation</t>
  </si>
  <si>
    <t>= Besoin en fond de roulement d'exploitation</t>
  </si>
  <si>
    <t>+ Besoin en fond de roulement hors exploitation</t>
  </si>
  <si>
    <t>= Besoin en fond de roulement (B)</t>
  </si>
  <si>
    <t>= Endettement net (D)</t>
  </si>
  <si>
    <t>Recettes d'exploitation</t>
  </si>
  <si>
    <t>Qté initiale</t>
  </si>
  <si>
    <t>Qté finale</t>
  </si>
  <si>
    <t>Valeur initiale</t>
  </si>
  <si>
    <t>Valeur finale</t>
  </si>
  <si>
    <t>Variation</t>
  </si>
  <si>
    <t>Achat</t>
  </si>
  <si>
    <t>Coûts de main d'œuvre associés</t>
  </si>
  <si>
    <t>Coût de main d'œuvre sur l'exercice</t>
  </si>
  <si>
    <t>Valeur matière de la production</t>
  </si>
  <si>
    <t>Vendue</t>
  </si>
  <si>
    <t>Salaires</t>
  </si>
  <si>
    <t>Charges sociales</t>
  </si>
  <si>
    <t>Valeur amortie</t>
  </si>
  <si>
    <t>Plus value</t>
  </si>
  <si>
    <t>Désendettement net</t>
  </si>
  <si>
    <t>+ Dotations aux amortissements</t>
  </si>
  <si>
    <t>+ Variation des provisions pour dépréciation d'actifs immobilisés</t>
  </si>
  <si>
    <t>- Variation du besoin en fonds de roulement d'exploitation</t>
  </si>
  <si>
    <t>- Investissements</t>
  </si>
  <si>
    <t>+ Cessions d'actifs</t>
  </si>
  <si>
    <t>+ Augmentation de capital</t>
  </si>
  <si>
    <t>- Dividendes versés</t>
  </si>
  <si>
    <t>Achats</t>
  </si>
  <si>
    <t>Ventes</t>
  </si>
  <si>
    <t>- coûts administratifs et commerciaux</t>
  </si>
  <si>
    <t>- frais de recherche et développement</t>
  </si>
  <si>
    <t>- coût de production</t>
  </si>
  <si>
    <t>date 0</t>
  </si>
  <si>
    <t>fin année 1</t>
  </si>
  <si>
    <t>fin année 2</t>
  </si>
  <si>
    <t>Stock produits finis</t>
  </si>
  <si>
    <t>Stock composants</t>
  </si>
  <si>
    <t>Capacité d'autofinancement</t>
  </si>
  <si>
    <t>Exercice 4: Radio Européenne</t>
  </si>
  <si>
    <t>Pays-Bas</t>
  </si>
  <si>
    <t>Flux de trésorie disponible après impôt et frais financiers</t>
  </si>
  <si>
    <t>Flux de trésorie provenant de l'exploitation</t>
  </si>
  <si>
    <t>Remboursement d'emprunts</t>
  </si>
  <si>
    <t>- Nouveaux emprunts</t>
  </si>
  <si>
    <t>+ Variation des placements financiers</t>
  </si>
  <si>
    <t>+ Variation du disponible</t>
  </si>
  <si>
    <t>fin année 3</t>
  </si>
  <si>
    <t>Année 1</t>
  </si>
  <si>
    <t>Année 2</t>
  </si>
  <si>
    <t>Année 3</t>
  </si>
  <si>
    <t>Eléments du compte de résultat</t>
  </si>
  <si>
    <t>Sociétés</t>
  </si>
  <si>
    <t>Chiffre d'affaires</t>
  </si>
  <si>
    <t>Achats consommés</t>
  </si>
  <si>
    <t>Autres charges d'exploitation</t>
  </si>
  <si>
    <t>dont frais de personnel</t>
  </si>
  <si>
    <t>Frais financiers</t>
  </si>
  <si>
    <t>Impôts</t>
  </si>
  <si>
    <t>Bilan actif</t>
  </si>
  <si>
    <t>Frais d'installation</t>
  </si>
  <si>
    <t>Immobilisations corporelles</t>
  </si>
  <si>
    <t>dont terrains et constructions</t>
  </si>
  <si>
    <t>dont agencements et installations</t>
  </si>
  <si>
    <t>dont matériel de transport</t>
  </si>
  <si>
    <t>dont matériel de bureau</t>
  </si>
  <si>
    <t>Immobilisations financières</t>
  </si>
  <si>
    <t>Immobilisations incorporelles</t>
  </si>
  <si>
    <t>Stocks</t>
  </si>
  <si>
    <t>Créances d'exploitation</t>
  </si>
  <si>
    <t>Disponibilités</t>
  </si>
  <si>
    <t>Total Actif</t>
  </si>
  <si>
    <t>Bilan passif</t>
  </si>
  <si>
    <t>Capitaux propres</t>
  </si>
  <si>
    <t>Dettes à long et moyen terme</t>
  </si>
  <si>
    <t>Fournisseurs</t>
  </si>
  <si>
    <t>Autres dettes d'exploitation</t>
  </si>
  <si>
    <t>Dettes bancaires à court terme</t>
  </si>
  <si>
    <t>Total passif</t>
  </si>
  <si>
    <t>Produits financiers</t>
  </si>
  <si>
    <t>Excédent brut d'exploitation</t>
  </si>
  <si>
    <t>Besoin en fond de roulement</t>
  </si>
  <si>
    <t>Actif économique</t>
  </si>
  <si>
    <t>Endettement net</t>
  </si>
  <si>
    <t>Actif</t>
  </si>
  <si>
    <t>Immobilisations corporelles et incorporelles</t>
  </si>
  <si>
    <t>Titres de participation</t>
  </si>
  <si>
    <t>de la filiale</t>
  </si>
  <si>
    <t>autres</t>
  </si>
  <si>
    <t>Actif circulant</t>
  </si>
  <si>
    <t>M</t>
  </si>
  <si>
    <t>F</t>
  </si>
  <si>
    <t>Passif</t>
  </si>
  <si>
    <t>Capital social</t>
  </si>
  <si>
    <t>Réserves</t>
  </si>
  <si>
    <t>Passif exigible</t>
  </si>
  <si>
    <t>Compte de résultat</t>
  </si>
  <si>
    <t>+ Chiffre d'affaires</t>
  </si>
  <si>
    <t>+ Produits financiers</t>
  </si>
  <si>
    <t>+ Produits exceptionnels</t>
  </si>
  <si>
    <t>= Résultat net</t>
  </si>
  <si>
    <t>- Impôt sur les bénéfices</t>
  </si>
  <si>
    <t>- Charges exceptionnelles</t>
  </si>
  <si>
    <t>- Charges financières</t>
  </si>
  <si>
    <t>- Charges de personnel</t>
  </si>
  <si>
    <t>- Autres services externes</t>
  </si>
  <si>
    <t>- Variations de stock</t>
  </si>
  <si>
    <t>Besoin en fonds de roulement (4)+(3)=(BFR)</t>
  </si>
  <si>
    <t>Emprunts bancaires à plus d'un an</t>
  </si>
  <si>
    <t>Provisions d'exploitation</t>
  </si>
  <si>
    <t xml:space="preserve">+ Provisions d'exploitation </t>
  </si>
  <si>
    <t>- Achat</t>
  </si>
  <si>
    <t>Bilan M+F</t>
  </si>
  <si>
    <t>Part du groupe</t>
  </si>
  <si>
    <t>Intérêts minoritaires</t>
  </si>
  <si>
    <t>Exercice 1</t>
  </si>
  <si>
    <t>BFR</t>
  </si>
  <si>
    <t>Exercice 2</t>
  </si>
  <si>
    <t>Etat du monde</t>
  </si>
  <si>
    <t>Remboursement de dette</t>
  </si>
  <si>
    <t>Flux pour les actionnaires</t>
  </si>
  <si>
    <t>Valeur de la dette</t>
  </si>
  <si>
    <t>Valeur de l'actif économique</t>
  </si>
  <si>
    <t>Valeur du projet d'investissement</t>
  </si>
  <si>
    <t>Financement maximum par les actionnaires</t>
  </si>
  <si>
    <t>Cas 1 : financement par dette</t>
  </si>
  <si>
    <t>Cas 2 : financement par CP</t>
  </si>
  <si>
    <t>Condition pour l'entrée de nouveaux créanciers : remboursement prioritaire par rapport aux créanciers existants</t>
  </si>
  <si>
    <t>Oui, mais problème amplifié par la situation en quasi-faillite de la société</t>
  </si>
  <si>
    <t>Exercice 2 : JNH</t>
  </si>
  <si>
    <t>Exercice 1 : entreprise A</t>
  </si>
  <si>
    <t>Dettes subordonnées</t>
  </si>
  <si>
    <t>Dettes senior</t>
  </si>
  <si>
    <t>Valeur de la dette sub.</t>
  </si>
  <si>
    <t>Valeur de la dette senior</t>
  </si>
  <si>
    <t>Activité en décroissance</t>
  </si>
  <si>
    <t>Marges négatives en chute</t>
  </si>
  <si>
    <t>-&gt; Menace de faillite</t>
  </si>
  <si>
    <t>Cession d'une partie de l'AE</t>
  </si>
  <si>
    <t>actions nouvelles</t>
  </si>
  <si>
    <t>prix d'émission</t>
  </si>
  <si>
    <t>Dette subordonnée</t>
  </si>
  <si>
    <t>Remboursement</t>
  </si>
  <si>
    <t>Dette senior</t>
  </si>
  <si>
    <t>Abndon de créance</t>
  </si>
  <si>
    <t>Emission bons de souscription</t>
  </si>
  <si>
    <t>Valeur d'un bon</t>
  </si>
  <si>
    <t>Créanciers senior</t>
  </si>
  <si>
    <t>Valeur ap. augm. cap.</t>
  </si>
  <si>
    <t>Remboursement issu de l'augm. cap</t>
  </si>
  <si>
    <t>Valeur des bons</t>
  </si>
  <si>
    <t>Patrimoine</t>
  </si>
  <si>
    <t>Valeur av. augm. cap</t>
  </si>
  <si>
    <t>Dette sub.</t>
  </si>
  <si>
    <t>Valeur par action</t>
  </si>
  <si>
    <t>Créanciers subordonnés</t>
  </si>
  <si>
    <t>d) Les créanciers sont les grands bénéficiaires du plan</t>
  </si>
  <si>
    <t>MARGE BRUTE</t>
  </si>
  <si>
    <t>VALEUR AJOUTEE</t>
  </si>
  <si>
    <t>Impôts et taxes</t>
  </si>
  <si>
    <t>EXCEDENT BRUT D'EXPLOITATION</t>
  </si>
  <si>
    <t>Dotations aux amortissements nettes des reprises</t>
  </si>
  <si>
    <t>RESULTAT D'EXPLOITATION</t>
  </si>
  <si>
    <t>RESULTAT FINANCIER</t>
  </si>
  <si>
    <t>RESULTAT COURANT</t>
  </si>
  <si>
    <t>RESULTAT EXCEPTIONNEL</t>
  </si>
  <si>
    <t>Impôt sur les bénéfices</t>
  </si>
  <si>
    <t>RESULTAT NET</t>
  </si>
  <si>
    <t>Exercice</t>
  </si>
  <si>
    <t>Résultat net part du groupe</t>
  </si>
  <si>
    <t>Valeurs mobilières de placement</t>
  </si>
  <si>
    <t>Dettes fournisseurs</t>
  </si>
  <si>
    <t>+ Immobilisation en crédit bail</t>
  </si>
  <si>
    <t>+ Immobilisation financières</t>
  </si>
  <si>
    <t>Actif immobilisé (im)</t>
  </si>
  <si>
    <t>+ Encours clients (y compris effets escomptés non échus)</t>
  </si>
  <si>
    <t>+ Autres créances d'exploitation courante</t>
  </si>
  <si>
    <t>= Emploi du cycle d'exploitation (1)</t>
  </si>
  <si>
    <t>Encours fournisseurs d'exploitation</t>
  </si>
  <si>
    <t>+ Dettes fiscales et sociales</t>
  </si>
  <si>
    <t>+ Autres dettes d'exploitation courante</t>
  </si>
  <si>
    <t>= Ressources du cycle d'exploitation (2)</t>
  </si>
  <si>
    <t>Besoin en fond de roulement d'exploitation (3)=(1)-(2)</t>
  </si>
  <si>
    <t>Créances hors exploitation courante</t>
  </si>
  <si>
    <t>Saint Gobain - bilan économique</t>
  </si>
  <si>
    <t>en Md€</t>
  </si>
  <si>
    <t>ACTIF IMMOBILISE (Immo)</t>
  </si>
  <si>
    <t>Stock Total</t>
  </si>
  <si>
    <t>+ Créances clients nettes de provisions</t>
  </si>
  <si>
    <t>= EMPLOI DU CYCLE D'EXPLOITATION (1)</t>
  </si>
  <si>
    <t>Encours fournisseurs d'exploitation (net des avances)</t>
  </si>
  <si>
    <t>= RESSOURCES DU CYCLE D'EXPLOITATION (2)</t>
  </si>
  <si>
    <t>=BESOIN EN FONDS DE ROULEMENT D'EXPLOITATION (1+2) = 
(BFR)</t>
  </si>
  <si>
    <t>BESOIN EN FONDS DE ROULEMENT HORS EXPLOITATION</t>
  </si>
  <si>
    <t>ACTIF ECONOMIQUE (IMMO + BFR) + BFR HORS EXPLOITATION</t>
  </si>
  <si>
    <t>CAPITAUX PROPRES TOTAUX (CP)</t>
  </si>
  <si>
    <t>Dettes bancaires et financières LMT (y compris crédit-bail)</t>
  </si>
  <si>
    <t>+ Concours bancaires courant</t>
  </si>
  <si>
    <t>- Placements financiers et disponible</t>
  </si>
  <si>
    <t>= ENDETTEMENT NET (D)</t>
  </si>
  <si>
    <t>= CAPITAUX INVESTIS DANS L'EXPLOITATION (CP+PRC+D)</t>
  </si>
  <si>
    <t>Société Fernandez</t>
  </si>
  <si>
    <t>- Plus-values de cession</t>
  </si>
  <si>
    <t>- Variation du besoin en fonds de roulement</t>
  </si>
  <si>
    <t>= Flux de trésorerie provenant de l'exploitation (A)</t>
  </si>
  <si>
    <t>Investissement d'exploitation</t>
  </si>
  <si>
    <t>+ Investissements financiers</t>
  </si>
  <si>
    <t>- Cessions d'immobilisations</t>
  </si>
  <si>
    <t>Augmentation de capital en numéraire ( C )</t>
  </si>
  <si>
    <t>(A-B+C-D) = Désendettement net</t>
  </si>
  <si>
    <t>n+1</t>
  </si>
  <si>
    <t>n+2</t>
  </si>
  <si>
    <t>Variation BFR</t>
  </si>
  <si>
    <t>n</t>
  </si>
  <si>
    <t>Variation des effets remis à l'escompte et non échus</t>
  </si>
  <si>
    <t>Calcul de la variation de BFR</t>
  </si>
  <si>
    <t>Société Masque</t>
  </si>
  <si>
    <t>CHIFFRES D'AFFAIRES</t>
  </si>
  <si>
    <t>PRODUCTION (100%)</t>
  </si>
  <si>
    <t>achats consommés</t>
  </si>
  <si>
    <t>autres consommations et charges externes (hors crédit-bail et sous-traitance)</t>
  </si>
  <si>
    <t>frais de personnel (y.c. sous-traitance et participation)</t>
  </si>
  <si>
    <t>impôts et taxes</t>
  </si>
  <si>
    <t>subventions d'exploitation</t>
  </si>
  <si>
    <t>soldes des autres produits et charges d'exploitation (y.c. cessions d'exploitation)</t>
  </si>
  <si>
    <t>charges financières</t>
  </si>
  <si>
    <t>produits financiers</t>
  </si>
  <si>
    <t>Charges exceptionelles de gestion</t>
  </si>
  <si>
    <t>impôt sur les bénéfices</t>
  </si>
  <si>
    <t>dotations aux amortissements nettes des reprises</t>
  </si>
  <si>
    <t>BILAN simplifié de Adidas (en M€)</t>
  </si>
  <si>
    <t>Actif économique (avec survaleur en montant brut)</t>
  </si>
  <si>
    <t>Résultat d'exploitation (avant amortissement de la survaleur)</t>
  </si>
  <si>
    <t>IS à 35%</t>
  </si>
  <si>
    <t>Capitaux propres - part du groupe</t>
  </si>
  <si>
    <t>Résultat net - part du groupe</t>
  </si>
  <si>
    <t>Rentabilité des capitaux propres part du groupe</t>
  </si>
  <si>
    <t>Groupes</t>
  </si>
  <si>
    <t>Endettement bancaire et financier net</t>
  </si>
  <si>
    <t>Société F</t>
  </si>
  <si>
    <t>Endettement / EBE</t>
  </si>
  <si>
    <t>Société A</t>
  </si>
  <si>
    <t>Rentabilité économique avant impôt</t>
  </si>
  <si>
    <t>Société B</t>
  </si>
  <si>
    <t>Exercice B: Analyse de la société B 2000</t>
  </si>
  <si>
    <t>- Autres consommations externes et autres</t>
  </si>
  <si>
    <t>- Dotations aux amortissements</t>
  </si>
  <si>
    <t>+ Résultat non récurrent</t>
  </si>
  <si>
    <t>- Impôts sur les bénéfices</t>
  </si>
  <si>
    <t>+ Part des sociétés mises en équivalence</t>
  </si>
  <si>
    <t>- Résultat financier</t>
  </si>
  <si>
    <t>Compte de résultat (en M€)</t>
  </si>
  <si>
    <t>Bilan (en M€)</t>
  </si>
  <si>
    <t>+ Immobilisations incorporelles</t>
  </si>
  <si>
    <t>- Immobilisations financières</t>
  </si>
  <si>
    <t>+ Clients</t>
  </si>
  <si>
    <t>Tableau des flux de trésorerie (en M€)</t>
  </si>
  <si>
    <t xml:space="preserve">+ Dotation aux amortissements </t>
  </si>
  <si>
    <t>+ Divers (dividendes reçus de SME,…)</t>
  </si>
  <si>
    <t>- Variation du besoin en fond de roulement</t>
  </si>
  <si>
    <t xml:space="preserve">3ans, 5 mois et 17 Jours = </t>
  </si>
  <si>
    <t>Résultat =</t>
  </si>
  <si>
    <t>Action Bic</t>
  </si>
  <si>
    <t>Nbre PC produits</t>
  </si>
  <si>
    <t>hausse cours à 30 €</t>
  </si>
  <si>
    <t>chute du cours à 15 €</t>
  </si>
  <si>
    <t>Rentabilité Bic</t>
  </si>
  <si>
    <t>Bic</t>
  </si>
  <si>
    <t>Risque total de Bic</t>
  </si>
  <si>
    <t>Risque de marché de Bic</t>
  </si>
  <si>
    <t>Risque  spécifique de Bic</t>
  </si>
  <si>
    <t>Exercice 1: Bic</t>
  </si>
  <si>
    <t>Exercice 2:</t>
  </si>
  <si>
    <t>Valeur au 1er janvier</t>
  </si>
  <si>
    <t>Fond Objectif Europe</t>
  </si>
  <si>
    <t>Fond Europe Diversification</t>
  </si>
  <si>
    <t>Eurostoxx 300</t>
  </si>
  <si>
    <t>Ecart Type</t>
  </si>
  <si>
    <t>Rentabilité moyenne</t>
  </si>
  <si>
    <t>Rentabilité E</t>
  </si>
  <si>
    <t>σ E</t>
  </si>
  <si>
    <t>XE</t>
  </si>
  <si>
    <t>XE (Z)</t>
  </si>
  <si>
    <t>Rentabilité H</t>
  </si>
  <si>
    <t>σ H</t>
  </si>
  <si>
    <t>ρ H,E</t>
  </si>
  <si>
    <t>XH</t>
  </si>
  <si>
    <t>σ H,E</t>
  </si>
  <si>
    <t>E(r H,E)</t>
  </si>
  <si>
    <t>XH (Z)</t>
  </si>
  <si>
    <t>β Shell</t>
  </si>
  <si>
    <t>β Deutsche Telekom</t>
  </si>
  <si>
    <t>r Deutsche Telekom</t>
  </si>
  <si>
    <t>r Shell</t>
  </si>
  <si>
    <t>prix estimé Lapparent.com</t>
  </si>
  <si>
    <t>- Dettes hors exploitation courante</t>
  </si>
  <si>
    <t>= BFR hors exploitation (4)</t>
  </si>
  <si>
    <t>Actif économique (im)+(BFR)=(AE)</t>
  </si>
  <si>
    <t>+ Résultat de l'exercice</t>
  </si>
  <si>
    <t>+ Provisions à caractère de réserves</t>
  </si>
  <si>
    <t>+ Subventions d'investissement</t>
  </si>
  <si>
    <t>= Capitaux propres part du groupe (1)</t>
  </si>
  <si>
    <t>+ Autres capitaux propres (comptes courant d'associés, ORA…)</t>
  </si>
  <si>
    <t>= Capitaux propres totaux (1)+(2)=(CP)</t>
  </si>
  <si>
    <t>Provisions pour risques et charges (PRC)</t>
  </si>
  <si>
    <t>+ Engagement de crédit bail</t>
  </si>
  <si>
    <t>+ Concours bancaires courants (y compris effets escomptés non échus)</t>
  </si>
  <si>
    <t>- Valeurs mobilières de placement</t>
  </si>
  <si>
    <t>Société Boilevé</t>
  </si>
  <si>
    <t>Tableau des flux de trésorerie</t>
  </si>
  <si>
    <t>Capitaux investis=(CP)+(PRC)+(D)= Actif économique</t>
  </si>
  <si>
    <t>+ Intérêts minoritaires (2)</t>
  </si>
  <si>
    <t>+ Ecarts de réévaluation et de consolidation</t>
  </si>
  <si>
    <t>Dettes bancaires et financières à moyen long terme</t>
  </si>
  <si>
    <t>Bilan</t>
  </si>
  <si>
    <t>Disponible</t>
  </si>
  <si>
    <t>Exercice 1: Société Lucot</t>
  </si>
  <si>
    <t>Jours de crédit client</t>
  </si>
  <si>
    <t>Jours de stocks</t>
  </si>
  <si>
    <t>Jours de fournisseurs</t>
  </si>
  <si>
    <t>Achats en % du chiffre d'affaires</t>
  </si>
  <si>
    <t>Concours bancaires courants</t>
  </si>
  <si>
    <t>Produits d'exploitation</t>
  </si>
  <si>
    <t>Achats de marchandises et de matières premières</t>
  </si>
  <si>
    <t>Variation de stocks</t>
  </si>
  <si>
    <t>Autres charges externes</t>
  </si>
  <si>
    <t>Charges de personnel</t>
  </si>
  <si>
    <t>Charges d'exploitation</t>
  </si>
  <si>
    <t>Résultat financier</t>
  </si>
  <si>
    <t>Résultat exceptionnel</t>
  </si>
  <si>
    <t>Immobilisations incorporelles &amp; corporelles</t>
  </si>
  <si>
    <t>Capital social et réserves</t>
  </si>
  <si>
    <t>OPERATIONS D'EXPLOITATION</t>
  </si>
  <si>
    <t>Dividendes versés (D)</t>
  </si>
  <si>
    <t>= Flux d'investissement (B)</t>
  </si>
  <si>
    <t>Effets remis à l'escompte et non échus</t>
  </si>
  <si>
    <t>Consommation de matières premières</t>
  </si>
  <si>
    <t>Endettement bancaire net</t>
  </si>
  <si>
    <t>Ratios</t>
  </si>
  <si>
    <t>Capitaux propres / Endettement net</t>
  </si>
  <si>
    <t>Entreprise</t>
  </si>
  <si>
    <t>a)</t>
  </si>
  <si>
    <t>b)</t>
  </si>
  <si>
    <t>Frais variables</t>
  </si>
  <si>
    <t>Frais fixes</t>
  </si>
  <si>
    <t>EBE</t>
  </si>
  <si>
    <t>Résutalt d'exploitation</t>
  </si>
  <si>
    <t>Résultat courant avant impôt</t>
  </si>
  <si>
    <t>A</t>
  </si>
  <si>
    <t>B</t>
  </si>
  <si>
    <t>C</t>
  </si>
  <si>
    <t>D</t>
  </si>
  <si>
    <t>Point mort après frais financiers</t>
  </si>
  <si>
    <t>Point mort avant frais financiers</t>
  </si>
  <si>
    <t>CA/Point mort</t>
  </si>
  <si>
    <t>Dotations aux provisions</t>
  </si>
  <si>
    <t>Impôts sur les sociétés</t>
  </si>
  <si>
    <t>4. Analyse des flux de trésorerie</t>
  </si>
  <si>
    <t>en % des flux d'exploitation</t>
  </si>
  <si>
    <t>Financement sur la totalité de la période</t>
  </si>
  <si>
    <t>Augmentation des capitaux propres</t>
  </si>
  <si>
    <t>Augmentation de la dette</t>
  </si>
  <si>
    <t>Dont croissance issue de la CAF</t>
  </si>
  <si>
    <t>Investissements / Dotations aux amortissements</t>
  </si>
  <si>
    <t>Taux d'impôt sur les sociétés</t>
  </si>
  <si>
    <t>Croissance des investissements plus rapide que celle des flux d'exploitation</t>
  </si>
  <si>
    <t>Recours à l'endettement pour les besoins de financement et le versement de dividendes</t>
  </si>
  <si>
    <t>Valeur percue dans 3 ans</t>
  </si>
  <si>
    <t>2. annuités égales</t>
  </si>
  <si>
    <t>1. paiement</t>
  </si>
  <si>
    <t>Multiplicateur</t>
  </si>
  <si>
    <t>Valeur actuelle de la rente sur 3 ans</t>
  </si>
  <si>
    <t>rente</t>
  </si>
  <si>
    <t>Différence</t>
  </si>
  <si>
    <t>Intérêts autrement calculés</t>
  </si>
  <si>
    <t>E*</t>
  </si>
  <si>
    <t>Air Liquide</t>
  </si>
  <si>
    <t>Carrefour</t>
  </si>
  <si>
    <t>Volkswagen</t>
  </si>
  <si>
    <t>ING</t>
  </si>
  <si>
    <t>Alcatel</t>
  </si>
  <si>
    <t>Obligation</t>
  </si>
  <si>
    <t>Échéance (an)</t>
  </si>
  <si>
    <t>Coupon annuel</t>
  </si>
  <si>
    <t>- IS</t>
  </si>
  <si>
    <t>Structure financière "cible"</t>
  </si>
  <si>
    <t>Taux de croissance à l'infini</t>
  </si>
  <si>
    <t>Valeur terminale</t>
  </si>
  <si>
    <t>VD</t>
  </si>
  <si>
    <t>VCP</t>
  </si>
  <si>
    <t>- des flux sur l'horizon explicite</t>
  </si>
  <si>
    <t>- de la valeur terminale</t>
  </si>
  <si>
    <t>Multiple REX</t>
  </si>
  <si>
    <t>REX 2003e</t>
  </si>
  <si>
    <t>Résultat net 2003e</t>
  </si>
  <si>
    <t>Flux normatif</t>
  </si>
  <si>
    <t>Nb de voix</t>
  </si>
  <si>
    <t>-&gt; En possédant 1/3 des actions +1, l'actionnaire contrôle l'AGO</t>
  </si>
  <si>
    <t>-&gt; En possédant 50% des actions +1, l'actionnaire contrôle l'AGE</t>
  </si>
  <si>
    <t>Droits de vote</t>
  </si>
  <si>
    <t>Droit de vote</t>
  </si>
  <si>
    <t>Cas 1/3 - 2/3</t>
  </si>
  <si>
    <t>Cas 50-50</t>
  </si>
  <si>
    <t>Part</t>
  </si>
  <si>
    <t>Actions à droit de vote double</t>
  </si>
  <si>
    <t>Actions "classiques"</t>
  </si>
  <si>
    <t>Rentabilité</t>
  </si>
  <si>
    <t>Taux zéro coupons</t>
  </si>
  <si>
    <t>Prévisionnel</t>
  </si>
  <si>
    <t>Consommation de matières</t>
  </si>
  <si>
    <t>Autres services externes</t>
  </si>
  <si>
    <t>Sous-traitance</t>
  </si>
  <si>
    <t>Autres services externes (50%)</t>
  </si>
  <si>
    <t>Point mort opérationnel</t>
  </si>
  <si>
    <t>Point mort total</t>
  </si>
  <si>
    <t>Frais directs de production</t>
  </si>
  <si>
    <t>Frais généraux</t>
  </si>
  <si>
    <t>Cycle d'exploitation</t>
  </si>
  <si>
    <t>Stocks de matière premières</t>
  </si>
  <si>
    <t>jours</t>
  </si>
  <si>
    <t>Durée du cycle de production</t>
  </si>
  <si>
    <t>Stocks de produits finis</t>
  </si>
  <si>
    <t>mois</t>
  </si>
  <si>
    <t>Termes de paiement</t>
  </si>
  <si>
    <t>Clients</t>
  </si>
  <si>
    <t>Matières premières</t>
  </si>
  <si>
    <t>Créance client</t>
  </si>
  <si>
    <t>M€</t>
  </si>
  <si>
    <t>Encours production</t>
  </si>
  <si>
    <t>Frais de production</t>
  </si>
  <si>
    <t>% du CA</t>
  </si>
  <si>
    <t>Délai de règlement ou d'écoulement</t>
  </si>
  <si>
    <t>Stock matières premières</t>
  </si>
  <si>
    <t>Jours par mois</t>
  </si>
  <si>
    <t>BFR permanent</t>
  </si>
  <si>
    <t>CA année 1</t>
  </si>
  <si>
    <t>CA année 2</t>
  </si>
  <si>
    <t>EBE année 2</t>
  </si>
  <si>
    <t>Excédent de Trésorie d'Exploitation année 2</t>
  </si>
  <si>
    <t>Stocks (produits finis)</t>
  </si>
  <si>
    <t>Clients et effet à recevoir</t>
  </si>
  <si>
    <t>Fournisseurs et effets à payer</t>
  </si>
  <si>
    <t>Compte de Résultat</t>
  </si>
  <si>
    <t>Chiffre d'affaires HT</t>
  </si>
  <si>
    <t>Chiffre d'affaires TTC</t>
  </si>
  <si>
    <t>Achats TTC</t>
  </si>
  <si>
    <t>Rotation des stocks</t>
  </si>
  <si>
    <t>BFR en jours de CA</t>
  </si>
  <si>
    <t>Exercice 4</t>
  </si>
  <si>
    <t>Rotation stocks</t>
  </si>
  <si>
    <t>fois par an</t>
  </si>
  <si>
    <t>Prix revient marchandises</t>
  </si>
  <si>
    <t>CA HT</t>
  </si>
  <si>
    <t>Clients paient</t>
  </si>
  <si>
    <t>jours fin de mois</t>
  </si>
  <si>
    <t>Fournisseurs payés</t>
  </si>
  <si>
    <t>Salaire payés fin de mois</t>
  </si>
  <si>
    <t>TVA 19,6</t>
  </si>
  <si>
    <t>du mois suivant</t>
  </si>
  <si>
    <t>salaires, payées au</t>
  </si>
  <si>
    <t>payée au</t>
  </si>
  <si>
    <t>Solde TVA</t>
  </si>
  <si>
    <t>Exercice 5</t>
  </si>
  <si>
    <t>Crédit clients</t>
  </si>
  <si>
    <t>Crédit fournisseurs</t>
  </si>
  <si>
    <t>No TAV</t>
  </si>
  <si>
    <t>Actif immobilisé net</t>
  </si>
  <si>
    <t>Besoin en fonds de roulement</t>
  </si>
  <si>
    <t>nd</t>
  </si>
  <si>
    <t>Tableau de flux</t>
  </si>
  <si>
    <t>Flux de trésorie provenant de l'exploitation (A)</t>
  </si>
  <si>
    <t>Flux d'investissement (B)</t>
  </si>
  <si>
    <t>Augmentations de capital (C)</t>
  </si>
  <si>
    <t>(A)-(B)+(C)-(D)=Désendettement net</t>
  </si>
  <si>
    <t>Δ BFR</t>
  </si>
  <si>
    <t>Marge sur CA après IS</t>
  </si>
  <si>
    <t>Coût d'endettement avant IS</t>
  </si>
  <si>
    <t>Taux IS</t>
  </si>
  <si>
    <t>Actif Economique</t>
  </si>
  <si>
    <t>Structure financière</t>
  </si>
  <si>
    <t>Dette</t>
  </si>
  <si>
    <t>Rentabilité sur capitaux propres</t>
  </si>
  <si>
    <t>Effet de levier</t>
  </si>
  <si>
    <t>Entrez les capitaux propres</t>
  </si>
  <si>
    <t>Exercice 3</t>
  </si>
  <si>
    <t>Frais financiers avant impôts</t>
  </si>
  <si>
    <t>Taux d'imposition</t>
  </si>
  <si>
    <t>Re</t>
  </si>
  <si>
    <t>i</t>
  </si>
  <si>
    <t>Levier financier</t>
  </si>
  <si>
    <t>Rentabilité des capitaux propres</t>
  </si>
  <si>
    <t>Achats et variation de stocks</t>
  </si>
  <si>
    <t>Impôts sur les bénéfices</t>
  </si>
  <si>
    <t>Résultat net total</t>
  </si>
  <si>
    <t>Amortissement de la survaleur</t>
  </si>
  <si>
    <t>Résultat revenant aux intérêts minoritaires</t>
  </si>
  <si>
    <t>Survaleur</t>
  </si>
  <si>
    <t>- Dotations nettes aux amortissements</t>
  </si>
  <si>
    <t>Flux de trésorerie disponible</t>
  </si>
  <si>
    <t>du chiffre d'affaires</t>
  </si>
  <si>
    <t>sur la pérode 1985-89</t>
  </si>
  <si>
    <t>1985-89 hors inflation</t>
  </si>
  <si>
    <t>Croissance :</t>
  </si>
  <si>
    <t>moyenne annuelle 85-89 hors infl.</t>
  </si>
  <si>
    <t>Frais de personnel/Production</t>
  </si>
  <si>
    <t>Croissance des flux d'exploitation</t>
  </si>
  <si>
    <t>BFR/CA</t>
  </si>
  <si>
    <t>Réduction du BFR</t>
  </si>
  <si>
    <t>Autres immobilisations financières</t>
  </si>
  <si>
    <t>Actif immobilisé</t>
  </si>
  <si>
    <t>Stock total</t>
  </si>
  <si>
    <t>Encours client</t>
  </si>
  <si>
    <t>Autres créances d'exploitation</t>
  </si>
  <si>
    <t>Autres dettes d'exploitation courante</t>
  </si>
  <si>
    <t>Capitaux propres part du groupe</t>
  </si>
  <si>
    <t>Provisions pour risques et charges</t>
  </si>
  <si>
    <t>Dettes bancaires et financières LMT</t>
  </si>
  <si>
    <t>Placement financiers</t>
  </si>
  <si>
    <t>COMPTE DE RESULTAT</t>
  </si>
  <si>
    <t>Rcp</t>
  </si>
  <si>
    <t>Total actif</t>
  </si>
  <si>
    <t>Exercice A: Analyse de la société A 1980</t>
  </si>
  <si>
    <t>- Consommation matières</t>
  </si>
  <si>
    <t>Exercice 1: Société HIC</t>
  </si>
  <si>
    <t>Exercice 2: Société Boilevé - plan de trésorie</t>
  </si>
  <si>
    <t>- Coût d'achat des marchandises vendues</t>
  </si>
  <si>
    <t>Valeur ajoutée</t>
  </si>
  <si>
    <t>- Frais de personnel</t>
  </si>
  <si>
    <t>+ Subventions d'exploitation</t>
  </si>
  <si>
    <t>Bilan au 31 décembre après affectation des résultats</t>
  </si>
  <si>
    <t>Autres immobilisations</t>
  </si>
  <si>
    <t>Autres débiteurs hors exploitation</t>
  </si>
  <si>
    <t>Autres créanciers hors exploitation</t>
  </si>
  <si>
    <t>+ Dotation aux amortissements et variation de provision pour risque et charges</t>
  </si>
  <si>
    <t>- Variation du besoin en fond de roulement d'exploitation et hors exploitation</t>
  </si>
  <si>
    <t>Acquisitions d'immobilisations corporelles, incorporelles et financières</t>
  </si>
  <si>
    <t>- Cessions d'immobilisation corporelles, incorporelles et financières</t>
  </si>
  <si>
    <t>Flux d'investissement</t>
  </si>
  <si>
    <t>Spread Suez</t>
  </si>
  <si>
    <t>Flux Suez</t>
  </si>
  <si>
    <t>VA Oblig. Suez</t>
  </si>
  <si>
    <t>Taux + spread Suez</t>
  </si>
  <si>
    <t>Valeur de l'emprunt</t>
  </si>
  <si>
    <t>+</t>
  </si>
  <si>
    <t>-</t>
  </si>
  <si>
    <t>++</t>
  </si>
  <si>
    <t>+++</t>
  </si>
  <si>
    <t>++++</t>
  </si>
  <si>
    <t>--</t>
  </si>
  <si>
    <t>---</t>
  </si>
  <si>
    <t>----</t>
  </si>
  <si>
    <t>En cas d'anticipation de hausse des taux d'intérêt, choisir la tranche A</t>
  </si>
  <si>
    <t>c)</t>
  </si>
  <si>
    <t>Syldaves a emprunté au taux de 8%, anticipant une hausse des taux d'intérêts</t>
  </si>
  <si>
    <t>d)</t>
  </si>
  <si>
    <t>Syldaves a, en définitive, emprunté à un taux inférieur à celui du marché</t>
  </si>
  <si>
    <t>Danone</t>
  </si>
  <si>
    <t>Thyssen Krupp</t>
  </si>
  <si>
    <t>PER 2002</t>
  </si>
  <si>
    <t>g (2000-2003)</t>
  </si>
  <si>
    <t>Taux sans risque</t>
  </si>
  <si>
    <t>Prime de risque du marché</t>
  </si>
  <si>
    <r>
      <t>r</t>
    </r>
    <r>
      <rPr>
        <vertAlign val="subscript"/>
        <sz val="10"/>
        <rFont val="Verdana"/>
        <family val="2"/>
      </rPr>
      <t>CP</t>
    </r>
  </si>
  <si>
    <r>
      <t>k</t>
    </r>
    <r>
      <rPr>
        <vertAlign val="subscript"/>
        <sz val="10"/>
        <rFont val="Verdana"/>
        <family val="2"/>
      </rPr>
      <t>CP</t>
    </r>
  </si>
  <si>
    <t>Risque</t>
  </si>
  <si>
    <t>moyenne</t>
  </si>
  <si>
    <t>forte</t>
  </si>
  <si>
    <t>Faible</t>
  </si>
  <si>
    <t>Création de valeur</t>
  </si>
  <si>
    <t>g 2003</t>
  </si>
  <si>
    <t>élevée</t>
  </si>
  <si>
    <t>Très forte (cyclique)</t>
  </si>
  <si>
    <t>Croissance anticipée</t>
  </si>
  <si>
    <t>très fort</t>
  </si>
  <si>
    <t>fort</t>
  </si>
  <si>
    <t>régulière</t>
  </si>
  <si>
    <t>très faible</t>
  </si>
  <si>
    <r>
      <t>r</t>
    </r>
    <r>
      <rPr>
        <vertAlign val="subscript"/>
        <sz val="10"/>
        <rFont val="Verdana"/>
        <family val="2"/>
      </rPr>
      <t>F</t>
    </r>
  </si>
  <si>
    <t>Valeur du sous-jacent</t>
  </si>
  <si>
    <r>
      <t>(r</t>
    </r>
    <r>
      <rPr>
        <vertAlign val="subscript"/>
        <sz val="10"/>
        <rFont val="Verdana"/>
        <family val="2"/>
      </rPr>
      <t>F</t>
    </r>
    <r>
      <rPr>
        <sz val="10"/>
        <rFont val="Verdana"/>
        <family val="2"/>
      </rPr>
      <t>+σ²/2)*T</t>
    </r>
  </si>
  <si>
    <t>Application de Black Scholes - recalcul de la valeur</t>
  </si>
  <si>
    <t>Exercice Marionnaud Parfumeries</t>
  </si>
  <si>
    <t>Actions nouvelles</t>
  </si>
  <si>
    <t>Actions existantes</t>
  </si>
  <si>
    <t>Prix avant émission</t>
  </si>
  <si>
    <t>Valeur de l'action - 1 DS</t>
  </si>
  <si>
    <t>Prix d'émission + 5 DS</t>
  </si>
  <si>
    <t>- 1 DS</t>
  </si>
  <si>
    <t>+ 5 DS</t>
  </si>
  <si>
    <t>DS</t>
  </si>
  <si>
    <t>Cap. bours. ap. augm.</t>
  </si>
  <si>
    <t>Cours théorique après émission</t>
  </si>
  <si>
    <t>=</t>
  </si>
  <si>
    <t>Patrimoine avant opération</t>
  </si>
  <si>
    <t>Patrimoine après opération</t>
  </si>
  <si>
    <t>Cash</t>
  </si>
  <si>
    <t>- Cession</t>
  </si>
  <si>
    <t>Opération</t>
  </si>
  <si>
    <t>Nombre</t>
  </si>
  <si>
    <t>- Cash issu de l'opération</t>
  </si>
  <si>
    <t>- Actions</t>
  </si>
  <si>
    <t>a) Taux éxigé</t>
  </si>
  <si>
    <t>b) &amp; c)</t>
  </si>
  <si>
    <t>Aucun impact sur la trésorerie d'entreprise</t>
  </si>
  <si>
    <t>e)</t>
  </si>
  <si>
    <t>rent. exigée</t>
  </si>
  <si>
    <t>rent. dégagée</t>
  </si>
  <si>
    <t>&gt;</t>
  </si>
  <si>
    <t>Destruction de valeur</t>
  </si>
  <si>
    <t>&lt;</t>
  </si>
  <si>
    <t>Bénéfice</t>
  </si>
  <si>
    <t>Valeur des capitaux propres</t>
  </si>
  <si>
    <t>Nouveau résultat net</t>
  </si>
  <si>
    <t>Croissance du BPA</t>
  </si>
  <si>
    <t>Synergies industrielles</t>
  </si>
  <si>
    <t>Résultat net D</t>
  </si>
  <si>
    <t>Résultat net C</t>
  </si>
  <si>
    <t>Augm. nb. actions</t>
  </si>
  <si>
    <t>Augm. bénéfice</t>
  </si>
  <si>
    <t>Prix (transaction)</t>
  </si>
  <si>
    <t>CMPC</t>
  </si>
  <si>
    <t>Taux d'IS</t>
  </si>
  <si>
    <t>MVA</t>
  </si>
  <si>
    <t>en M€</t>
  </si>
  <si>
    <t>Cap. bours.</t>
  </si>
  <si>
    <t>EVA</t>
  </si>
  <si>
    <t>Dette sous-jacente</t>
  </si>
  <si>
    <r>
      <t>V</t>
    </r>
    <r>
      <rPr>
        <vertAlign val="subscript"/>
        <sz val="10"/>
        <rFont val="Verdana"/>
        <family val="2"/>
      </rPr>
      <t>D</t>
    </r>
    <r>
      <rPr>
        <sz val="10"/>
        <rFont val="Verdana"/>
        <family val="2"/>
      </rPr>
      <t>/(V</t>
    </r>
    <r>
      <rPr>
        <vertAlign val="subscript"/>
        <sz val="10"/>
        <rFont val="Verdana"/>
        <family val="2"/>
      </rPr>
      <t>CP</t>
    </r>
    <r>
      <rPr>
        <sz val="10"/>
        <rFont val="Verdana"/>
        <family val="2"/>
      </rPr>
      <t>+V</t>
    </r>
    <r>
      <rPr>
        <vertAlign val="subscript"/>
        <sz val="10"/>
        <rFont val="Verdana"/>
        <family val="2"/>
      </rPr>
      <t>D</t>
    </r>
    <r>
      <rPr>
        <sz val="10"/>
        <rFont val="Verdana"/>
        <family val="2"/>
      </rPr>
      <t>)</t>
    </r>
  </si>
  <si>
    <r>
      <t>V</t>
    </r>
    <r>
      <rPr>
        <vertAlign val="subscript"/>
        <sz val="10"/>
        <rFont val="Verdana"/>
        <family val="2"/>
      </rPr>
      <t>D</t>
    </r>
  </si>
  <si>
    <r>
      <t>V</t>
    </r>
    <r>
      <rPr>
        <vertAlign val="subscript"/>
        <sz val="10"/>
        <rFont val="Verdana"/>
        <family val="2"/>
      </rPr>
      <t>CP</t>
    </r>
  </si>
  <si>
    <r>
      <t>k</t>
    </r>
    <r>
      <rPr>
        <vertAlign val="subscript"/>
        <sz val="8"/>
        <rFont val="Verdana"/>
        <family val="2"/>
      </rPr>
      <t>D</t>
    </r>
  </si>
  <si>
    <t>Vente des actions B</t>
  </si>
  <si>
    <t>Reproduction de structure financière</t>
  </si>
  <si>
    <t>Titres C</t>
  </si>
  <si>
    <t>Placement en cash</t>
  </si>
  <si>
    <t>Revenus sur les actions</t>
  </si>
  <si>
    <t>Revenus sur le cash</t>
  </si>
  <si>
    <t>Rentabilité du portefeuille</t>
  </si>
  <si>
    <t>Pour un même niveau de risque :</t>
  </si>
  <si>
    <t>Cash disponible</t>
  </si>
  <si>
    <t>% du portefeuille en cash</t>
  </si>
  <si>
    <t>L'arbitrage cesse lorsque les VAE des deux sociétés convergent.</t>
  </si>
  <si>
    <t>Exemple :</t>
  </si>
  <si>
    <t xml:space="preserve">pour </t>
  </si>
  <si>
    <t>PER implicite</t>
  </si>
  <si>
    <t>β FT</t>
  </si>
  <si>
    <t>β DT</t>
  </si>
  <si>
    <t>kcp FT</t>
  </si>
  <si>
    <t>kcp DT</t>
  </si>
  <si>
    <t>kd FT</t>
  </si>
  <si>
    <t>Vd/Vcp FT</t>
  </si>
  <si>
    <t>Vcp/V FT</t>
  </si>
  <si>
    <t>Vd/V FT</t>
  </si>
  <si>
    <t>k FT</t>
  </si>
  <si>
    <t>k DT</t>
  </si>
  <si>
    <t>kd DT</t>
  </si>
  <si>
    <t>Vcp/V DT</t>
  </si>
  <si>
    <t>Vd/V DT</t>
  </si>
  <si>
    <t>VAE1</t>
  </si>
  <si>
    <t>Maroc</t>
  </si>
  <si>
    <t>b. valorisation des CP et D</t>
  </si>
  <si>
    <t>c. augmentation val des CP</t>
  </si>
  <si>
    <t>-&gt; transfert de valeur du créancier vers l'actionnaire</t>
  </si>
  <si>
    <t>Option 3 : échange de tout ou partie des titres Uninet contre des titres plus risqués</t>
  </si>
  <si>
    <t>-&gt; transfert de valeur des créanciers vers les actionnaires</t>
  </si>
  <si>
    <t>VAE</t>
  </si>
  <si>
    <t>Volatilité AE</t>
  </si>
  <si>
    <t>Taux actuariel dette</t>
  </si>
  <si>
    <t>Actionnaires</t>
  </si>
  <si>
    <t>Avant</t>
  </si>
  <si>
    <t>Après</t>
  </si>
  <si>
    <t>Créanciers</t>
  </si>
  <si>
    <r>
      <t xml:space="preserve">c) </t>
    </r>
    <r>
      <rPr>
        <i/>
        <u val="single"/>
        <sz val="10"/>
        <rFont val="Verdana"/>
        <family val="2"/>
      </rPr>
      <t>Bilan de l'opération</t>
    </r>
  </si>
  <si>
    <t>Proposition sous-traitant</t>
  </si>
  <si>
    <t>Nbre de pièces/an</t>
  </si>
  <si>
    <t>Chronique de flux solution interne par rapport à solution sous-traitée</t>
  </si>
  <si>
    <t>-&gt; ça dépend effectivement du nbre de pièces produites ! (voir ci-dessous)</t>
  </si>
  <si>
    <t>Re moyen</t>
  </si>
  <si>
    <t>Moins-value de cession</t>
  </si>
  <si>
    <t>Havas Advertising</t>
  </si>
  <si>
    <t>WPP</t>
  </si>
  <si>
    <t>Offre sur Tempus</t>
  </si>
  <si>
    <t>Tempus</t>
  </si>
  <si>
    <t>Prix payé au total par WPP</t>
  </si>
  <si>
    <t>dont déjà détenu par WPP</t>
  </si>
  <si>
    <t>au prix moyen de</t>
  </si>
  <si>
    <t>Valeur attribuée par Havas</t>
  </si>
  <si>
    <t>M£</t>
  </si>
  <si>
    <t>Valeur attribuée par WPP</t>
  </si>
  <si>
    <t>Non, en raison des coûts d'opportunité dus à l'offre d'Havas Advertising</t>
  </si>
  <si>
    <t>Exercice 3 : entreprise Gassoumi</t>
  </si>
  <si>
    <t>Exercice 4 : société Rowak</t>
  </si>
  <si>
    <t>Var. bén./var.CP</t>
  </si>
  <si>
    <t>-&gt; Politique de distribution cohérente</t>
  </si>
  <si>
    <t>nouveau % de contrôle</t>
  </si>
  <si>
    <t>% contrôle initial</t>
  </si>
  <si>
    <t>% de contrôle ap detenu par actionnaire X</t>
  </si>
  <si>
    <t>% de contrôle detenu par 1 actionnaire X</t>
  </si>
  <si>
    <t>En M€</t>
  </si>
  <si>
    <t>Frais financier</t>
  </si>
  <si>
    <t>Immo inc.</t>
  </si>
  <si>
    <t>Immo corp.</t>
  </si>
  <si>
    <t>Immo fin.</t>
  </si>
  <si>
    <t>Clients et stocks</t>
  </si>
  <si>
    <t>Poids de la dette</t>
  </si>
  <si>
    <t>Capitaux propres avant opération</t>
  </si>
  <si>
    <t>Cap. bours. av. op.</t>
  </si>
  <si>
    <t>CP après op.</t>
  </si>
  <si>
    <t>Dilution réelle</t>
  </si>
  <si>
    <t>Cours de l'action</t>
  </si>
  <si>
    <t>+ Augmentation de capital en numéraire</t>
  </si>
  <si>
    <t>Indice des prix</t>
  </si>
  <si>
    <t>Production/Frais de personnel</t>
  </si>
  <si>
    <t>Résultat/capital propre</t>
  </si>
  <si>
    <t>Taux de croissance</t>
  </si>
  <si>
    <t>Frais financier/EBE</t>
  </si>
  <si>
    <t>Soldes des plus ou moins-values de cession</t>
  </si>
  <si>
    <t>mis en équivalence</t>
  </si>
  <si>
    <t>+ Résultat des sociétés mise en équivalence</t>
  </si>
  <si>
    <t>= Résultat net part du groupe</t>
  </si>
  <si>
    <t>Créances clients</t>
  </si>
  <si>
    <t>= Capacité d'autofinancement</t>
  </si>
  <si>
    <t>Croissance du CA</t>
  </si>
  <si>
    <t>Marge d'exploitation</t>
  </si>
  <si>
    <t>Marge nette</t>
  </si>
  <si>
    <t>Rentabilité économique</t>
  </si>
  <si>
    <t>Rentabilité économique après impôts</t>
  </si>
  <si>
    <t>Charges d'exploitation non maîtrisées</t>
  </si>
  <si>
    <t>en % des charges d'exploitation totales</t>
  </si>
  <si>
    <t>en % du CA</t>
  </si>
  <si>
    <t>Exposition</t>
  </si>
  <si>
    <t>Simulation crise (sur la base du CA 1999)</t>
  </si>
  <si>
    <t>Augmentation des matières premières</t>
  </si>
  <si>
    <t>Augmentation du coût de la main d'œuvre</t>
  </si>
  <si>
    <t>Incidence</t>
  </si>
  <si>
    <t>Rentabilité financière</t>
  </si>
  <si>
    <t>Hypothèse : simulation bâtie sur un chiffre d'affaires 2000 égal à celui de 1999</t>
  </si>
  <si>
    <t>Marge brute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</si>
</sst>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0.00\ _F"/>
    <numFmt numFmtId="170" formatCode="#,##0.0\ _F"/>
    <numFmt numFmtId="171" formatCode="#,##0\ _F"/>
    <numFmt numFmtId="172" formatCode="0.0%"/>
    <numFmt numFmtId="173" formatCode="0.000"/>
    <numFmt numFmtId="174" formatCode="0.0000"/>
    <numFmt numFmtId="175" formatCode="_-* #,##0\ _F_-;\-* #,##0\ _F_-;_-* &quot;-&quot;??\ _F_-;_-@_-"/>
    <numFmt numFmtId="176" formatCode="0.000%"/>
    <numFmt numFmtId="177" formatCode="0.0000%"/>
    <numFmt numFmtId="178" formatCode="0.00000%"/>
    <numFmt numFmtId="179" formatCode="#,##0\ _€"/>
    <numFmt numFmtId="180" formatCode="#,##0.0\ _€"/>
    <numFmt numFmtId="181" formatCode="#,##0.00\ _€"/>
    <numFmt numFmtId="182" formatCode="#,##0.0"/>
    <numFmt numFmtId="183" formatCode="#,##0_);\(#,##0\);&quot;-&quot;_);@_)"/>
    <numFmt numFmtId="184" formatCode="#,##0.0_);\(#,##0.0\);&quot;-&quot;_);@_)"/>
    <numFmt numFmtId="185" formatCode="0.0&quot; x&quot;"/>
    <numFmt numFmtId="186" formatCode="#,##0.000"/>
  </numFmts>
  <fonts count="64">
    <font>
      <sz val="10"/>
      <name val="Verdana"/>
      <family val="2"/>
    </font>
    <font>
      <sz val="10"/>
      <name val="Arial"/>
      <family val="0"/>
    </font>
    <font>
      <b/>
      <sz val="10"/>
      <name val="Verdana"/>
      <family val="2"/>
    </font>
    <font>
      <b/>
      <sz val="11"/>
      <name val="Verdana"/>
      <family val="2"/>
    </font>
    <font>
      <sz val="8"/>
      <name val="Verdana"/>
      <family val="2"/>
    </font>
    <font>
      <b/>
      <i/>
      <sz val="10"/>
      <name val="Verdana"/>
      <family val="2"/>
    </font>
    <font>
      <sz val="8"/>
      <color indexed="55"/>
      <name val="Verdana"/>
      <family val="2"/>
    </font>
    <font>
      <b/>
      <u val="single"/>
      <sz val="10"/>
      <name val="Verdana"/>
      <family val="2"/>
    </font>
    <font>
      <u val="single"/>
      <sz val="10"/>
      <name val="Verdana"/>
      <family val="2"/>
    </font>
    <font>
      <i/>
      <sz val="10"/>
      <name val="Verdana"/>
      <family val="2"/>
    </font>
    <font>
      <b/>
      <sz val="10"/>
      <color indexed="12"/>
      <name val="Verdana"/>
      <family val="2"/>
    </font>
    <font>
      <b/>
      <sz val="8"/>
      <color indexed="12"/>
      <name val="Verdana"/>
      <family val="2"/>
    </font>
    <font>
      <b/>
      <sz val="8"/>
      <name val="Verdana"/>
      <family val="2"/>
    </font>
    <font>
      <b/>
      <sz val="7"/>
      <name val="Verdana"/>
      <family val="2"/>
    </font>
    <font>
      <sz val="10"/>
      <color indexed="12"/>
      <name val="Verdana"/>
      <family val="2"/>
    </font>
    <font>
      <sz val="9"/>
      <name val="Arial"/>
      <family val="0"/>
    </font>
    <font>
      <sz val="9.75"/>
      <name val="Arial"/>
      <family val="0"/>
    </font>
    <font>
      <b/>
      <sz val="9.75"/>
      <name val="Arial"/>
      <family val="0"/>
    </font>
    <font>
      <u val="single"/>
      <sz val="10"/>
      <color indexed="12"/>
      <name val="Verdana"/>
      <family val="2"/>
    </font>
    <font>
      <u val="single"/>
      <sz val="10"/>
      <color indexed="36"/>
      <name val="Verdana"/>
      <family val="2"/>
    </font>
    <font>
      <sz val="8"/>
      <name val="Arial"/>
      <family val="0"/>
    </font>
    <font>
      <sz val="8.5"/>
      <name val="Arial"/>
      <family val="0"/>
    </font>
    <font>
      <b/>
      <sz val="8"/>
      <name val="Arial"/>
      <family val="0"/>
    </font>
    <font>
      <b/>
      <sz val="8.5"/>
      <name val="Arial"/>
      <family val="0"/>
    </font>
    <font>
      <sz val="10"/>
      <color indexed="55"/>
      <name val="Verdana"/>
      <family val="2"/>
    </font>
    <font>
      <sz val="6"/>
      <name val="Arial"/>
      <family val="2"/>
    </font>
    <font>
      <sz val="8.25"/>
      <name val="Arial"/>
      <family val="0"/>
    </font>
    <font>
      <b/>
      <sz val="8.25"/>
      <name val="Arial"/>
      <family val="0"/>
    </font>
    <font>
      <sz val="4.5"/>
      <name val="Arial"/>
      <family val="2"/>
    </font>
    <font>
      <sz val="5.25"/>
      <name val="Arial"/>
      <family val="2"/>
    </font>
    <font>
      <sz val="5.5"/>
      <name val="Arial"/>
      <family val="2"/>
    </font>
    <font>
      <i/>
      <sz val="8"/>
      <name val="Verdana"/>
      <family val="2"/>
    </font>
    <font>
      <b/>
      <sz val="11.25"/>
      <name val="Arial"/>
      <family val="0"/>
    </font>
    <font>
      <b/>
      <sz val="9.5"/>
      <name val="Arial"/>
      <family val="0"/>
    </font>
    <font>
      <sz val="9.5"/>
      <name val="Arial"/>
      <family val="0"/>
    </font>
    <font>
      <sz val="10.25"/>
      <name val="Arial"/>
      <family val="0"/>
    </font>
    <font>
      <b/>
      <sz val="10.25"/>
      <name val="Arial"/>
      <family val="0"/>
    </font>
    <font>
      <b/>
      <sz val="1.75"/>
      <name val="Arial"/>
      <family val="0"/>
    </font>
    <font>
      <b/>
      <sz val="1.5"/>
      <name val="Arial"/>
      <family val="0"/>
    </font>
    <font>
      <sz val="1.5"/>
      <name val="Arial"/>
      <family val="0"/>
    </font>
    <font>
      <b/>
      <u val="single"/>
      <sz val="8"/>
      <name val="Verdana"/>
      <family val="2"/>
    </font>
    <font>
      <b/>
      <sz val="10"/>
      <color indexed="55"/>
      <name val="Verdana"/>
      <family val="2"/>
    </font>
    <font>
      <sz val="2.5"/>
      <name val="Arial"/>
      <family val="0"/>
    </font>
    <font>
      <b/>
      <sz val="2.5"/>
      <name val="Arial"/>
      <family val="0"/>
    </font>
    <font>
      <i/>
      <u val="single"/>
      <sz val="10"/>
      <name val="Verdana"/>
      <family val="2"/>
    </font>
    <font>
      <i/>
      <sz val="10"/>
      <color indexed="53"/>
      <name val="Verdana"/>
      <family val="2"/>
    </font>
    <font>
      <sz val="5.75"/>
      <name val="Arial"/>
      <family val="0"/>
    </font>
    <font>
      <b/>
      <sz val="5.75"/>
      <name val="Arial"/>
      <family val="0"/>
    </font>
    <font>
      <sz val="9"/>
      <name val="Verdana"/>
      <family val="2"/>
    </font>
    <font>
      <b/>
      <sz val="9"/>
      <name val="Verdana"/>
      <family val="2"/>
    </font>
    <font>
      <b/>
      <sz val="10"/>
      <color indexed="8"/>
      <name val="Verdana"/>
      <family val="2"/>
    </font>
    <font>
      <sz val="10"/>
      <color indexed="8"/>
      <name val="Verdana"/>
      <family val="2"/>
    </font>
    <font>
      <b/>
      <sz val="14"/>
      <name val="Verdana"/>
      <family val="2"/>
    </font>
    <font>
      <b/>
      <sz val="8"/>
      <color indexed="10"/>
      <name val="Verdana"/>
      <family val="2"/>
    </font>
    <font>
      <sz val="10"/>
      <color indexed="10"/>
      <name val="Verdana"/>
      <family val="2"/>
    </font>
    <font>
      <i/>
      <sz val="9"/>
      <name val="Verdana"/>
      <family val="2"/>
    </font>
    <font>
      <u val="single"/>
      <sz val="9.25"/>
      <name val="Arial"/>
      <family val="2"/>
    </font>
    <font>
      <sz val="11"/>
      <name val="Verdana"/>
      <family val="2"/>
    </font>
    <font>
      <vertAlign val="subscript"/>
      <sz val="10"/>
      <name val="Verdana"/>
      <family val="2"/>
    </font>
    <font>
      <vertAlign val="subscript"/>
      <sz val="8"/>
      <name val="Verdana"/>
      <family val="2"/>
    </font>
    <font>
      <sz val="8"/>
      <color indexed="12"/>
      <name val="Verdana"/>
      <family val="2"/>
    </font>
    <font>
      <b/>
      <sz val="10"/>
      <color indexed="10"/>
      <name val="Verdana"/>
      <family val="2"/>
    </font>
    <font>
      <sz val="8"/>
      <name val="Tahoma"/>
      <family val="2"/>
    </font>
    <font>
      <sz val="10"/>
      <color indexed="8"/>
      <name val="Arial"/>
      <family val="2"/>
    </font>
  </fonts>
  <fills count="3">
    <fill>
      <patternFill/>
    </fill>
    <fill>
      <patternFill patternType="gray125"/>
    </fill>
    <fill>
      <patternFill patternType="solid">
        <fgColor indexed="22"/>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5" fillId="0" borderId="0">
      <alignment vertical="top"/>
      <protection/>
    </xf>
    <xf numFmtId="0" fontId="18" fillId="0" borderId="0" applyNumberFormat="0" applyFill="0" applyBorder="0" applyAlignment="0" applyProtection="0"/>
    <xf numFmtId="0" fontId="19"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protection/>
    </xf>
    <xf numFmtId="0" fontId="3" fillId="0" borderId="0">
      <alignment vertical="top"/>
      <protection/>
    </xf>
    <xf numFmtId="0" fontId="44" fillId="0" borderId="0">
      <alignment vertical="top"/>
      <protection/>
    </xf>
    <xf numFmtId="0" fontId="0" fillId="0" borderId="0">
      <alignment vertical="top" wrapText="1"/>
      <protection/>
    </xf>
  </cellStyleXfs>
  <cellXfs count="440">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center" vertical="top"/>
    </xf>
    <xf numFmtId="17" fontId="2" fillId="0" borderId="0" xfId="0" applyNumberFormat="1" applyFont="1" applyAlignment="1">
      <alignment horizontal="center" vertical="top"/>
    </xf>
    <xf numFmtId="2" fontId="0" fillId="0" borderId="0" xfId="0" applyNumberFormat="1" applyAlignment="1">
      <alignment vertical="top"/>
    </xf>
    <xf numFmtId="2" fontId="0" fillId="0" borderId="1" xfId="0" applyNumberFormat="1" applyBorder="1" applyAlignment="1">
      <alignment vertical="top" wrapText="1"/>
    </xf>
    <xf numFmtId="2" fontId="0" fillId="0" borderId="2" xfId="0" applyNumberFormat="1" applyBorder="1" applyAlignment="1">
      <alignment vertical="top" wrapText="1"/>
    </xf>
    <xf numFmtId="2" fontId="0" fillId="0" borderId="3" xfId="0" applyNumberFormat="1" applyBorder="1" applyAlignment="1">
      <alignment vertical="top" wrapText="1"/>
    </xf>
    <xf numFmtId="0" fontId="4" fillId="0" borderId="0" xfId="0" applyFont="1" applyAlignment="1">
      <alignment horizontal="left" vertical="top" wrapText="1" indent="1"/>
    </xf>
    <xf numFmtId="2" fontId="4" fillId="0" borderId="2" xfId="0" applyNumberFormat="1" applyFont="1" applyBorder="1" applyAlignment="1">
      <alignment vertical="top" wrapText="1"/>
    </xf>
    <xf numFmtId="2" fontId="4" fillId="0" borderId="0" xfId="0" applyNumberFormat="1" applyFont="1" applyAlignment="1">
      <alignment vertical="top"/>
    </xf>
    <xf numFmtId="0" fontId="4" fillId="0" borderId="0" xfId="0" applyFont="1" applyAlignment="1">
      <alignment vertical="top"/>
    </xf>
    <xf numFmtId="0" fontId="2" fillId="0" borderId="0" xfId="0" applyNumberFormat="1" applyFont="1" applyAlignment="1">
      <alignment horizontal="center" vertical="top"/>
    </xf>
    <xf numFmtId="0" fontId="0" fillId="0" borderId="0" xfId="0" applyFont="1" applyAlignment="1">
      <alignment vertical="top" wrapText="1"/>
    </xf>
    <xf numFmtId="0" fontId="0" fillId="0" borderId="0" xfId="0" applyNumberFormat="1" applyAlignment="1">
      <alignment vertical="top"/>
    </xf>
    <xf numFmtId="2" fontId="0" fillId="0" borderId="1" xfId="0" applyNumberFormat="1" applyBorder="1" applyAlignment="1">
      <alignment vertical="top"/>
    </xf>
    <xf numFmtId="2" fontId="0" fillId="0" borderId="2" xfId="0" applyNumberFormat="1" applyBorder="1" applyAlignment="1">
      <alignment vertical="top"/>
    </xf>
    <xf numFmtId="2" fontId="0" fillId="0" borderId="3" xfId="0" applyNumberFormat="1" applyBorder="1" applyAlignment="1">
      <alignment vertical="top"/>
    </xf>
    <xf numFmtId="0" fontId="3" fillId="0" borderId="0" xfId="24">
      <alignment vertical="top"/>
      <protection/>
    </xf>
    <xf numFmtId="0" fontId="5" fillId="0" borderId="0" xfId="0" applyFont="1" applyAlignment="1">
      <alignment vertical="top"/>
    </xf>
    <xf numFmtId="0" fontId="4" fillId="0" borderId="0" xfId="0" applyFont="1" applyAlignment="1">
      <alignment horizontal="left" vertical="top" indent="1"/>
    </xf>
    <xf numFmtId="169" fontId="0" fillId="0" borderId="0" xfId="0" applyNumberFormat="1" applyAlignment="1">
      <alignment vertical="top"/>
    </xf>
    <xf numFmtId="169" fontId="4" fillId="0" borderId="0" xfId="0" applyNumberFormat="1" applyFont="1" applyAlignment="1">
      <alignment vertical="top"/>
    </xf>
    <xf numFmtId="9" fontId="0" fillId="0" borderId="0" xfId="22" applyAlignment="1">
      <alignment vertical="top"/>
    </xf>
    <xf numFmtId="0" fontId="6" fillId="0" borderId="0" xfId="0" applyFont="1" applyAlignment="1">
      <alignment horizontal="left" vertical="top" indent="1"/>
    </xf>
    <xf numFmtId="169" fontId="6" fillId="0" borderId="0" xfId="0" applyNumberFormat="1" applyFont="1" applyAlignment="1">
      <alignment vertical="top"/>
    </xf>
    <xf numFmtId="0" fontId="6" fillId="0" borderId="0" xfId="0" applyFont="1" applyAlignment="1">
      <alignment vertical="top"/>
    </xf>
    <xf numFmtId="0" fontId="7" fillId="0" borderId="0" xfId="0" applyFont="1" applyAlignment="1">
      <alignment vertical="top" wrapText="1"/>
    </xf>
    <xf numFmtId="0" fontId="0" fillId="0" borderId="0" xfId="0" applyAlignment="1" quotePrefix="1">
      <alignment vertical="top"/>
    </xf>
    <xf numFmtId="0" fontId="7" fillId="0" borderId="0" xfId="0" applyFont="1" applyAlignment="1">
      <alignment vertical="top"/>
    </xf>
    <xf numFmtId="0" fontId="2" fillId="0" borderId="4" xfId="0" applyFont="1" applyBorder="1" applyAlignment="1">
      <alignment vertical="top" wrapText="1"/>
    </xf>
    <xf numFmtId="0" fontId="0" fillId="0" borderId="4" xfId="0" applyBorder="1" applyAlignment="1">
      <alignment vertical="top"/>
    </xf>
    <xf numFmtId="0" fontId="0" fillId="0" borderId="0" xfId="0" applyAlignment="1" quotePrefix="1">
      <alignment vertical="top" wrapText="1"/>
    </xf>
    <xf numFmtId="0" fontId="2" fillId="0" borderId="0" xfId="0" applyFont="1" applyAlignment="1" quotePrefix="1">
      <alignment vertical="top" wrapText="1"/>
    </xf>
    <xf numFmtId="0" fontId="2" fillId="0" borderId="4" xfId="0" applyFont="1" applyBorder="1" applyAlignment="1" quotePrefix="1">
      <alignment vertical="top" wrapText="1"/>
    </xf>
    <xf numFmtId="0" fontId="2" fillId="0" borderId="4" xfId="0" applyFont="1" applyBorder="1" applyAlignment="1" quotePrefix="1">
      <alignment vertical="top"/>
    </xf>
    <xf numFmtId="169" fontId="0" fillId="0" borderId="4" xfId="0" applyNumberFormat="1" applyBorder="1" applyAlignment="1">
      <alignment vertical="top"/>
    </xf>
    <xf numFmtId="169" fontId="0" fillId="0" borderId="0" xfId="0" applyNumberFormat="1" applyAlignment="1">
      <alignment vertical="top" wrapText="1"/>
    </xf>
    <xf numFmtId="169" fontId="2" fillId="0" borderId="0" xfId="0" applyNumberFormat="1" applyFont="1" applyAlignment="1">
      <alignment vertical="top"/>
    </xf>
    <xf numFmtId="0" fontId="3" fillId="0" borderId="0" xfId="24" applyFont="1">
      <alignment vertical="top"/>
      <protection/>
    </xf>
    <xf numFmtId="2" fontId="4" fillId="0" borderId="0" xfId="0" applyNumberFormat="1" applyFont="1" applyBorder="1" applyAlignment="1">
      <alignment vertical="top" wrapText="1"/>
    </xf>
    <xf numFmtId="171" fontId="2" fillId="0" borderId="0" xfId="0" applyNumberFormat="1" applyFont="1" applyAlignment="1">
      <alignment horizontal="center" vertical="top"/>
    </xf>
    <xf numFmtId="169" fontId="4" fillId="0" borderId="0" xfId="0" applyNumberFormat="1" applyFont="1" applyAlignment="1">
      <alignment horizontal="left" vertical="top" wrapText="1" indent="1"/>
    </xf>
    <xf numFmtId="169" fontId="4" fillId="0" borderId="0" xfId="0" applyNumberFormat="1" applyFont="1" applyBorder="1" applyAlignment="1">
      <alignment vertical="top" wrapText="1"/>
    </xf>
    <xf numFmtId="0" fontId="2" fillId="0" borderId="0" xfId="0" applyFont="1" applyAlignment="1" quotePrefix="1">
      <alignment vertical="top"/>
    </xf>
    <xf numFmtId="9" fontId="0" fillId="0" borderId="0" xfId="0" applyNumberFormat="1" applyAlignment="1">
      <alignment vertical="top"/>
    </xf>
    <xf numFmtId="0" fontId="0" fillId="0" borderId="4" xfId="0" applyFont="1" applyBorder="1" applyAlignment="1">
      <alignment vertical="top"/>
    </xf>
    <xf numFmtId="0" fontId="0" fillId="0" borderId="5" xfId="0" applyBorder="1" applyAlignment="1">
      <alignment vertical="top"/>
    </xf>
    <xf numFmtId="169" fontId="0" fillId="0" borderId="0" xfId="0" applyNumberFormat="1" applyFont="1" applyAlignment="1">
      <alignment vertical="top"/>
    </xf>
    <xf numFmtId="169" fontId="0" fillId="0" borderId="5" xfId="0" applyNumberFormat="1" applyBorder="1" applyAlignment="1">
      <alignment vertical="top"/>
    </xf>
    <xf numFmtId="169" fontId="11" fillId="0" borderId="0" xfId="0" applyNumberFormat="1" applyFont="1" applyAlignment="1">
      <alignment vertical="top"/>
    </xf>
    <xf numFmtId="0" fontId="2" fillId="0" borderId="4" xfId="0" applyFont="1" applyBorder="1" applyAlignment="1">
      <alignment horizontal="center" vertical="top"/>
    </xf>
    <xf numFmtId="0" fontId="0" fillId="0" borderId="6" xfId="0" applyBorder="1" applyAlignment="1">
      <alignment vertical="top"/>
    </xf>
    <xf numFmtId="0" fontId="0" fillId="0" borderId="0" xfId="0" applyBorder="1" applyAlignment="1">
      <alignment vertical="top"/>
    </xf>
    <xf numFmtId="0" fontId="0" fillId="0" borderId="7" xfId="0" applyBorder="1" applyAlignment="1">
      <alignment vertical="top" wrapText="1"/>
    </xf>
    <xf numFmtId="0" fontId="2" fillId="0" borderId="0" xfId="0" applyFont="1" applyBorder="1" applyAlignment="1">
      <alignment vertical="top"/>
    </xf>
    <xf numFmtId="0" fontId="2" fillId="0" borderId="8" xfId="0" applyFont="1" applyBorder="1" applyAlignment="1">
      <alignment vertical="top" wrapText="1"/>
    </xf>
    <xf numFmtId="0" fontId="2" fillId="0" borderId="4" xfId="0" applyFont="1" applyBorder="1" applyAlignment="1">
      <alignment vertical="top"/>
    </xf>
    <xf numFmtId="0" fontId="0" fillId="0" borderId="5" xfId="0" applyBorder="1" applyAlignment="1" quotePrefix="1">
      <alignment vertical="top" wrapText="1"/>
    </xf>
    <xf numFmtId="0" fontId="0" fillId="0" borderId="9" xfId="0" applyBorder="1" applyAlignment="1" quotePrefix="1">
      <alignment vertical="top" wrapText="1"/>
    </xf>
    <xf numFmtId="0" fontId="2" fillId="0" borderId="8" xfId="0" applyFont="1" applyBorder="1" applyAlignment="1" quotePrefix="1">
      <alignment vertical="top" wrapText="1"/>
    </xf>
    <xf numFmtId="0" fontId="2" fillId="0" borderId="5" xfId="0" applyFont="1" applyBorder="1" applyAlignment="1" quotePrefix="1">
      <alignment vertical="top" wrapText="1"/>
    </xf>
    <xf numFmtId="169" fontId="0" fillId="0" borderId="0" xfId="0" applyNumberFormat="1" applyBorder="1" applyAlignment="1">
      <alignment vertical="top"/>
    </xf>
    <xf numFmtId="169" fontId="2" fillId="0" borderId="4" xfId="0" applyNumberFormat="1" applyFont="1" applyBorder="1" applyAlignment="1">
      <alignment vertical="top"/>
    </xf>
    <xf numFmtId="169" fontId="2" fillId="0" borderId="10" xfId="0" applyNumberFormat="1" applyFont="1" applyBorder="1" applyAlignment="1">
      <alignment vertical="top"/>
    </xf>
    <xf numFmtId="0" fontId="0" fillId="0" borderId="11" xfId="0" applyBorder="1" applyAlignment="1">
      <alignment vertical="top"/>
    </xf>
    <xf numFmtId="0" fontId="2" fillId="0" borderId="9" xfId="0" applyFont="1" applyBorder="1" applyAlignment="1" quotePrefix="1">
      <alignment vertical="top" wrapText="1"/>
    </xf>
    <xf numFmtId="169" fontId="2" fillId="0" borderId="0" xfId="0" applyNumberFormat="1" applyFont="1" applyBorder="1" applyAlignment="1">
      <alignment vertical="top"/>
    </xf>
    <xf numFmtId="169" fontId="10" fillId="0" borderId="0" xfId="0" applyNumberFormat="1" applyFont="1" applyBorder="1" applyAlignment="1">
      <alignment vertical="top"/>
    </xf>
    <xf numFmtId="0" fontId="0" fillId="0" borderId="10" xfId="0" applyBorder="1" applyAlignment="1">
      <alignment vertical="top"/>
    </xf>
    <xf numFmtId="11" fontId="0" fillId="0" borderId="0" xfId="0" applyNumberFormat="1" applyAlignment="1">
      <alignment vertical="top"/>
    </xf>
    <xf numFmtId="0" fontId="0" fillId="0" borderId="9" xfId="0" applyBorder="1" applyAlignment="1">
      <alignment vertical="top"/>
    </xf>
    <xf numFmtId="0" fontId="2" fillId="0" borderId="10" xfId="0" applyFont="1" applyBorder="1" applyAlignment="1">
      <alignment horizontal="center" vertical="top"/>
    </xf>
    <xf numFmtId="171" fontId="0" fillId="0" borderId="0" xfId="0" applyNumberFormat="1" applyAlignment="1">
      <alignment vertical="top"/>
    </xf>
    <xf numFmtId="0" fontId="4" fillId="0" borderId="0" xfId="0" applyFont="1" applyAlignment="1">
      <alignment horizontal="center" vertical="top" wrapText="1"/>
    </xf>
    <xf numFmtId="171" fontId="2" fillId="0" borderId="0" xfId="0" applyNumberFormat="1" applyFont="1" applyAlignment="1">
      <alignment vertical="top"/>
    </xf>
    <xf numFmtId="0" fontId="0" fillId="0" borderId="0" xfId="0" applyFont="1" applyAlignment="1">
      <alignment vertical="top"/>
    </xf>
    <xf numFmtId="172" fontId="0" fillId="0" borderId="0" xfId="22" applyNumberFormat="1" applyAlignment="1">
      <alignment vertical="top"/>
    </xf>
    <xf numFmtId="170" fontId="0" fillId="0" borderId="0" xfId="0" applyNumberFormat="1" applyAlignment="1">
      <alignment vertical="top"/>
    </xf>
    <xf numFmtId="171" fontId="2" fillId="0" borderId="4" xfId="0" applyNumberFormat="1" applyFont="1" applyBorder="1" applyAlignment="1">
      <alignment vertical="top"/>
    </xf>
    <xf numFmtId="0" fontId="2" fillId="0" borderId="0" xfId="0" applyFont="1" applyBorder="1" applyAlignment="1">
      <alignment horizontal="center" vertical="top"/>
    </xf>
    <xf numFmtId="170" fontId="4" fillId="0" borderId="0" xfId="0" applyNumberFormat="1" applyFont="1" applyAlignment="1">
      <alignment vertical="top"/>
    </xf>
    <xf numFmtId="170" fontId="0" fillId="0" borderId="4" xfId="0" applyNumberFormat="1" applyBorder="1" applyAlignment="1">
      <alignment vertical="top"/>
    </xf>
    <xf numFmtId="170" fontId="0" fillId="0" borderId="0" xfId="0" applyNumberFormat="1" applyFill="1" applyBorder="1" applyAlignment="1">
      <alignment vertical="top"/>
    </xf>
    <xf numFmtId="0" fontId="12" fillId="0" borderId="0" xfId="0" applyFont="1" applyAlignment="1">
      <alignment horizontal="center" vertical="top" wrapText="1"/>
    </xf>
    <xf numFmtId="168" fontId="0" fillId="0" borderId="0" xfId="0" applyNumberFormat="1" applyAlignment="1">
      <alignment vertical="top"/>
    </xf>
    <xf numFmtId="0" fontId="4" fillId="0" borderId="0" xfId="0" applyNumberFormat="1" applyFont="1" applyAlignment="1">
      <alignment vertical="top"/>
    </xf>
    <xf numFmtId="0" fontId="2" fillId="0" borderId="0" xfId="0" applyFont="1" applyAlignment="1">
      <alignment horizontal="right" vertical="top"/>
    </xf>
    <xf numFmtId="0" fontId="4" fillId="0" borderId="0" xfId="0" applyFont="1" applyAlignment="1">
      <alignment horizontal="center" vertical="top"/>
    </xf>
    <xf numFmtId="9" fontId="4" fillId="0" borderId="0" xfId="22" applyFont="1" applyAlignment="1">
      <alignment vertical="top"/>
    </xf>
    <xf numFmtId="9" fontId="0" fillId="0" borderId="4" xfId="22" applyBorder="1" applyAlignment="1">
      <alignment vertical="top"/>
    </xf>
    <xf numFmtId="0" fontId="10" fillId="0" borderId="0" xfId="0" applyFont="1" applyAlignment="1">
      <alignment vertical="top"/>
    </xf>
    <xf numFmtId="0" fontId="13" fillId="0" borderId="0" xfId="0" applyFont="1" applyAlignment="1">
      <alignment horizontal="center" vertical="top" wrapText="1"/>
    </xf>
    <xf numFmtId="10" fontId="0" fillId="0" borderId="0" xfId="0" applyNumberFormat="1" applyAlignment="1">
      <alignment vertical="top"/>
    </xf>
    <xf numFmtId="10" fontId="0" fillId="0" borderId="0" xfId="22" applyNumberFormat="1" applyAlignment="1">
      <alignment vertical="top"/>
    </xf>
    <xf numFmtId="0" fontId="9" fillId="0" borderId="0" xfId="0" applyFont="1" applyAlignment="1">
      <alignment vertical="top"/>
    </xf>
    <xf numFmtId="170" fontId="9" fillId="0" borderId="0" xfId="0" applyNumberFormat="1" applyFont="1" applyAlignment="1">
      <alignment vertical="top"/>
    </xf>
    <xf numFmtId="172" fontId="0" fillId="0" borderId="0" xfId="0" applyNumberFormat="1" applyAlignment="1">
      <alignment vertical="top"/>
    </xf>
    <xf numFmtId="10" fontId="2" fillId="0" borderId="0" xfId="0" applyNumberFormat="1" applyFont="1" applyAlignment="1">
      <alignment vertical="top"/>
    </xf>
    <xf numFmtId="2" fontId="0" fillId="0" borderId="4" xfId="18" applyNumberFormat="1" applyBorder="1" applyAlignment="1">
      <alignment vertical="top"/>
    </xf>
    <xf numFmtId="0" fontId="2" fillId="0" borderId="10" xfId="0" applyFont="1" applyBorder="1" applyAlignment="1">
      <alignment vertical="top"/>
    </xf>
    <xf numFmtId="170" fontId="2" fillId="0" borderId="0" xfId="0" applyNumberFormat="1" applyFont="1" applyAlignment="1">
      <alignment vertical="top"/>
    </xf>
    <xf numFmtId="170" fontId="0" fillId="0" borderId="0" xfId="0" applyNumberFormat="1" applyFont="1" applyAlignment="1">
      <alignment vertical="top"/>
    </xf>
    <xf numFmtId="0" fontId="0" fillId="0" borderId="0" xfId="0" applyAlignment="1">
      <alignment horizontal="right" vertical="top"/>
    </xf>
    <xf numFmtId="10" fontId="2" fillId="0" borderId="0" xfId="22" applyNumberFormat="1" applyFont="1" applyAlignment="1">
      <alignment vertical="top"/>
    </xf>
    <xf numFmtId="0" fontId="3" fillId="0" borderId="0" xfId="24" applyAlignment="1">
      <alignment vertical="top"/>
      <protection/>
    </xf>
    <xf numFmtId="0" fontId="2" fillId="0" borderId="10" xfId="0" applyFont="1" applyBorder="1" applyAlignment="1">
      <alignment vertical="top" wrapText="1"/>
    </xf>
    <xf numFmtId="0" fontId="2" fillId="0" borderId="10" xfId="0" applyFont="1" applyBorder="1" applyAlignment="1">
      <alignment horizontal="right" vertical="top"/>
    </xf>
    <xf numFmtId="0" fontId="0" fillId="0" borderId="0" xfId="0" applyFont="1" applyAlignment="1" quotePrefix="1">
      <alignment vertical="top"/>
    </xf>
    <xf numFmtId="2" fontId="0" fillId="0" borderId="4" xfId="0" applyNumberFormat="1" applyBorder="1" applyAlignment="1">
      <alignment vertical="top"/>
    </xf>
    <xf numFmtId="173" fontId="0" fillId="0" borderId="0" xfId="0" applyNumberFormat="1" applyAlignment="1">
      <alignment vertical="top"/>
    </xf>
    <xf numFmtId="0" fontId="3" fillId="0" borderId="0" xfId="24" applyFont="1" applyAlignment="1">
      <alignment vertical="top"/>
      <protection/>
    </xf>
    <xf numFmtId="0" fontId="2" fillId="0" borderId="0" xfId="0" applyFont="1" applyBorder="1" applyAlignment="1">
      <alignment vertical="top" wrapText="1"/>
    </xf>
    <xf numFmtId="0" fontId="2" fillId="0" borderId="9" xfId="0" applyFont="1" applyBorder="1" applyAlignment="1">
      <alignment vertical="top"/>
    </xf>
    <xf numFmtId="9" fontId="0" fillId="0" borderId="0" xfId="0" applyNumberFormat="1" applyBorder="1" applyAlignment="1">
      <alignment vertical="top"/>
    </xf>
    <xf numFmtId="170" fontId="0" fillId="0" borderId="0" xfId="0" applyNumberFormat="1" applyBorder="1" applyAlignment="1">
      <alignment vertical="top"/>
    </xf>
    <xf numFmtId="0" fontId="0" fillId="0" borderId="0" xfId="0" applyAlignment="1">
      <alignment horizontal="center" vertical="top"/>
    </xf>
    <xf numFmtId="9" fontId="0" fillId="0" borderId="0" xfId="22" applyAlignment="1">
      <alignment horizontal="center" vertical="top"/>
    </xf>
    <xf numFmtId="1" fontId="0" fillId="0" borderId="0" xfId="0" applyNumberFormat="1" applyAlignment="1">
      <alignment vertical="top"/>
    </xf>
    <xf numFmtId="167" fontId="0" fillId="0" borderId="0" xfId="18" applyAlignment="1">
      <alignment vertical="top"/>
    </xf>
    <xf numFmtId="0" fontId="0" fillId="0" borderId="0" xfId="18" applyNumberFormat="1" applyAlignment="1">
      <alignment vertical="top"/>
    </xf>
    <xf numFmtId="173" fontId="0" fillId="0" borderId="0" xfId="18" applyNumberFormat="1" applyAlignment="1">
      <alignment vertical="top"/>
    </xf>
    <xf numFmtId="176" fontId="0" fillId="0" borderId="0" xfId="22" applyNumberFormat="1" applyAlignment="1">
      <alignment vertical="top"/>
    </xf>
    <xf numFmtId="177" fontId="0" fillId="0" borderId="0" xfId="22" applyNumberFormat="1" applyAlignment="1">
      <alignment vertical="top"/>
    </xf>
    <xf numFmtId="0" fontId="6" fillId="0" borderId="0" xfId="0" applyFont="1" applyAlignment="1">
      <alignment horizontal="center" vertical="top" wrapText="1"/>
    </xf>
    <xf numFmtId="169" fontId="24" fillId="0" borderId="0" xfId="0" applyNumberFormat="1" applyFont="1" applyAlignment="1">
      <alignment vertical="top"/>
    </xf>
    <xf numFmtId="0" fontId="0" fillId="0" borderId="0" xfId="0" applyFont="1" applyAlignment="1">
      <alignment horizontal="center" vertical="top"/>
    </xf>
    <xf numFmtId="10" fontId="4" fillId="0" borderId="0" xfId="22" applyNumberFormat="1" applyFont="1" applyAlignment="1">
      <alignment vertical="top"/>
    </xf>
    <xf numFmtId="172" fontId="2" fillId="0" borderId="0" xfId="22" applyNumberFormat="1" applyFont="1" applyAlignment="1">
      <alignment vertical="top"/>
    </xf>
    <xf numFmtId="0" fontId="8" fillId="0" borderId="0" xfId="0" applyFont="1" applyAlignment="1">
      <alignment vertical="top"/>
    </xf>
    <xf numFmtId="167" fontId="0" fillId="0" borderId="5" xfId="18" applyBorder="1" applyAlignment="1">
      <alignment vertical="top"/>
    </xf>
    <xf numFmtId="172" fontId="0" fillId="0" borderId="5" xfId="0" applyNumberFormat="1" applyBorder="1" applyAlignment="1">
      <alignment vertical="top"/>
    </xf>
    <xf numFmtId="0" fontId="0" fillId="0" borderId="5" xfId="0" applyBorder="1" applyAlignment="1">
      <alignment horizontal="center" vertical="top"/>
    </xf>
    <xf numFmtId="0" fontId="4" fillId="0" borderId="4" xfId="0" applyFont="1" applyBorder="1" applyAlignment="1">
      <alignment horizontal="center" vertical="top" wrapText="1"/>
    </xf>
    <xf numFmtId="0" fontId="4" fillId="0" borderId="9" xfId="0" applyFont="1" applyBorder="1" applyAlignment="1">
      <alignment horizontal="center" vertical="top" wrapText="1"/>
    </xf>
    <xf numFmtId="175" fontId="0" fillId="0" borderId="0" xfId="18" applyNumberFormat="1" applyAlignment="1">
      <alignment vertical="top"/>
    </xf>
    <xf numFmtId="0" fontId="4" fillId="0" borderId="4" xfId="0" applyFont="1" applyFill="1" applyBorder="1" applyAlignment="1">
      <alignment horizontal="center" vertical="top" wrapText="1"/>
    </xf>
    <xf numFmtId="175" fontId="2" fillId="0" borderId="0" xfId="0" applyNumberFormat="1" applyFont="1" applyAlignment="1">
      <alignment vertical="top"/>
    </xf>
    <xf numFmtId="168" fontId="2" fillId="0" borderId="0" xfId="0" applyNumberFormat="1" applyFont="1" applyAlignment="1">
      <alignment vertical="top"/>
    </xf>
    <xf numFmtId="39" fontId="0" fillId="0" borderId="0" xfId="18" applyNumberFormat="1" applyAlignment="1">
      <alignment vertical="top"/>
    </xf>
    <xf numFmtId="0" fontId="0" fillId="0" borderId="4" xfId="0" applyBorder="1" applyAlignment="1">
      <alignment horizontal="center" vertical="top"/>
    </xf>
    <xf numFmtId="0" fontId="0" fillId="0" borderId="9" xfId="0" applyBorder="1" applyAlignment="1">
      <alignment horizontal="center" vertical="top"/>
    </xf>
    <xf numFmtId="0" fontId="0" fillId="0" borderId="4" xfId="0" applyBorder="1" applyAlignment="1">
      <alignment vertical="top" wrapText="1"/>
    </xf>
    <xf numFmtId="0" fontId="0" fillId="0" borderId="0" xfId="0" applyFill="1" applyBorder="1" applyAlignment="1">
      <alignment vertical="top" wrapText="1"/>
    </xf>
    <xf numFmtId="176" fontId="0" fillId="0" borderId="0" xfId="0" applyNumberFormat="1" applyAlignment="1">
      <alignment vertical="top"/>
    </xf>
    <xf numFmtId="14" fontId="0" fillId="0" borderId="0" xfId="0" applyNumberFormat="1" applyAlignment="1">
      <alignment vertical="top"/>
    </xf>
    <xf numFmtId="176" fontId="2" fillId="0" borderId="0" xfId="22" applyNumberFormat="1" applyFont="1" applyAlignment="1">
      <alignment vertical="top"/>
    </xf>
    <xf numFmtId="176" fontId="0" fillId="0" borderId="0" xfId="22" applyNumberFormat="1" applyFont="1" applyAlignment="1">
      <alignment vertical="top"/>
    </xf>
    <xf numFmtId="177" fontId="2" fillId="0" borderId="0" xfId="22" applyNumberFormat="1" applyFont="1" applyAlignment="1">
      <alignment vertical="top"/>
    </xf>
    <xf numFmtId="173" fontId="2" fillId="0" borderId="0" xfId="0" applyNumberFormat="1" applyFont="1" applyAlignment="1">
      <alignment vertical="top"/>
    </xf>
    <xf numFmtId="15" fontId="0" fillId="0" borderId="0" xfId="0" applyNumberFormat="1" applyAlignment="1">
      <alignment horizontal="center" vertical="top"/>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10" fontId="0" fillId="0" borderId="11" xfId="0" applyNumberFormat="1" applyBorder="1" applyAlignment="1">
      <alignment vertical="top"/>
    </xf>
    <xf numFmtId="9" fontId="0" fillId="0" borderId="0" xfId="0" applyNumberFormat="1" applyFont="1" applyAlignment="1">
      <alignment vertical="top"/>
    </xf>
    <xf numFmtId="2" fontId="2" fillId="0" borderId="0" xfId="0" applyNumberFormat="1" applyFont="1" applyAlignment="1">
      <alignment vertical="top"/>
    </xf>
    <xf numFmtId="0" fontId="0" fillId="0" borderId="12" xfId="0" applyBorder="1" applyAlignment="1">
      <alignment vertical="top"/>
    </xf>
    <xf numFmtId="172" fontId="2" fillId="0" borderId="0" xfId="0" applyNumberFormat="1" applyFont="1" applyAlignment="1">
      <alignment vertical="top"/>
    </xf>
    <xf numFmtId="10" fontId="0" fillId="0" borderId="5" xfId="0" applyNumberFormat="1" applyBorder="1" applyAlignment="1">
      <alignment vertical="top"/>
    </xf>
    <xf numFmtId="9" fontId="0" fillId="0" borderId="5" xfId="0" applyNumberFormat="1" applyBorder="1" applyAlignment="1">
      <alignment vertical="top"/>
    </xf>
    <xf numFmtId="167" fontId="0" fillId="0" borderId="0" xfId="18" applyFont="1" applyAlignment="1">
      <alignment vertical="top"/>
    </xf>
    <xf numFmtId="172" fontId="0" fillId="0" borderId="0" xfId="0" applyNumberFormat="1" applyFont="1" applyAlignment="1">
      <alignment vertical="top"/>
    </xf>
    <xf numFmtId="0" fontId="24" fillId="0" borderId="0" xfId="0" applyFont="1" applyAlignment="1">
      <alignment vertical="top"/>
    </xf>
    <xf numFmtId="169" fontId="41" fillId="0" borderId="0" xfId="0" applyNumberFormat="1" applyFont="1" applyAlignment="1">
      <alignment vertical="top"/>
    </xf>
    <xf numFmtId="168" fontId="0" fillId="0" borderId="0" xfId="0" applyNumberFormat="1" applyFont="1" applyAlignment="1">
      <alignment vertical="top"/>
    </xf>
    <xf numFmtId="10" fontId="0" fillId="0" borderId="0" xfId="0" applyNumberFormat="1" applyFont="1" applyAlignment="1">
      <alignment vertical="top"/>
    </xf>
    <xf numFmtId="170" fontId="10" fillId="0" borderId="0" xfId="0" applyNumberFormat="1" applyFont="1" applyAlignment="1">
      <alignment vertical="top"/>
    </xf>
    <xf numFmtId="0" fontId="31" fillId="0" borderId="0" xfId="0" applyFont="1" applyAlignment="1">
      <alignment horizontal="left" vertical="top"/>
    </xf>
    <xf numFmtId="10" fontId="0" fillId="0" borderId="0" xfId="22" applyNumberFormat="1" applyFont="1" applyAlignment="1">
      <alignment vertical="top"/>
    </xf>
    <xf numFmtId="171" fontId="4" fillId="0" borderId="0" xfId="0" applyNumberFormat="1" applyFont="1" applyAlignment="1">
      <alignment vertical="top"/>
    </xf>
    <xf numFmtId="0" fontId="4" fillId="0" borderId="4" xfId="0" applyFont="1" applyBorder="1" applyAlignment="1">
      <alignment horizontal="left" vertical="top" indent="1"/>
    </xf>
    <xf numFmtId="172" fontId="4" fillId="0" borderId="4" xfId="0" applyNumberFormat="1" applyFont="1" applyBorder="1" applyAlignment="1">
      <alignment vertical="top"/>
    </xf>
    <xf numFmtId="171" fontId="0" fillId="0" borderId="4" xfId="0" applyNumberFormat="1" applyBorder="1" applyAlignment="1">
      <alignment vertical="top"/>
    </xf>
    <xf numFmtId="172" fontId="0" fillId="0" borderId="0" xfId="0" applyNumberFormat="1" applyBorder="1" applyAlignment="1">
      <alignment vertical="top"/>
    </xf>
    <xf numFmtId="10" fontId="0" fillId="0" borderId="0" xfId="0" applyNumberFormat="1" applyBorder="1" applyAlignment="1">
      <alignment vertical="top"/>
    </xf>
    <xf numFmtId="167" fontId="0" fillId="0" borderId="0" xfId="0" applyNumberFormat="1" applyAlignment="1">
      <alignment vertical="top"/>
    </xf>
    <xf numFmtId="168" fontId="0" fillId="0" borderId="4" xfId="0" applyNumberFormat="1" applyBorder="1" applyAlignment="1">
      <alignment vertical="top"/>
    </xf>
    <xf numFmtId="0" fontId="44" fillId="0" borderId="0" xfId="25" applyFont="1">
      <alignment vertical="top"/>
      <protection/>
    </xf>
    <xf numFmtId="0" fontId="44" fillId="0" borderId="0" xfId="25">
      <alignment vertical="top"/>
      <protection/>
    </xf>
    <xf numFmtId="171" fontId="45" fillId="0" borderId="0" xfId="15">
      <alignment vertical="top"/>
      <protection/>
    </xf>
    <xf numFmtId="171" fontId="45" fillId="0" borderId="0" xfId="15" applyNumberFormat="1">
      <alignment vertical="top"/>
      <protection/>
    </xf>
    <xf numFmtId="0" fontId="2" fillId="0" borderId="0" xfId="23">
      <alignment vertical="top"/>
      <protection/>
    </xf>
    <xf numFmtId="175" fontId="2" fillId="0" borderId="0" xfId="23" applyNumberFormat="1">
      <alignment vertical="top"/>
      <protection/>
    </xf>
    <xf numFmtId="9" fontId="0" fillId="0" borderId="11" xfId="0" applyNumberFormat="1" applyBorder="1" applyAlignment="1">
      <alignment vertical="top"/>
    </xf>
    <xf numFmtId="0" fontId="2" fillId="0" borderId="11" xfId="23" applyBorder="1">
      <alignment vertical="top"/>
      <protection/>
    </xf>
    <xf numFmtId="0" fontId="4" fillId="0" borderId="4" xfId="0" applyFont="1" applyBorder="1" applyAlignment="1">
      <alignment horizontal="center" vertical="top"/>
    </xf>
    <xf numFmtId="175" fontId="0" fillId="0" borderId="4" xfId="18" applyNumberFormat="1" applyBorder="1" applyAlignment="1">
      <alignment vertical="top"/>
    </xf>
    <xf numFmtId="171" fontId="45" fillId="0" borderId="4" xfId="15" applyNumberFormat="1" applyBorder="1">
      <alignment vertical="top"/>
      <protection/>
    </xf>
    <xf numFmtId="175" fontId="0" fillId="0" borderId="0" xfId="0" applyNumberFormat="1" applyAlignment="1">
      <alignment vertical="top"/>
    </xf>
    <xf numFmtId="2" fontId="0" fillId="0" borderId="5" xfId="0" applyNumberFormat="1" applyBorder="1" applyAlignment="1">
      <alignment vertical="top"/>
    </xf>
    <xf numFmtId="0" fontId="2" fillId="0" borderId="0" xfId="0" applyFont="1" applyFill="1" applyBorder="1" applyAlignment="1">
      <alignment vertical="top" wrapText="1"/>
    </xf>
    <xf numFmtId="0" fontId="0" fillId="0" borderId="0" xfId="0" applyFont="1" applyFill="1" applyBorder="1" applyAlignment="1">
      <alignment vertical="top" wrapText="1"/>
    </xf>
    <xf numFmtId="2" fontId="0" fillId="0" borderId="9" xfId="0" applyNumberFormat="1" applyBorder="1" applyAlignment="1">
      <alignment vertical="top"/>
    </xf>
    <xf numFmtId="2" fontId="0" fillId="0" borderId="0" xfId="0" applyNumberFormat="1" applyBorder="1" applyAlignment="1">
      <alignment vertical="top"/>
    </xf>
    <xf numFmtId="2" fontId="0" fillId="0" borderId="7" xfId="0" applyNumberFormat="1" applyBorder="1" applyAlignment="1">
      <alignment vertical="top"/>
    </xf>
    <xf numFmtId="9" fontId="2" fillId="0" borderId="0" xfId="22" applyFont="1" applyAlignment="1">
      <alignment vertical="top"/>
    </xf>
    <xf numFmtId="2" fontId="0" fillId="0" borderId="0" xfId="0" applyNumberFormat="1" applyFont="1" applyAlignment="1">
      <alignment vertical="top"/>
    </xf>
    <xf numFmtId="0" fontId="0" fillId="0" borderId="6"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169" fontId="0" fillId="0" borderId="0" xfId="0" applyNumberFormat="1" applyAlignment="1" quotePrefix="1">
      <alignment vertical="top"/>
    </xf>
    <xf numFmtId="0" fontId="0" fillId="0" borderId="0" xfId="26">
      <alignment vertical="top" wrapText="1"/>
      <protection/>
    </xf>
    <xf numFmtId="0" fontId="0" fillId="0" borderId="0" xfId="26" applyFont="1">
      <alignment vertical="top" wrapText="1"/>
      <protection/>
    </xf>
    <xf numFmtId="0" fontId="0" fillId="0" borderId="2" xfId="26" applyBorder="1">
      <alignment vertical="top" wrapText="1"/>
      <protection/>
    </xf>
    <xf numFmtId="9" fontId="0" fillId="0" borderId="2" xfId="0" applyNumberFormat="1" applyBorder="1" applyAlignment="1">
      <alignment vertical="top"/>
    </xf>
    <xf numFmtId="169" fontId="0" fillId="0" borderId="2" xfId="0" applyNumberFormat="1" applyBorder="1" applyAlignment="1">
      <alignment vertical="top"/>
    </xf>
    <xf numFmtId="0" fontId="2" fillId="0" borderId="0" xfId="26" applyFont="1">
      <alignment vertical="top" wrapText="1"/>
      <protection/>
    </xf>
    <xf numFmtId="10" fontId="0" fillId="0" borderId="2" xfId="26" applyNumberFormat="1" applyBorder="1">
      <alignment vertical="top" wrapText="1"/>
      <protection/>
    </xf>
    <xf numFmtId="2" fontId="2" fillId="0" borderId="7" xfId="0" applyNumberFormat="1" applyFont="1" applyBorder="1" applyAlignment="1">
      <alignment vertical="top"/>
    </xf>
    <xf numFmtId="0" fontId="0" fillId="0" borderId="13" xfId="26" applyBorder="1">
      <alignment vertical="top" wrapText="1"/>
      <protection/>
    </xf>
    <xf numFmtId="0" fontId="0" fillId="0" borderId="11" xfId="26" applyBorder="1">
      <alignment vertical="top" wrapText="1"/>
      <protection/>
    </xf>
    <xf numFmtId="0" fontId="0" fillId="0" borderId="6" xfId="26" applyBorder="1">
      <alignment vertical="top" wrapText="1"/>
      <protection/>
    </xf>
    <xf numFmtId="171" fontId="2" fillId="0" borderId="0" xfId="0" applyNumberFormat="1" applyFont="1" applyAlignment="1" quotePrefix="1">
      <alignment vertical="top"/>
    </xf>
    <xf numFmtId="0" fontId="0" fillId="0" borderId="0" xfId="26" applyFont="1" applyFill="1" applyBorder="1">
      <alignment vertical="top" wrapText="1"/>
      <protection/>
    </xf>
    <xf numFmtId="0" fontId="0" fillId="0" borderId="4" xfId="26" applyBorder="1">
      <alignment vertical="top" wrapText="1"/>
      <protection/>
    </xf>
    <xf numFmtId="0" fontId="0" fillId="0" borderId="0" xfId="26" applyFont="1" applyBorder="1">
      <alignment vertical="top" wrapText="1"/>
      <protection/>
    </xf>
    <xf numFmtId="0" fontId="2" fillId="0" borderId="0" xfId="26" applyFont="1" applyFill="1" applyBorder="1">
      <alignment vertical="top" wrapText="1"/>
      <protection/>
    </xf>
    <xf numFmtId="10" fontId="0" fillId="0" borderId="7" xfId="22" applyNumberFormat="1" applyBorder="1" applyAlignment="1">
      <alignment vertical="top"/>
    </xf>
    <xf numFmtId="10" fontId="0" fillId="0" borderId="5" xfId="22" applyNumberFormat="1" applyBorder="1" applyAlignment="1">
      <alignment vertical="top"/>
    </xf>
    <xf numFmtId="10" fontId="2" fillId="0" borderId="5" xfId="22" applyNumberFormat="1" applyFont="1" applyBorder="1" applyAlignment="1">
      <alignment vertical="top"/>
    </xf>
    <xf numFmtId="172" fontId="0" fillId="0" borderId="0" xfId="22" applyNumberFormat="1" applyFont="1" applyAlignment="1">
      <alignment vertical="top"/>
    </xf>
    <xf numFmtId="0" fontId="4" fillId="0" borderId="0" xfId="26" applyFont="1" applyAlignment="1">
      <alignment horizontal="center" vertical="top" wrapText="1"/>
      <protection/>
    </xf>
    <xf numFmtId="172" fontId="4" fillId="0" borderId="0" xfId="22" applyNumberFormat="1" applyFont="1" applyAlignment="1">
      <alignment vertical="top"/>
    </xf>
    <xf numFmtId="0" fontId="4" fillId="0" borderId="0" xfId="0" applyFont="1" applyAlignment="1">
      <alignment vertical="top" wrapText="1"/>
    </xf>
    <xf numFmtId="9" fontId="2" fillId="0" borderId="0" xfId="0" applyNumberFormat="1" applyFont="1" applyAlignment="1">
      <alignment vertical="top"/>
    </xf>
    <xf numFmtId="178" fontId="0" fillId="0" borderId="0" xfId="22" applyNumberFormat="1" applyAlignment="1">
      <alignment vertical="top"/>
    </xf>
    <xf numFmtId="0" fontId="0" fillId="0" borderId="4" xfId="26" applyFont="1" applyBorder="1">
      <alignment vertical="top" wrapText="1"/>
      <protection/>
    </xf>
    <xf numFmtId="172" fontId="14" fillId="0" borderId="0" xfId="22" applyNumberFormat="1" applyFont="1" applyAlignment="1">
      <alignment vertical="top"/>
    </xf>
    <xf numFmtId="0" fontId="2" fillId="0" borderId="2" xfId="26" applyFont="1" applyBorder="1" applyAlignment="1">
      <alignment horizontal="center" vertical="top" wrapText="1"/>
      <protection/>
    </xf>
    <xf numFmtId="0" fontId="48" fillId="0" borderId="0" xfId="26" applyFont="1" applyAlignment="1">
      <alignment horizontal="left" vertical="top" wrapText="1" indent="1"/>
      <protection/>
    </xf>
    <xf numFmtId="179" fontId="0" fillId="0" borderId="0" xfId="0" applyNumberFormat="1" applyAlignment="1">
      <alignment vertical="top"/>
    </xf>
    <xf numFmtId="179" fontId="48" fillId="0" borderId="0" xfId="0" applyNumberFormat="1" applyFont="1" applyAlignment="1">
      <alignment vertical="top"/>
    </xf>
    <xf numFmtId="0" fontId="49" fillId="0" borderId="0" xfId="24" applyFont="1" applyAlignment="1">
      <alignment vertical="top" wrapText="1"/>
      <protection/>
    </xf>
    <xf numFmtId="179" fontId="48" fillId="0" borderId="0" xfId="0" applyNumberFormat="1" applyFont="1" applyAlignment="1">
      <alignment horizontal="center" vertical="top" wrapText="1"/>
    </xf>
    <xf numFmtId="0" fontId="48" fillId="0" borderId="0" xfId="0" applyFont="1" applyAlignment="1">
      <alignment vertical="top" wrapText="1"/>
    </xf>
    <xf numFmtId="180" fontId="0" fillId="0" borderId="0" xfId="0" applyNumberFormat="1" applyAlignment="1">
      <alignment vertical="top"/>
    </xf>
    <xf numFmtId="0" fontId="0" fillId="0" borderId="0" xfId="26" applyFont="1" applyAlignment="1">
      <alignment vertical="top"/>
      <protection/>
    </xf>
    <xf numFmtId="179" fontId="48" fillId="0" borderId="0" xfId="0" applyNumberFormat="1" applyFont="1" applyAlignment="1">
      <alignment vertical="top" wrapText="1"/>
    </xf>
    <xf numFmtId="181" fontId="48" fillId="0" borderId="0" xfId="0" applyNumberFormat="1" applyFont="1" applyAlignment="1">
      <alignment vertical="top" wrapText="1"/>
    </xf>
    <xf numFmtId="172" fontId="48" fillId="0" borderId="0" xfId="22" applyNumberFormat="1" applyFont="1" applyAlignment="1">
      <alignment vertical="top" wrapText="1"/>
    </xf>
    <xf numFmtId="0" fontId="0" fillId="0" borderId="0" xfId="0" applyAlignment="1">
      <alignment horizontal="center" vertical="top" wrapText="1"/>
    </xf>
    <xf numFmtId="174" fontId="0" fillId="0" borderId="0" xfId="0" applyNumberFormat="1" applyAlignment="1">
      <alignment vertical="top"/>
    </xf>
    <xf numFmtId="0" fontId="0" fillId="0" borderId="4" xfId="0" applyBorder="1" applyAlignment="1" quotePrefix="1">
      <alignment vertical="top"/>
    </xf>
    <xf numFmtId="176" fontId="0" fillId="0" borderId="0" xfId="22" applyNumberFormat="1" applyFont="1" applyAlignment="1">
      <alignment vertical="top"/>
    </xf>
    <xf numFmtId="10" fontId="4" fillId="0" borderId="0" xfId="0" applyNumberFormat="1" applyFont="1" applyAlignment="1">
      <alignment vertical="top"/>
    </xf>
    <xf numFmtId="179" fontId="4" fillId="0" borderId="0" xfId="0" applyNumberFormat="1" applyFont="1" applyAlignment="1">
      <alignment vertical="top" wrapText="1"/>
    </xf>
    <xf numFmtId="0" fontId="0" fillId="0" borderId="0" xfId="0" applyFont="1" applyAlignment="1" quotePrefix="1">
      <alignment vertical="top" wrapText="1"/>
    </xf>
    <xf numFmtId="176" fontId="4" fillId="0" borderId="0" xfId="22" applyNumberFormat="1" applyFont="1" applyAlignment="1">
      <alignment vertical="top"/>
    </xf>
    <xf numFmtId="176" fontId="0" fillId="0" borderId="0" xfId="22" applyNumberFormat="1" applyFont="1" applyAlignment="1">
      <alignment horizontal="right" vertical="top"/>
    </xf>
    <xf numFmtId="0" fontId="12" fillId="0" borderId="0" xfId="0" applyFont="1" applyAlignment="1">
      <alignment vertical="top"/>
    </xf>
    <xf numFmtId="179" fontId="12" fillId="0" borderId="0" xfId="0" applyNumberFormat="1" applyFont="1" applyAlignment="1">
      <alignment vertical="top" wrapText="1"/>
    </xf>
    <xf numFmtId="176" fontId="14" fillId="0" borderId="0" xfId="22" applyNumberFormat="1" applyFont="1" applyAlignment="1">
      <alignment vertical="top"/>
    </xf>
    <xf numFmtId="169" fontId="50" fillId="0" borderId="0" xfId="0" applyNumberFormat="1" applyFont="1" applyAlignment="1">
      <alignment vertical="top"/>
    </xf>
    <xf numFmtId="169" fontId="51" fillId="0" borderId="0" xfId="0" applyNumberFormat="1" applyFont="1" applyAlignment="1">
      <alignment vertical="top"/>
    </xf>
    <xf numFmtId="10" fontId="51" fillId="0" borderId="0" xfId="22" applyNumberFormat="1" applyFont="1" applyAlignment="1">
      <alignment vertical="top"/>
    </xf>
    <xf numFmtId="9" fontId="51" fillId="0" borderId="0" xfId="0" applyNumberFormat="1" applyFont="1" applyAlignment="1">
      <alignment vertical="top"/>
    </xf>
    <xf numFmtId="1" fontId="0" fillId="0" borderId="0" xfId="0" applyNumberFormat="1" applyFont="1" applyAlignment="1">
      <alignment vertical="top"/>
    </xf>
    <xf numFmtId="9" fontId="0" fillId="0" borderId="0" xfId="22" applyFont="1" applyAlignment="1">
      <alignment vertical="top"/>
    </xf>
    <xf numFmtId="0" fontId="52" fillId="0" borderId="0" xfId="0" applyFont="1" applyAlignment="1">
      <alignment vertical="top"/>
    </xf>
    <xf numFmtId="2" fontId="0" fillId="0" borderId="4" xfId="0" applyNumberFormat="1" applyBorder="1" applyAlignment="1">
      <alignment horizontal="center" vertical="top"/>
    </xf>
    <xf numFmtId="171" fontId="0" fillId="0" borderId="0" xfId="0" applyNumberFormat="1" applyFont="1" applyAlignment="1">
      <alignment vertical="top"/>
    </xf>
    <xf numFmtId="180" fontId="51" fillId="0" borderId="0" xfId="0" applyNumberFormat="1" applyFont="1" applyAlignment="1">
      <alignment vertical="top"/>
    </xf>
    <xf numFmtId="10" fontId="51" fillId="0" borderId="0" xfId="0" applyNumberFormat="1" applyFont="1" applyAlignment="1">
      <alignment vertical="top"/>
    </xf>
    <xf numFmtId="167" fontId="0" fillId="0" borderId="0" xfId="18" applyFont="1" applyAlignment="1">
      <alignment vertical="top"/>
    </xf>
    <xf numFmtId="0" fontId="0" fillId="0" borderId="0" xfId="0" applyAlignment="1">
      <alignment vertical="top"/>
    </xf>
    <xf numFmtId="174" fontId="0" fillId="0" borderId="0" xfId="0" applyNumberFormat="1" applyFont="1" applyAlignment="1">
      <alignment vertical="top"/>
    </xf>
    <xf numFmtId="0" fontId="12" fillId="0" borderId="0" xfId="0" applyFont="1" applyAlignment="1">
      <alignment horizontal="center" vertical="top"/>
    </xf>
    <xf numFmtId="171" fontId="2" fillId="0" borderId="0" xfId="0" applyNumberFormat="1" applyFont="1" applyBorder="1" applyAlignment="1">
      <alignment vertical="top"/>
    </xf>
    <xf numFmtId="171" fontId="0" fillId="0" borderId="0" xfId="0" applyNumberFormat="1" applyFont="1" applyBorder="1" applyAlignment="1">
      <alignment vertical="top"/>
    </xf>
    <xf numFmtId="0" fontId="7" fillId="0" borderId="0" xfId="0" applyFont="1" applyBorder="1" applyAlignment="1">
      <alignment vertical="top"/>
    </xf>
    <xf numFmtId="9" fontId="8" fillId="0" borderId="0" xfId="22" applyFont="1" applyAlignment="1">
      <alignment horizontal="center" vertical="top"/>
    </xf>
    <xf numFmtId="172" fontId="2" fillId="0" borderId="4" xfId="0" applyNumberFormat="1" applyFont="1" applyBorder="1" applyAlignment="1">
      <alignment vertical="top"/>
    </xf>
    <xf numFmtId="172" fontId="0" fillId="0" borderId="0" xfId="0" applyNumberFormat="1" applyFont="1" applyBorder="1" applyAlignment="1">
      <alignment vertical="top"/>
    </xf>
    <xf numFmtId="9" fontId="2" fillId="0" borderId="4" xfId="22" applyFont="1" applyBorder="1" applyAlignment="1">
      <alignment vertical="top"/>
    </xf>
    <xf numFmtId="171" fontId="2" fillId="0" borderId="10" xfId="0" applyNumberFormat="1" applyFont="1" applyBorder="1" applyAlignment="1">
      <alignment vertical="top"/>
    </xf>
    <xf numFmtId="9" fontId="2" fillId="0" borderId="10" xfId="22" applyFont="1" applyBorder="1" applyAlignment="1">
      <alignment vertical="top"/>
    </xf>
    <xf numFmtId="9" fontId="0" fillId="0" borderId="0" xfId="22" applyBorder="1" applyAlignment="1">
      <alignment vertical="top"/>
    </xf>
    <xf numFmtId="0" fontId="55" fillId="0" borderId="0" xfId="0" applyFont="1" applyAlignment="1">
      <alignment horizontal="left" vertical="top" indent="1"/>
    </xf>
    <xf numFmtId="0" fontId="55" fillId="0" borderId="0" xfId="0" applyFont="1" applyAlignment="1">
      <alignment vertical="top"/>
    </xf>
    <xf numFmtId="172" fontId="55" fillId="0" borderId="0" xfId="0" applyNumberFormat="1" applyFont="1" applyAlignment="1">
      <alignment vertical="top"/>
    </xf>
    <xf numFmtId="0" fontId="0" fillId="0" borderId="0" xfId="0" applyFont="1" applyAlignment="1">
      <alignment horizontal="left" vertical="top" indent="1"/>
    </xf>
    <xf numFmtId="0" fontId="0" fillId="0" borderId="0" xfId="0" applyFont="1" applyAlignment="1">
      <alignment horizontal="left" vertical="top"/>
    </xf>
    <xf numFmtId="0" fontId="8" fillId="0" borderId="0" xfId="0" applyFont="1" applyAlignment="1">
      <alignment horizontal="left" vertical="top"/>
    </xf>
    <xf numFmtId="0" fontId="48" fillId="0" borderId="0" xfId="0" applyFont="1" applyAlignment="1">
      <alignment horizontal="left" vertical="top" indent="1"/>
    </xf>
    <xf numFmtId="0" fontId="48" fillId="0" borderId="0" xfId="0" applyFont="1" applyAlignment="1">
      <alignment vertical="top"/>
    </xf>
    <xf numFmtId="172" fontId="48" fillId="0" borderId="0" xfId="0" applyNumberFormat="1" applyFont="1" applyAlignment="1">
      <alignment vertical="top"/>
    </xf>
    <xf numFmtId="0" fontId="0" fillId="0" borderId="12" xfId="0" applyFont="1" applyBorder="1" applyAlignment="1">
      <alignment vertical="top"/>
    </xf>
    <xf numFmtId="0" fontId="0" fillId="0" borderId="12" xfId="0" applyBorder="1" applyAlignment="1">
      <alignment horizontal="center" vertical="top"/>
    </xf>
    <xf numFmtId="2" fontId="14" fillId="0" borderId="0" xfId="0" applyNumberFormat="1" applyFont="1" applyAlignment="1">
      <alignment vertical="top"/>
    </xf>
    <xf numFmtId="9" fontId="0" fillId="0" borderId="0" xfId="0" applyNumberFormat="1" applyAlignment="1">
      <alignment horizontal="center" vertical="top"/>
    </xf>
    <xf numFmtId="10" fontId="0" fillId="0" borderId="0" xfId="0" applyNumberFormat="1" applyAlignment="1">
      <alignment horizontal="center" vertical="top"/>
    </xf>
    <xf numFmtId="168" fontId="0" fillId="0" borderId="0" xfId="0" applyNumberFormat="1" applyAlignment="1">
      <alignment horizontal="center" vertical="top"/>
    </xf>
    <xf numFmtId="0" fontId="0" fillId="0" borderId="0" xfId="0" applyAlignment="1">
      <alignment horizontal="left" vertical="top" indent="1"/>
    </xf>
    <xf numFmtId="175" fontId="0" fillId="0" borderId="10" xfId="0" applyNumberFormat="1" applyBorder="1" applyAlignment="1">
      <alignment vertical="top"/>
    </xf>
    <xf numFmtId="172" fontId="0" fillId="0" borderId="0" xfId="22" applyNumberFormat="1" applyAlignment="1">
      <alignment vertical="top"/>
    </xf>
    <xf numFmtId="168" fontId="0" fillId="0" borderId="0" xfId="0" applyNumberFormat="1" applyBorder="1" applyAlignment="1">
      <alignment horizontal="center" vertical="top"/>
    </xf>
    <xf numFmtId="168" fontId="0" fillId="0" borderId="4" xfId="0" applyNumberFormat="1" applyBorder="1" applyAlignment="1">
      <alignment horizontal="center" vertical="top"/>
    </xf>
    <xf numFmtId="168" fontId="2" fillId="0" borderId="0" xfId="0" applyNumberFormat="1" applyFont="1" applyAlignment="1">
      <alignment horizontal="center" vertical="top"/>
    </xf>
    <xf numFmtId="168" fontId="0" fillId="0" borderId="0" xfId="0" applyNumberFormat="1" applyBorder="1" applyAlignment="1">
      <alignment horizontal="center" vertical="center"/>
    </xf>
    <xf numFmtId="0" fontId="57" fillId="0" borderId="0" xfId="24" applyFont="1">
      <alignment vertical="top"/>
      <protection/>
    </xf>
    <xf numFmtId="0" fontId="8" fillId="0" borderId="0" xfId="0" applyFont="1" applyAlignment="1">
      <alignment horizontal="center" vertical="top"/>
    </xf>
    <xf numFmtId="0" fontId="0" fillId="0" borderId="0" xfId="0" applyBorder="1" applyAlignment="1">
      <alignment horizontal="center" vertical="top"/>
    </xf>
    <xf numFmtId="176" fontId="0" fillId="0" borderId="0" xfId="22" applyNumberFormat="1" applyAlignment="1">
      <alignment vertical="top"/>
    </xf>
    <xf numFmtId="10" fontId="0" fillId="0" borderId="0" xfId="22" applyNumberFormat="1" applyAlignment="1">
      <alignment vertical="top"/>
    </xf>
    <xf numFmtId="0" fontId="0" fillId="0" borderId="0" xfId="18" applyNumberFormat="1" applyAlignment="1">
      <alignment horizontal="center" vertical="top"/>
    </xf>
    <xf numFmtId="10" fontId="0" fillId="0" borderId="11" xfId="22" applyNumberFormat="1" applyBorder="1" applyAlignment="1">
      <alignment vertical="top"/>
    </xf>
    <xf numFmtId="0" fontId="0" fillId="2" borderId="0" xfId="0" applyFill="1" applyAlignment="1">
      <alignment vertical="top"/>
    </xf>
    <xf numFmtId="10" fontId="0" fillId="2" borderId="0" xfId="0" applyNumberFormat="1" applyFill="1" applyAlignment="1">
      <alignment vertical="top"/>
    </xf>
    <xf numFmtId="10" fontId="0" fillId="2" borderId="0" xfId="22" applyNumberFormat="1" applyFill="1" applyAlignment="1">
      <alignment vertical="top"/>
    </xf>
    <xf numFmtId="0" fontId="0" fillId="0" borderId="0" xfId="0" applyAlignment="1" quotePrefix="1">
      <alignment horizontal="center" vertical="top"/>
    </xf>
    <xf numFmtId="172" fontId="0" fillId="0" borderId="0" xfId="0" applyNumberFormat="1" applyAlignment="1">
      <alignment horizontal="center" vertical="top"/>
    </xf>
    <xf numFmtId="172" fontId="0" fillId="0" borderId="0" xfId="22" applyNumberFormat="1" applyFont="1" applyAlignment="1">
      <alignment horizontal="center" vertical="top"/>
    </xf>
    <xf numFmtId="0" fontId="0" fillId="0" borderId="11" xfId="0" applyBorder="1" applyAlignment="1">
      <alignment horizontal="left" vertical="top"/>
    </xf>
    <xf numFmtId="0" fontId="0" fillId="2" borderId="0" xfId="0" applyFill="1" applyBorder="1" applyAlignment="1">
      <alignment horizontal="center" vertical="top"/>
    </xf>
    <xf numFmtId="167" fontId="0" fillId="0" borderId="0" xfId="18" applyAlignment="1">
      <alignment horizontal="center" vertical="top"/>
    </xf>
    <xf numFmtId="10" fontId="0" fillId="2" borderId="0" xfId="22" applyNumberFormat="1" applyFill="1" applyBorder="1" applyAlignment="1">
      <alignment horizontal="center" vertical="top"/>
    </xf>
    <xf numFmtId="172" fontId="2" fillId="2" borderId="0" xfId="0" applyNumberFormat="1" applyFont="1" applyFill="1" applyAlignment="1">
      <alignment vertical="top"/>
    </xf>
    <xf numFmtId="167" fontId="2" fillId="2" borderId="0" xfId="18" applyFont="1" applyFill="1" applyAlignment="1">
      <alignment vertical="top"/>
    </xf>
    <xf numFmtId="169" fontId="0" fillId="0" borderId="0" xfId="0" applyNumberFormat="1" applyAlignment="1">
      <alignment horizontal="center" vertical="top"/>
    </xf>
    <xf numFmtId="0" fontId="0" fillId="0" borderId="7" xfId="0" applyBorder="1" applyAlignment="1">
      <alignment vertical="top"/>
    </xf>
    <xf numFmtId="169" fontId="0" fillId="0" borderId="14" xfId="0" applyNumberFormat="1" applyBorder="1" applyAlignment="1">
      <alignment vertical="top"/>
    </xf>
    <xf numFmtId="0" fontId="0" fillId="0" borderId="13" xfId="0" applyBorder="1" applyAlignment="1" quotePrefix="1">
      <alignment vertical="top"/>
    </xf>
    <xf numFmtId="0" fontId="0" fillId="0" borderId="6" xfId="0" applyBorder="1" applyAlignment="1" quotePrefix="1">
      <alignment vertical="top"/>
    </xf>
    <xf numFmtId="0" fontId="0" fillId="0" borderId="2" xfId="0" applyBorder="1" applyAlignment="1">
      <alignment horizontal="center" vertical="top"/>
    </xf>
    <xf numFmtId="169" fontId="7" fillId="0" borderId="0" xfId="0" applyNumberFormat="1" applyFont="1" applyAlignment="1">
      <alignment vertical="top"/>
    </xf>
    <xf numFmtId="167" fontId="0" fillId="0" borderId="0" xfId="18" applyAlignment="1">
      <alignment vertical="top"/>
    </xf>
    <xf numFmtId="0" fontId="44" fillId="0" borderId="6" xfId="25" applyFont="1" applyBorder="1">
      <alignment vertical="top"/>
      <protection/>
    </xf>
    <xf numFmtId="0" fontId="9" fillId="0" borderId="0" xfId="0" applyFont="1" applyAlignment="1" quotePrefix="1">
      <alignment vertical="top"/>
    </xf>
    <xf numFmtId="0" fontId="2" fillId="2" borderId="0" xfId="0" applyFont="1" applyFill="1" applyAlignment="1">
      <alignment horizontal="center" vertical="top"/>
    </xf>
    <xf numFmtId="0" fontId="9" fillId="0" borderId="0" xfId="0" applyFont="1" applyAlignment="1" quotePrefix="1">
      <alignment horizontal="left" vertical="top"/>
    </xf>
    <xf numFmtId="0" fontId="7" fillId="0" borderId="0" xfId="0" applyFont="1" applyAlignment="1">
      <alignment vertical="top"/>
    </xf>
    <xf numFmtId="0" fontId="9" fillId="0" borderId="0" xfId="0" applyFont="1" applyAlignment="1">
      <alignment vertical="top"/>
    </xf>
    <xf numFmtId="171" fontId="0" fillId="0" borderId="0" xfId="0" applyNumberFormat="1" applyBorder="1" applyAlignment="1">
      <alignment vertical="top"/>
    </xf>
    <xf numFmtId="0" fontId="18" fillId="0" borderId="0" xfId="0" applyFont="1" applyAlignment="1">
      <alignment vertical="top"/>
    </xf>
    <xf numFmtId="0" fontId="14" fillId="0" borderId="0" xfId="0" applyFont="1" applyAlignment="1">
      <alignment vertical="top"/>
    </xf>
    <xf numFmtId="172" fontId="14" fillId="0" borderId="0" xfId="0" applyNumberFormat="1" applyFont="1" applyAlignment="1">
      <alignment vertical="top"/>
    </xf>
    <xf numFmtId="171" fontId="14" fillId="0" borderId="0" xfId="0" applyNumberFormat="1" applyFont="1" applyAlignment="1">
      <alignment vertical="top"/>
    </xf>
    <xf numFmtId="0" fontId="60" fillId="0" borderId="0" xfId="0" applyFont="1" applyAlignment="1">
      <alignment horizontal="left" vertical="top" indent="1"/>
    </xf>
    <xf numFmtId="172" fontId="60" fillId="0" borderId="0" xfId="22" applyNumberFormat="1" applyFont="1" applyAlignment="1">
      <alignment vertical="top"/>
    </xf>
    <xf numFmtId="0" fontId="14" fillId="0" borderId="4" xfId="0" applyFont="1" applyFill="1" applyBorder="1" applyAlignment="1">
      <alignment vertical="top"/>
    </xf>
    <xf numFmtId="10" fontId="14" fillId="0" borderId="4" xfId="0" applyNumberFormat="1" applyFont="1" applyBorder="1" applyAlignment="1">
      <alignment vertical="top"/>
    </xf>
    <xf numFmtId="0" fontId="60" fillId="0" borderId="0" xfId="0" applyFont="1" applyAlignment="1">
      <alignment horizontal="center" vertical="top"/>
    </xf>
    <xf numFmtId="0" fontId="14" fillId="0" borderId="0" xfId="0" applyFont="1" applyBorder="1" applyAlignment="1">
      <alignment vertical="top"/>
    </xf>
    <xf numFmtId="10" fontId="14" fillId="0" borderId="0" xfId="0" applyNumberFormat="1" applyFont="1" applyBorder="1" applyAlignment="1">
      <alignment vertical="top"/>
    </xf>
    <xf numFmtId="0" fontId="60" fillId="0" borderId="0" xfId="0" applyFont="1" applyBorder="1" applyAlignment="1">
      <alignment horizontal="left" vertical="top" indent="1"/>
    </xf>
    <xf numFmtId="171" fontId="60" fillId="0" borderId="0" xfId="0" applyNumberFormat="1" applyFont="1" applyAlignment="1">
      <alignment vertical="top"/>
    </xf>
    <xf numFmtId="171" fontId="60" fillId="0" borderId="0" xfId="0" applyNumberFormat="1" applyFont="1" applyBorder="1" applyAlignment="1">
      <alignment vertical="top"/>
    </xf>
    <xf numFmtId="172" fontId="60" fillId="0" borderId="0" xfId="0" applyNumberFormat="1" applyFont="1" applyBorder="1" applyAlignment="1">
      <alignment vertical="top"/>
    </xf>
    <xf numFmtId="0" fontId="14" fillId="0" borderId="4" xfId="0" applyFont="1" applyBorder="1" applyAlignment="1">
      <alignment vertical="top"/>
    </xf>
    <xf numFmtId="0" fontId="60" fillId="0" borderId="0" xfId="0" applyFont="1" applyAlignment="1">
      <alignment vertical="top"/>
    </xf>
    <xf numFmtId="0" fontId="60" fillId="0" borderId="4" xfId="0" applyFont="1" applyBorder="1" applyAlignment="1">
      <alignment horizontal="left" vertical="top" indent="1"/>
    </xf>
    <xf numFmtId="172" fontId="60" fillId="0" borderId="4" xfId="0" applyNumberFormat="1" applyFont="1" applyBorder="1" applyAlignment="1">
      <alignment vertical="top"/>
    </xf>
    <xf numFmtId="10" fontId="14" fillId="0" borderId="0" xfId="22" applyNumberFormat="1" applyFont="1" applyAlignment="1">
      <alignment vertical="top"/>
    </xf>
    <xf numFmtId="172" fontId="0" fillId="2" borderId="0" xfId="0" applyNumberFormat="1" applyFill="1" applyAlignment="1">
      <alignment vertical="top"/>
    </xf>
    <xf numFmtId="172" fontId="0" fillId="0" borderId="4" xfId="0" applyNumberFormat="1" applyBorder="1" applyAlignment="1">
      <alignment horizontal="center" vertical="top"/>
    </xf>
    <xf numFmtId="0" fontId="54" fillId="0" borderId="0" xfId="0" applyFont="1" applyAlignment="1">
      <alignment vertical="top"/>
    </xf>
    <xf numFmtId="1" fontId="2" fillId="0" borderId="0" xfId="0" applyNumberFormat="1" applyFont="1" applyAlignment="1">
      <alignment vertical="top"/>
    </xf>
    <xf numFmtId="9" fontId="0" fillId="0" borderId="0" xfId="22" applyAlignment="1">
      <alignment vertical="top"/>
    </xf>
    <xf numFmtId="0" fontId="2" fillId="0" borderId="0" xfId="23" applyFont="1">
      <alignment vertical="top"/>
      <protection/>
    </xf>
    <xf numFmtId="0" fontId="0" fillId="0" borderId="0" xfId="23" applyFont="1">
      <alignment vertical="top"/>
      <protection/>
    </xf>
    <xf numFmtId="175" fontId="0" fillId="0" borderId="0" xfId="0" applyNumberFormat="1" applyAlignment="1">
      <alignment vertical="top"/>
    </xf>
    <xf numFmtId="175" fontId="0" fillId="0" borderId="4" xfId="0" applyNumberFormat="1" applyBorder="1" applyAlignment="1">
      <alignment vertical="top"/>
    </xf>
    <xf numFmtId="171" fontId="0" fillId="0" borderId="0" xfId="15" applyNumberFormat="1" applyFont="1">
      <alignment vertical="top"/>
      <protection/>
    </xf>
    <xf numFmtId="2" fontId="61" fillId="0" borderId="0" xfId="0" applyNumberFormat="1" applyFont="1" applyAlignment="1">
      <alignment vertical="top"/>
    </xf>
    <xf numFmtId="0" fontId="9" fillId="0" borderId="0" xfId="0" applyFont="1" applyAlignment="1">
      <alignment horizontal="left" vertical="top" indent="1"/>
    </xf>
    <xf numFmtId="10" fontId="61" fillId="0" borderId="0" xfId="22" applyNumberFormat="1" applyFont="1" applyAlignment="1">
      <alignment vertical="top"/>
    </xf>
    <xf numFmtId="174" fontId="2" fillId="0" borderId="0" xfId="0" applyNumberFormat="1" applyFont="1" applyAlignment="1">
      <alignment vertical="top"/>
    </xf>
    <xf numFmtId="175" fontId="0" fillId="0" borderId="0" xfId="18" applyNumberFormat="1" applyAlignment="1">
      <alignment horizontal="right" vertical="top"/>
    </xf>
    <xf numFmtId="0" fontId="9" fillId="0" borderId="0" xfId="24" applyFont="1">
      <alignment vertical="top"/>
      <protection/>
    </xf>
    <xf numFmtId="9" fontId="0" fillId="0" borderId="0" xfId="22" applyFont="1" applyAlignment="1" quotePrefix="1">
      <alignment horizontal="center" vertical="top"/>
    </xf>
    <xf numFmtId="1" fontId="0" fillId="0" borderId="0" xfId="0" applyNumberFormat="1" applyAlignment="1">
      <alignment horizontal="center" vertical="top"/>
    </xf>
    <xf numFmtId="1" fontId="0" fillId="0" borderId="4" xfId="0" applyNumberFormat="1" applyBorder="1" applyAlignment="1">
      <alignment horizontal="center" vertical="top"/>
    </xf>
    <xf numFmtId="2" fontId="0" fillId="0" borderId="0" xfId="0" applyNumberFormat="1" applyAlignment="1">
      <alignment horizontal="center" vertical="top"/>
    </xf>
    <xf numFmtId="0" fontId="0" fillId="0" borderId="0" xfId="0" applyFill="1" applyBorder="1" applyAlignment="1">
      <alignment vertical="top"/>
    </xf>
    <xf numFmtId="10" fontId="0" fillId="0" borderId="0" xfId="22" applyNumberFormat="1" applyAlignment="1">
      <alignment horizontal="center" vertical="top"/>
    </xf>
    <xf numFmtId="168" fontId="0" fillId="0" borderId="4" xfId="0" applyNumberFormat="1" applyFont="1" applyBorder="1" applyAlignment="1">
      <alignment vertical="top"/>
    </xf>
    <xf numFmtId="167" fontId="6" fillId="0" borderId="0" xfId="18" applyFont="1" applyAlignment="1">
      <alignment vertical="top"/>
    </xf>
    <xf numFmtId="3" fontId="0" fillId="0" borderId="0" xfId="0" applyNumberFormat="1" applyAlignment="1">
      <alignment vertical="top"/>
    </xf>
    <xf numFmtId="3" fontId="2" fillId="0" borderId="0" xfId="0" applyNumberFormat="1" applyFont="1" applyAlignment="1">
      <alignment vertical="top"/>
    </xf>
    <xf numFmtId="3" fontId="2" fillId="0" borderId="10" xfId="0" applyNumberFormat="1" applyFont="1" applyBorder="1" applyAlignment="1">
      <alignment vertical="top"/>
    </xf>
    <xf numFmtId="0" fontId="0" fillId="0" borderId="10" xfId="0" applyBorder="1" applyAlignment="1" quotePrefix="1">
      <alignment vertical="top"/>
    </xf>
    <xf numFmtId="3" fontId="0" fillId="0" borderId="10" xfId="0" applyNumberFormat="1" applyBorder="1" applyAlignment="1">
      <alignment vertical="top"/>
    </xf>
    <xf numFmtId="3" fontId="0" fillId="0" borderId="10" xfId="0" applyNumberFormat="1" applyBorder="1" applyAlignment="1">
      <alignment horizontal="right" vertical="top"/>
    </xf>
    <xf numFmtId="182" fontId="0" fillId="0" borderId="0" xfId="0" applyNumberFormat="1" applyAlignment="1">
      <alignment vertical="top"/>
    </xf>
    <xf numFmtId="182" fontId="0" fillId="0" borderId="4" xfId="0" applyNumberFormat="1" applyBorder="1" applyAlignment="1">
      <alignment vertical="top"/>
    </xf>
    <xf numFmtId="182" fontId="0" fillId="0" borderId="0" xfId="0" applyNumberFormat="1" applyBorder="1" applyAlignment="1">
      <alignment vertical="top"/>
    </xf>
    <xf numFmtId="183" fontId="0" fillId="0" borderId="0" xfId="0" applyNumberFormat="1" applyAlignment="1">
      <alignment vertical="top"/>
    </xf>
    <xf numFmtId="184" fontId="0" fillId="0" borderId="0" xfId="0" applyNumberFormat="1" applyAlignment="1">
      <alignment vertical="top"/>
    </xf>
    <xf numFmtId="184" fontId="0" fillId="0" borderId="4" xfId="0" applyNumberFormat="1" applyBorder="1" applyAlignment="1">
      <alignment vertical="top"/>
    </xf>
    <xf numFmtId="183" fontId="0" fillId="0" borderId="10" xfId="0" applyNumberFormat="1" applyBorder="1" applyAlignment="1">
      <alignment vertical="top"/>
    </xf>
    <xf numFmtId="3" fontId="0" fillId="0" borderId="4" xfId="0" applyNumberFormat="1" applyBorder="1" applyAlignment="1">
      <alignment vertical="top"/>
    </xf>
    <xf numFmtId="183" fontId="0" fillId="0" borderId="4" xfId="0" applyNumberFormat="1" applyBorder="1" applyAlignment="1">
      <alignment vertical="top"/>
    </xf>
    <xf numFmtId="183" fontId="2" fillId="0" borderId="4" xfId="0" applyNumberFormat="1" applyFont="1" applyBorder="1" applyAlignment="1">
      <alignment vertical="top"/>
    </xf>
    <xf numFmtId="183" fontId="2" fillId="0" borderId="10" xfId="0" applyNumberFormat="1" applyFont="1" applyBorder="1" applyAlignment="1">
      <alignment vertical="top"/>
    </xf>
    <xf numFmtId="3" fontId="2" fillId="0" borderId="4" xfId="0" applyNumberFormat="1" applyFont="1" applyBorder="1" applyAlignment="1">
      <alignment vertical="top"/>
    </xf>
    <xf numFmtId="3" fontId="2" fillId="0" borderId="14" xfId="0" applyNumberFormat="1" applyFont="1" applyBorder="1" applyAlignment="1">
      <alignment vertical="top"/>
    </xf>
    <xf numFmtId="185" fontId="63" fillId="0" borderId="0" xfId="0" applyNumberFormat="1" applyFont="1" applyBorder="1" applyAlignment="1">
      <alignment horizontal="right" vertical="center"/>
    </xf>
    <xf numFmtId="1" fontId="2" fillId="0" borderId="10" xfId="0" applyNumberFormat="1" applyFont="1" applyBorder="1" applyAlignment="1">
      <alignment vertical="top"/>
    </xf>
    <xf numFmtId="1" fontId="2" fillId="0" borderId="4" xfId="0" applyNumberFormat="1" applyFont="1" applyBorder="1" applyAlignment="1">
      <alignment vertical="top"/>
    </xf>
    <xf numFmtId="1" fontId="2" fillId="0" borderId="0" xfId="0" applyNumberFormat="1" applyFont="1" applyBorder="1" applyAlignment="1">
      <alignment vertical="top"/>
    </xf>
    <xf numFmtId="0" fontId="0" fillId="0" borderId="0" xfId="0" applyBorder="1" applyAlignment="1" quotePrefix="1">
      <alignment vertical="top" wrapText="1"/>
    </xf>
    <xf numFmtId="183" fontId="0" fillId="0" borderId="0" xfId="0" applyNumberFormat="1" applyBorder="1" applyAlignment="1">
      <alignment vertical="top"/>
    </xf>
    <xf numFmtId="0" fontId="2" fillId="0" borderId="8" xfId="0" applyFont="1" applyBorder="1" applyAlignment="1">
      <alignment horizontal="center" vertical="top"/>
    </xf>
    <xf numFmtId="0" fontId="2" fillId="0" borderId="10" xfId="0" applyFont="1" applyBorder="1" applyAlignment="1">
      <alignment horizontal="center" vertical="top" wrapText="1"/>
    </xf>
    <xf numFmtId="0" fontId="12" fillId="0" borderId="0" xfId="0" applyFont="1" applyBorder="1" applyAlignment="1">
      <alignment vertical="top" wrapText="1"/>
    </xf>
    <xf numFmtId="172" fontId="12" fillId="0" borderId="0" xfId="0" applyNumberFormat="1" applyFont="1" applyBorder="1" applyAlignment="1">
      <alignment vertical="top"/>
    </xf>
    <xf numFmtId="183" fontId="0" fillId="0" borderId="0" xfId="0" applyNumberFormat="1" applyFill="1" applyBorder="1" applyAlignment="1">
      <alignment vertical="top"/>
    </xf>
    <xf numFmtId="0" fontId="0" fillId="0" borderId="0" xfId="0" applyFont="1" applyBorder="1" applyAlignment="1">
      <alignment horizontal="left" vertical="top"/>
    </xf>
    <xf numFmtId="0" fontId="0" fillId="0" borderId="0" xfId="0" applyAlignment="1" quotePrefix="1">
      <alignment vertical="top"/>
    </xf>
    <xf numFmtId="186" fontId="0" fillId="0" borderId="0" xfId="0" applyNumberFormat="1" applyAlignment="1">
      <alignment vertical="top"/>
    </xf>
    <xf numFmtId="0" fontId="61" fillId="0" borderId="0" xfId="0" applyFont="1" applyAlignment="1">
      <alignment vertical="top"/>
    </xf>
    <xf numFmtId="172" fontId="61" fillId="0" borderId="0" xfId="22" applyNumberFormat="1" applyFont="1" applyAlignment="1">
      <alignment vertical="top"/>
    </xf>
    <xf numFmtId="175" fontId="0" fillId="0" borderId="0" xfId="18" applyNumberFormat="1" applyFont="1" applyAlignment="1">
      <alignment vertical="top"/>
    </xf>
    <xf numFmtId="3" fontId="0" fillId="0" borderId="5" xfId="18" applyNumberFormat="1" applyBorder="1" applyAlignment="1">
      <alignment vertical="top"/>
    </xf>
    <xf numFmtId="3" fontId="0" fillId="0" borderId="0" xfId="18" applyNumberFormat="1" applyAlignment="1">
      <alignment vertical="top"/>
    </xf>
    <xf numFmtId="3" fontId="0" fillId="0" borderId="0" xfId="18" applyNumberFormat="1" applyFont="1" applyFill="1" applyBorder="1" applyAlignment="1">
      <alignment vertical="top"/>
    </xf>
    <xf numFmtId="170" fontId="0" fillId="0" borderId="0" xfId="0" applyNumberFormat="1" applyAlignment="1">
      <alignment horizontal="right" vertical="top"/>
    </xf>
    <xf numFmtId="171" fontId="0" fillId="0" borderId="0" xfId="0" applyNumberFormat="1" applyAlignment="1">
      <alignment horizontal="right" vertical="top"/>
    </xf>
    <xf numFmtId="3" fontId="0" fillId="0" borderId="0" xfId="0" applyNumberFormat="1" applyAlignment="1">
      <alignment horizontal="right" vertical="top"/>
    </xf>
    <xf numFmtId="0" fontId="0" fillId="0" borderId="0" xfId="0" applyBorder="1" applyAlignment="1">
      <alignment horizontal="center" vertical="center"/>
    </xf>
    <xf numFmtId="0" fontId="0" fillId="0" borderId="4" xfId="0" applyBorder="1" applyAlignment="1">
      <alignment horizontal="center" vertical="center"/>
    </xf>
    <xf numFmtId="168" fontId="0" fillId="0" borderId="0" xfId="0" applyNumberFormat="1" applyBorder="1" applyAlignment="1">
      <alignment horizontal="center" vertical="center"/>
    </xf>
    <xf numFmtId="168" fontId="0" fillId="0" borderId="4" xfId="0" applyNumberFormat="1" applyBorder="1" applyAlignment="1">
      <alignment horizontal="center" vertical="center"/>
    </xf>
    <xf numFmtId="9" fontId="8" fillId="0" borderId="0" xfId="22" applyFont="1" applyAlignment="1">
      <alignment horizontal="center" vertical="top"/>
    </xf>
    <xf numFmtId="171" fontId="0" fillId="0" borderId="0" xfId="18" applyNumberFormat="1" applyAlignment="1">
      <alignment horizontal="right" vertical="top"/>
    </xf>
    <xf numFmtId="0" fontId="2" fillId="0" borderId="0" xfId="0" applyFont="1" applyAlignment="1">
      <alignment horizontal="center" vertical="top"/>
    </xf>
    <xf numFmtId="0" fontId="0" fillId="0" borderId="5" xfId="0" applyBorder="1" applyAlignment="1">
      <alignment horizontal="center" vertical="top"/>
    </xf>
    <xf numFmtId="0" fontId="0" fillId="0" borderId="0" xfId="0" applyBorder="1" applyAlignment="1">
      <alignment horizontal="center" vertical="top"/>
    </xf>
    <xf numFmtId="169" fontId="0" fillId="0" borderId="0" xfId="0" applyNumberFormat="1" applyBorder="1" applyAlignment="1">
      <alignment horizontal="center" vertical="top"/>
    </xf>
    <xf numFmtId="169" fontId="0" fillId="0" borderId="11" xfId="0" applyNumberFormat="1" applyBorder="1" applyAlignment="1">
      <alignment horizontal="center" vertical="top"/>
    </xf>
    <xf numFmtId="9" fontId="0" fillId="0" borderId="0" xfId="0" applyNumberFormat="1" applyAlignment="1">
      <alignment horizontal="center" vertical="top"/>
    </xf>
    <xf numFmtId="172" fontId="4" fillId="0" borderId="0" xfId="0" applyNumberFormat="1" applyFont="1" applyAlignment="1">
      <alignment horizontal="center" vertical="top"/>
    </xf>
    <xf numFmtId="172" fontId="0" fillId="0" borderId="0" xfId="0" applyNumberFormat="1" applyAlignment="1">
      <alignment horizontal="center" vertical="top"/>
    </xf>
    <xf numFmtId="0" fontId="0" fillId="0" borderId="0" xfId="0" applyFont="1" applyAlignment="1">
      <alignment horizontal="center" vertical="top"/>
    </xf>
    <xf numFmtId="0" fontId="0" fillId="0" borderId="0" xfId="0" applyAlignment="1">
      <alignment horizontal="center" vertical="top"/>
    </xf>
    <xf numFmtId="172" fontId="0" fillId="0" borderId="0" xfId="0" applyNumberFormat="1" applyFont="1" applyAlignment="1">
      <alignment horizontal="center" vertical="top"/>
    </xf>
    <xf numFmtId="0" fontId="2" fillId="0" borderId="5" xfId="0" applyFont="1" applyBorder="1" applyAlignment="1">
      <alignment horizontal="center" vertical="top"/>
    </xf>
    <xf numFmtId="0" fontId="2" fillId="0" borderId="11" xfId="0" applyFont="1" applyBorder="1" applyAlignment="1">
      <alignment horizontal="center" vertical="top"/>
    </xf>
  </cellXfs>
  <cellStyles count="13">
    <cellStyle name="Normal" xfId="0"/>
    <cellStyle name="Données" xfId="15"/>
    <cellStyle name="Hyperlink" xfId="16"/>
    <cellStyle name="Followed Hyperlink" xfId="17"/>
    <cellStyle name="Comma" xfId="18"/>
    <cellStyle name="Comma [0]" xfId="19"/>
    <cellStyle name="Currency" xfId="20"/>
    <cellStyle name="Currency [0]" xfId="21"/>
    <cellStyle name="Percent" xfId="22"/>
    <cellStyle name="Résultat" xfId="23"/>
    <cellStyle name="Titre 1" xfId="24"/>
    <cellStyle name="Titre 2" xfId="25"/>
    <cellStyle name="TitreLigne" xfId="26"/>
  </cellStyles>
  <dxfs count="1">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sng" baseline="0"/>
              <a:t>VAN en fonction du taux d'actualisation</a:t>
            </a:r>
          </a:p>
        </c:rich>
      </c:tx>
      <c:layout/>
      <c:spPr>
        <a:noFill/>
        <a:ln>
          <a:noFill/>
        </a:ln>
      </c:spPr>
    </c:title>
    <c:plotArea>
      <c:layout>
        <c:manualLayout>
          <c:xMode val="edge"/>
          <c:yMode val="edge"/>
          <c:x val="0.03575"/>
          <c:y val="0.1105"/>
          <c:w val="0.95075"/>
          <c:h val="0.8075"/>
        </c:manualLayout>
      </c:layout>
      <c:scatterChart>
        <c:scatterStyle val="smoothMarker"/>
        <c:varyColors val="0"/>
        <c:ser>
          <c:idx val="0"/>
          <c:order val="0"/>
          <c:tx>
            <c:strRef>
              <c:f>'Chapitre 21'!$B$7</c:f>
              <c:strCache>
                <c:ptCount val="1"/>
                <c:pt idx="0">
                  <c:v>VAN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21'!$A$8:$A$12</c:f>
              <c:numCache>
                <c:ptCount val="5"/>
                <c:pt idx="0">
                  <c:v>0</c:v>
                </c:pt>
                <c:pt idx="1">
                  <c:v>0</c:v>
                </c:pt>
                <c:pt idx="2">
                  <c:v>0</c:v>
                </c:pt>
                <c:pt idx="3">
                  <c:v>0</c:v>
                </c:pt>
                <c:pt idx="4">
                  <c:v>0</c:v>
                </c:pt>
              </c:numCache>
            </c:numRef>
          </c:xVal>
          <c:yVal>
            <c:numRef>
              <c:f>'Chapitre 21'!$B$8:$B$12</c:f>
              <c:numCache>
                <c:ptCount val="5"/>
                <c:pt idx="0">
                  <c:v>0</c:v>
                </c:pt>
                <c:pt idx="1">
                  <c:v>0</c:v>
                </c:pt>
                <c:pt idx="2">
                  <c:v>0</c:v>
                </c:pt>
                <c:pt idx="3">
                  <c:v>0</c:v>
                </c:pt>
                <c:pt idx="4">
                  <c:v>0</c:v>
                </c:pt>
              </c:numCache>
            </c:numRef>
          </c:yVal>
          <c:smooth val="1"/>
        </c:ser>
        <c:axId val="8155479"/>
        <c:axId val="6290448"/>
      </c:scatterChart>
      <c:valAx>
        <c:axId val="8155479"/>
        <c:scaling>
          <c:orientation val="minMax"/>
        </c:scaling>
        <c:axPos val="b"/>
        <c:title>
          <c:tx>
            <c:rich>
              <a:bodyPr vert="horz" rot="0" anchor="ctr"/>
              <a:lstStyle/>
              <a:p>
                <a:pPr algn="ctr">
                  <a:defRPr/>
                </a:pPr>
                <a:r>
                  <a:rPr lang="en-US" cap="none" sz="975" b="1" i="0" u="none" baseline="0"/>
                  <a:t>Taux</a:t>
                </a:r>
              </a:p>
            </c:rich>
          </c:tx>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6290448"/>
        <c:crosses val="autoZero"/>
        <c:crossBetween val="midCat"/>
        <c:dispUnits/>
      </c:valAx>
      <c:valAx>
        <c:axId val="6290448"/>
        <c:scaling>
          <c:orientation val="minMax"/>
        </c:scaling>
        <c:axPos val="l"/>
        <c:title>
          <c:tx>
            <c:rich>
              <a:bodyPr vert="horz" rot="-5400000" anchor="ctr"/>
              <a:lstStyle/>
              <a:p>
                <a:pPr algn="ctr">
                  <a:defRPr/>
                </a:pPr>
                <a:r>
                  <a:rPr lang="en-US" cap="none" sz="975" b="1" i="0" u="none" baseline="0"/>
                  <a:t>VAN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0" i="0" u="none" baseline="0"/>
            </a:pPr>
          </a:p>
        </c:txPr>
        <c:crossAx val="81554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25'!#REF!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25'!#REF!</c:f>
              <c:strCache>
                <c:ptCount val="1"/>
                <c:pt idx="0">
                  <c:v>1</c:v>
                </c:pt>
              </c:strCache>
            </c:strRef>
          </c:xVal>
          <c:yVal>
            <c:numRef>
              <c:f>'Chapitre 25'!#REF!</c:f>
              <c:numCache>
                <c:ptCount val="1"/>
                <c:pt idx="0">
                  <c:v>1</c:v>
                </c:pt>
              </c:numCache>
            </c:numRef>
          </c:yVal>
          <c:smooth val="1"/>
        </c:ser>
        <c:axId val="33229537"/>
        <c:axId val="30630378"/>
      </c:scatterChart>
      <c:valAx>
        <c:axId val="33229537"/>
        <c:scaling>
          <c:orientation val="minMax"/>
        </c:scaling>
        <c:axPos val="b"/>
        <c:title>
          <c:tx>
            <c:rich>
              <a:bodyPr vert="horz" rot="0" anchor="ctr"/>
              <a:lstStyle/>
              <a:p>
                <a:pPr algn="ctr">
                  <a:defRPr/>
                </a:pPr>
                <a:r>
                  <a:rPr lang="en-US" cap="none" sz="150" b="1" i="0" u="none" baseline="0"/>
                  <a:t>Ecart-type</a:t>
                </a:r>
              </a:p>
            </c:rich>
          </c:tx>
          <c:layout/>
          <c:overlay val="0"/>
          <c:spPr>
            <a:noFill/>
            <a:ln>
              <a:noFill/>
            </a:ln>
          </c:spPr>
        </c:title>
        <c:delete val="0"/>
        <c:numFmt formatCode="General" sourceLinked="1"/>
        <c:majorTickMark val="out"/>
        <c:minorTickMark val="none"/>
        <c:tickLblPos val="nextTo"/>
        <c:crossAx val="30630378"/>
        <c:crosses val="autoZero"/>
        <c:crossBetween val="midCat"/>
        <c:dispUnits/>
      </c:valAx>
      <c:valAx>
        <c:axId val="30630378"/>
        <c:scaling>
          <c:orientation val="minMax"/>
        </c:scaling>
        <c:axPos val="l"/>
        <c:title>
          <c:tx>
            <c:rich>
              <a:bodyPr vert="horz" rot="-5400000" anchor="ctr"/>
              <a:lstStyle/>
              <a:p>
                <a:pPr algn="ctr">
                  <a:defRPr/>
                </a:pPr>
                <a:r>
                  <a:rPr lang="en-US" cap="none" sz="150" b="1" i="0" u="none" baseline="0"/>
                  <a:t>Rentabilité attendue</a:t>
                </a:r>
              </a:p>
            </c:rich>
          </c:tx>
          <c:layout/>
          <c:overlay val="0"/>
          <c:spPr>
            <a:noFill/>
            <a:ln>
              <a:noFill/>
            </a:ln>
          </c:spPr>
        </c:title>
        <c:majorGridlines/>
        <c:delete val="0"/>
        <c:numFmt formatCode="General" sourceLinked="1"/>
        <c:majorTickMark val="out"/>
        <c:minorTickMark val="none"/>
        <c:tickLblPos val="nextTo"/>
        <c:crossAx val="3322953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27'!#REF!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27'!#REF!</c:f>
              <c:strCache>
                <c:ptCount val="1"/>
                <c:pt idx="0">
                  <c:v>0</c:v>
                </c:pt>
              </c:strCache>
            </c:strRef>
          </c:xVal>
          <c:yVal>
            <c:numRef>
              <c:f>'Chapitre 27'!#REF!</c:f>
              <c:numCache>
                <c:ptCount val="1"/>
                <c:pt idx="0">
                  <c:v>0</c:v>
                </c:pt>
              </c:numCache>
            </c:numRef>
          </c:yVal>
          <c:smooth val="1"/>
        </c:ser>
        <c:axId val="7237947"/>
        <c:axId val="65141524"/>
      </c:scatterChart>
      <c:valAx>
        <c:axId val="7237947"/>
        <c:scaling>
          <c:orientation val="minMax"/>
        </c:scaling>
        <c:axPos val="b"/>
        <c:delete val="0"/>
        <c:numFmt formatCode="General" sourceLinked="1"/>
        <c:majorTickMark val="out"/>
        <c:minorTickMark val="none"/>
        <c:tickLblPos val="nextTo"/>
        <c:crossAx val="65141524"/>
        <c:crosses val="autoZero"/>
        <c:crossBetween val="midCat"/>
        <c:dispUnits/>
      </c:valAx>
      <c:valAx>
        <c:axId val="65141524"/>
        <c:scaling>
          <c:orientation val="minMax"/>
        </c:scaling>
        <c:axPos val="l"/>
        <c:majorGridlines/>
        <c:delete val="0"/>
        <c:numFmt formatCode="General" sourceLinked="1"/>
        <c:majorTickMark val="out"/>
        <c:minorTickMark val="none"/>
        <c:tickLblPos val="nextTo"/>
        <c:crossAx val="72379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27'!#REF!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27'!#REF!</c:f>
              <c:strCache>
                <c:ptCount val="1"/>
                <c:pt idx="0">
                  <c:v>0</c:v>
                </c:pt>
              </c:strCache>
            </c:strRef>
          </c:xVal>
          <c:yVal>
            <c:numRef>
              <c:f>'Chapitre 27'!#REF!</c:f>
              <c:numCache>
                <c:ptCount val="1"/>
                <c:pt idx="0">
                  <c:v>0</c:v>
                </c:pt>
              </c:numCache>
            </c:numRef>
          </c:yVal>
          <c:smooth val="1"/>
        </c:ser>
        <c:axId val="49402805"/>
        <c:axId val="41972062"/>
      </c:scatterChart>
      <c:valAx>
        <c:axId val="49402805"/>
        <c:scaling>
          <c:orientation val="minMax"/>
        </c:scaling>
        <c:axPos val="b"/>
        <c:delete val="0"/>
        <c:numFmt formatCode="General" sourceLinked="1"/>
        <c:majorTickMark val="out"/>
        <c:minorTickMark val="none"/>
        <c:tickLblPos val="nextTo"/>
        <c:crossAx val="41972062"/>
        <c:crosses val="autoZero"/>
        <c:crossBetween val="midCat"/>
        <c:dispUnits/>
      </c:valAx>
      <c:valAx>
        <c:axId val="41972062"/>
        <c:scaling>
          <c:orientation val="minMax"/>
        </c:scaling>
        <c:axPos val="l"/>
        <c:majorGridlines/>
        <c:delete val="0"/>
        <c:numFmt formatCode="General" sourceLinked="1"/>
        <c:majorTickMark val="out"/>
        <c:minorTickMark val="none"/>
        <c:tickLblPos val="nextTo"/>
        <c:crossAx val="4940280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28'!#REF!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28'!#REF!</c:f>
              <c:strCache>
                <c:ptCount val="1"/>
                <c:pt idx="0">
                  <c:v>0</c:v>
                </c:pt>
              </c:strCache>
            </c:strRef>
          </c:xVal>
          <c:yVal>
            <c:numRef>
              <c:f>'Chapitre 28'!#REF!</c:f>
              <c:numCache>
                <c:ptCount val="1"/>
                <c:pt idx="0">
                  <c:v>0</c:v>
                </c:pt>
              </c:numCache>
            </c:numRef>
          </c:yVal>
          <c:smooth val="1"/>
        </c:ser>
        <c:axId val="42204239"/>
        <c:axId val="44293832"/>
      </c:scatterChart>
      <c:valAx>
        <c:axId val="42204239"/>
        <c:scaling>
          <c:orientation val="minMax"/>
        </c:scaling>
        <c:axPos val="b"/>
        <c:delete val="0"/>
        <c:numFmt formatCode="General" sourceLinked="1"/>
        <c:majorTickMark val="out"/>
        <c:minorTickMark val="none"/>
        <c:tickLblPos val="nextTo"/>
        <c:crossAx val="44293832"/>
        <c:crosses val="autoZero"/>
        <c:crossBetween val="midCat"/>
        <c:dispUnits/>
      </c:valAx>
      <c:valAx>
        <c:axId val="44293832"/>
        <c:scaling>
          <c:orientation val="minMax"/>
        </c:scaling>
        <c:axPos val="l"/>
        <c:majorGridlines/>
        <c:delete val="0"/>
        <c:numFmt formatCode="General" sourceLinked="1"/>
        <c:majorTickMark val="out"/>
        <c:minorTickMark val="none"/>
        <c:tickLblPos val="nextTo"/>
        <c:crossAx val="422042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28'!#REF!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28'!#REF!</c:f>
              <c:strCache>
                <c:ptCount val="1"/>
                <c:pt idx="0">
                  <c:v>0</c:v>
                </c:pt>
              </c:strCache>
            </c:strRef>
          </c:xVal>
          <c:yVal>
            <c:numRef>
              <c:f>'Chapitre 28'!#REF!</c:f>
              <c:numCache>
                <c:ptCount val="1"/>
                <c:pt idx="0">
                  <c:v>0</c:v>
                </c:pt>
              </c:numCache>
            </c:numRef>
          </c:yVal>
          <c:smooth val="1"/>
        </c:ser>
        <c:axId val="63100169"/>
        <c:axId val="31030610"/>
      </c:scatterChart>
      <c:valAx>
        <c:axId val="63100169"/>
        <c:scaling>
          <c:orientation val="minMax"/>
        </c:scaling>
        <c:axPos val="b"/>
        <c:delete val="0"/>
        <c:numFmt formatCode="General" sourceLinked="1"/>
        <c:majorTickMark val="out"/>
        <c:minorTickMark val="none"/>
        <c:tickLblPos val="nextTo"/>
        <c:crossAx val="31030610"/>
        <c:crosses val="autoZero"/>
        <c:crossBetween val="midCat"/>
        <c:dispUnits/>
      </c:valAx>
      <c:valAx>
        <c:axId val="31030610"/>
        <c:scaling>
          <c:orientation val="minMax"/>
        </c:scaling>
        <c:axPos val="l"/>
        <c:majorGridlines/>
        <c:delete val="0"/>
        <c:numFmt formatCode="General" sourceLinked="1"/>
        <c:majorTickMark val="out"/>
        <c:minorTickMark val="none"/>
        <c:tickLblPos val="nextTo"/>
        <c:crossAx val="6310016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
          <c:y val="0.06875"/>
          <c:w val="0.956"/>
          <c:h val="0.9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28'!$E$50:$E$53</c:f>
              <c:numCache>
                <c:ptCount val="4"/>
                <c:pt idx="0">
                  <c:v>31.139130434782608</c:v>
                </c:pt>
                <c:pt idx="1">
                  <c:v>35.71666666666667</c:v>
                </c:pt>
                <c:pt idx="2">
                  <c:v>31.70212765957447</c:v>
                </c:pt>
                <c:pt idx="3">
                  <c:v>25.42</c:v>
                </c:pt>
              </c:numCache>
            </c:numRef>
          </c:xVal>
          <c:yVal>
            <c:numRef>
              <c:f>'Chapitre 28'!$F$50:$F$53</c:f>
              <c:numCache>
                <c:ptCount val="4"/>
                <c:pt idx="0">
                  <c:v>0.2</c:v>
                </c:pt>
                <c:pt idx="1">
                  <c:v>0.25</c:v>
                </c:pt>
                <c:pt idx="2">
                  <c:v>0.2</c:v>
                </c:pt>
                <c:pt idx="3">
                  <c:v>0.15</c:v>
                </c:pt>
              </c:numCache>
            </c:numRef>
          </c:yVal>
          <c:smooth val="0"/>
        </c:ser>
        <c:axId val="10840035"/>
        <c:axId val="30451452"/>
      </c:scatterChart>
      <c:valAx>
        <c:axId val="10840035"/>
        <c:scaling>
          <c:orientation val="minMax"/>
        </c:scaling>
        <c:axPos val="b"/>
        <c:delete val="0"/>
        <c:numFmt formatCode="General" sourceLinked="1"/>
        <c:majorTickMark val="out"/>
        <c:minorTickMark val="none"/>
        <c:tickLblPos val="nextTo"/>
        <c:crossAx val="30451452"/>
        <c:crosses val="autoZero"/>
        <c:crossBetween val="midCat"/>
        <c:dispUnits/>
      </c:valAx>
      <c:valAx>
        <c:axId val="30451452"/>
        <c:scaling>
          <c:orientation val="minMax"/>
        </c:scaling>
        <c:axPos val="l"/>
        <c:majorGridlines/>
        <c:delete val="0"/>
        <c:numFmt formatCode="General" sourceLinked="1"/>
        <c:majorTickMark val="out"/>
        <c:minorTickMark val="none"/>
        <c:tickLblPos val="nextTo"/>
        <c:crossAx val="108400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29'!#REF!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29'!#REF!</c:f>
              <c:strCache>
                <c:ptCount val="1"/>
                <c:pt idx="0">
                  <c:v>0</c:v>
                </c:pt>
              </c:strCache>
            </c:strRef>
          </c:xVal>
          <c:yVal>
            <c:numRef>
              <c:f>'Chapitre 29'!#REF!</c:f>
              <c:numCache>
                <c:ptCount val="1"/>
                <c:pt idx="0">
                  <c:v>0</c:v>
                </c:pt>
              </c:numCache>
            </c:numRef>
          </c:yVal>
          <c:smooth val="1"/>
        </c:ser>
        <c:axId val="5627613"/>
        <c:axId val="50648518"/>
      </c:scatterChart>
      <c:valAx>
        <c:axId val="5627613"/>
        <c:scaling>
          <c:orientation val="minMax"/>
        </c:scaling>
        <c:axPos val="b"/>
        <c:delete val="0"/>
        <c:numFmt formatCode="General" sourceLinked="1"/>
        <c:majorTickMark val="out"/>
        <c:minorTickMark val="none"/>
        <c:tickLblPos val="nextTo"/>
        <c:crossAx val="50648518"/>
        <c:crosses val="autoZero"/>
        <c:crossBetween val="midCat"/>
        <c:dispUnits/>
      </c:valAx>
      <c:valAx>
        <c:axId val="50648518"/>
        <c:scaling>
          <c:orientation val="minMax"/>
        </c:scaling>
        <c:axPos val="l"/>
        <c:majorGridlines/>
        <c:delete val="0"/>
        <c:numFmt formatCode="General" sourceLinked="1"/>
        <c:majorTickMark val="out"/>
        <c:minorTickMark val="none"/>
        <c:tickLblPos val="nextTo"/>
        <c:crossAx val="56276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29'!#REF!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29'!#REF!</c:f>
              <c:strCache>
                <c:ptCount val="1"/>
                <c:pt idx="0">
                  <c:v>0</c:v>
                </c:pt>
              </c:strCache>
            </c:strRef>
          </c:xVal>
          <c:yVal>
            <c:numRef>
              <c:f>'Chapitre 29'!#REF!</c:f>
              <c:numCache>
                <c:ptCount val="1"/>
                <c:pt idx="0">
                  <c:v>0</c:v>
                </c:pt>
              </c:numCache>
            </c:numRef>
          </c:yVal>
          <c:smooth val="1"/>
        </c:ser>
        <c:axId val="53183479"/>
        <c:axId val="8889264"/>
      </c:scatterChart>
      <c:valAx>
        <c:axId val="53183479"/>
        <c:scaling>
          <c:orientation val="minMax"/>
        </c:scaling>
        <c:axPos val="b"/>
        <c:delete val="0"/>
        <c:numFmt formatCode="General" sourceLinked="1"/>
        <c:majorTickMark val="out"/>
        <c:minorTickMark val="none"/>
        <c:tickLblPos val="nextTo"/>
        <c:crossAx val="8889264"/>
        <c:crosses val="autoZero"/>
        <c:crossBetween val="midCat"/>
        <c:dispUnits/>
      </c:valAx>
      <c:valAx>
        <c:axId val="8889264"/>
        <c:scaling>
          <c:orientation val="minMax"/>
        </c:scaling>
        <c:axPos val="l"/>
        <c:majorGridlines/>
        <c:delete val="0"/>
        <c:numFmt formatCode="General" sourceLinked="1"/>
        <c:majorTickMark val="out"/>
        <c:minorTickMark val="none"/>
        <c:tickLblPos val="nextTo"/>
        <c:crossAx val="5318347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30'!#REF!</c:f>
              <c:strCache>
                <c:ptCount val="1"/>
                <c:pt idx="0">
                  <c:v>0</c:v>
                </c:pt>
              </c:strCache>
            </c:strRef>
          </c:xVal>
          <c:yVal>
            <c:numRef>
              <c:f>'Chapitre 30'!#REF!</c:f>
              <c:numCache>
                <c:ptCount val="1"/>
                <c:pt idx="0">
                  <c:v>0</c:v>
                </c:pt>
              </c:numCache>
            </c:numRef>
          </c:yVal>
          <c:smooth val="1"/>
        </c:ser>
        <c:axId val="12894513"/>
        <c:axId val="48941754"/>
      </c:scatterChart>
      <c:valAx>
        <c:axId val="12894513"/>
        <c:scaling>
          <c:orientation val="minMax"/>
        </c:scaling>
        <c:axPos val="b"/>
        <c:delete val="0"/>
        <c:numFmt formatCode="General" sourceLinked="1"/>
        <c:majorTickMark val="out"/>
        <c:minorTickMark val="none"/>
        <c:tickLblPos val="nextTo"/>
        <c:crossAx val="48941754"/>
        <c:crosses val="autoZero"/>
        <c:crossBetween val="midCat"/>
        <c:dispUnits/>
      </c:valAx>
      <c:valAx>
        <c:axId val="48941754"/>
        <c:scaling>
          <c:orientation val="minMax"/>
        </c:scaling>
        <c:axPos val="l"/>
        <c:majorGridlines/>
        <c:delete val="0"/>
        <c:numFmt formatCode="General" sourceLinked="1"/>
        <c:majorTickMark val="out"/>
        <c:minorTickMark val="none"/>
        <c:tickLblPos val="nextTo"/>
        <c:crossAx val="128945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30'!#REF!</c:f>
              <c:strCache>
                <c:ptCount val="1"/>
                <c:pt idx="0">
                  <c:v>0</c:v>
                </c:pt>
              </c:strCache>
            </c:strRef>
          </c:xVal>
          <c:yVal>
            <c:numRef>
              <c:f>'Chapitre 30'!#REF!</c:f>
              <c:numCache>
                <c:ptCount val="1"/>
                <c:pt idx="0">
                  <c:v>0</c:v>
                </c:pt>
              </c:numCache>
            </c:numRef>
          </c:yVal>
          <c:smooth val="1"/>
        </c:ser>
        <c:axId val="37822603"/>
        <c:axId val="4859108"/>
      </c:scatterChart>
      <c:valAx>
        <c:axId val="37822603"/>
        <c:scaling>
          <c:orientation val="minMax"/>
        </c:scaling>
        <c:axPos val="b"/>
        <c:delete val="0"/>
        <c:numFmt formatCode="General" sourceLinked="1"/>
        <c:majorTickMark val="out"/>
        <c:minorTickMark val="none"/>
        <c:tickLblPos val="nextTo"/>
        <c:crossAx val="4859108"/>
        <c:crosses val="autoZero"/>
        <c:crossBetween val="midCat"/>
        <c:dispUnits/>
      </c:valAx>
      <c:valAx>
        <c:axId val="4859108"/>
        <c:scaling>
          <c:orientation val="minMax"/>
        </c:scaling>
        <c:axPos val="l"/>
        <c:majorGridlines/>
        <c:delete val="0"/>
        <c:numFmt formatCode="General" sourceLinked="1"/>
        <c:majorTickMark val="out"/>
        <c:minorTickMark val="none"/>
        <c:tickLblPos val="nextTo"/>
        <c:crossAx val="3782260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VAN comparées</a:t>
            </a:r>
          </a:p>
        </c:rich>
      </c:tx>
      <c:layout/>
      <c:spPr>
        <a:noFill/>
        <a:ln>
          <a:noFill/>
        </a:ln>
      </c:spPr>
    </c:title>
    <c:plotArea>
      <c:layout>
        <c:manualLayout>
          <c:xMode val="edge"/>
          <c:yMode val="edge"/>
          <c:x val="0.02625"/>
          <c:y val="0.133"/>
          <c:w val="0.827"/>
          <c:h val="0.80325"/>
        </c:manualLayout>
      </c:layout>
      <c:scatterChart>
        <c:scatterStyle val="smooth"/>
        <c:varyColors val="0"/>
        <c:ser>
          <c:idx val="0"/>
          <c:order val="0"/>
          <c:tx>
            <c:strRef>
              <c:f>'Chapitre 22'!$A$47</c:f>
              <c:strCache>
                <c:ptCount val="1"/>
                <c:pt idx="0">
                  <c:v>VAN Titre 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'Chapitre 22'!$B$46:$N$46</c:f>
              <c:numCache>
                <c:ptCount val="13"/>
                <c:pt idx="0">
                  <c:v>0.09</c:v>
                </c:pt>
                <c:pt idx="1">
                  <c:v>0.09999999999999999</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'Chapitre 22'!$B$47:$N$47</c:f>
              <c:numCache>
                <c:ptCount val="13"/>
                <c:pt idx="0">
                  <c:v>0.48591859023093176</c:v>
                </c:pt>
                <c:pt idx="1">
                  <c:v>0.3552606994622248</c:v>
                </c:pt>
                <c:pt idx="2">
                  <c:v>0.23053785373825852</c:v>
                </c:pt>
                <c:pt idx="3">
                  <c:v>0.1114073235223274</c:v>
                </c:pt>
                <c:pt idx="4">
                  <c:v>-0.0024502110241529373</c:v>
                </c:pt>
                <c:pt idx="5">
                  <c:v>-0.11133248345748997</c:v>
                </c:pt>
                <c:pt idx="6">
                  <c:v>-0.21551730607704078</c:v>
                </c:pt>
                <c:pt idx="7">
                  <c:v>-0.315264091671348</c:v>
                </c:pt>
                <c:pt idx="8">
                  <c:v>-0.4108152455305845</c:v>
                </c:pt>
                <c:pt idx="9">
                  <c:v>-0.502397439879748</c:v>
                </c:pt>
                <c:pt idx="10">
                  <c:v>-0.590222781649741</c:v>
                </c:pt>
                <c:pt idx="11">
                  <c:v>-0.6744898834019204</c:v>
                </c:pt>
                <c:pt idx="12">
                  <c:v>-0.755384846239794</c:v>
                </c:pt>
              </c:numCache>
            </c:numRef>
          </c:yVal>
          <c:smooth val="1"/>
        </c:ser>
        <c:ser>
          <c:idx val="1"/>
          <c:order val="1"/>
          <c:tx>
            <c:strRef>
              <c:f>'Chapitre 22'!$A$48</c:f>
              <c:strCache>
                <c:ptCount val="1"/>
                <c:pt idx="0">
                  <c:v>VAN Titre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'Chapitre 22'!$B$46:$N$46</c:f>
              <c:numCache>
                <c:ptCount val="13"/>
                <c:pt idx="0">
                  <c:v>0.09</c:v>
                </c:pt>
                <c:pt idx="1">
                  <c:v>0.09999999999999999</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'Chapitre 22'!$B$48:$N$48</c:f>
              <c:numCache>
                <c:ptCount val="13"/>
                <c:pt idx="0">
                  <c:v>0.7140324879911291</c:v>
                </c:pt>
                <c:pt idx="1">
                  <c:v>0.5539487491539936</c:v>
                </c:pt>
                <c:pt idx="2">
                  <c:v>0.4001071935466777</c:v>
                </c:pt>
                <c:pt idx="3">
                  <c:v>0.25218981372159077</c:v>
                </c:pt>
                <c:pt idx="4">
                  <c:v>0.10989811010715289</c:v>
                </c:pt>
                <c:pt idx="5">
                  <c:v>-0.027048291249088918</c:v>
                </c:pt>
                <c:pt idx="6">
                  <c:v>-0.15891291063885038</c:v>
                </c:pt>
                <c:pt idx="7">
                  <c:v>-0.2859435860955416</c:v>
                </c:pt>
                <c:pt idx="8">
                  <c:v>-0.4083735530425634</c:v>
                </c:pt>
                <c:pt idx="9">
                  <c:v>-0.526422440147051</c:v>
                </c:pt>
                <c:pt idx="10">
                  <c:v>-0.6402971885835348</c:v>
                </c:pt>
                <c:pt idx="11">
                  <c:v>-0.7501929012345673</c:v>
                </c:pt>
                <c:pt idx="12">
                  <c:v>-0.8562936277468232</c:v>
                </c:pt>
              </c:numCache>
            </c:numRef>
          </c:yVal>
          <c:smooth val="1"/>
        </c:ser>
        <c:axId val="56614033"/>
        <c:axId val="39764250"/>
      </c:scatterChart>
      <c:valAx>
        <c:axId val="56614033"/>
        <c:scaling>
          <c:orientation val="minMax"/>
          <c:min val="0.08"/>
        </c:scaling>
        <c:axPos val="b"/>
        <c:title>
          <c:tx>
            <c:rich>
              <a:bodyPr vert="horz" rot="0" anchor="ctr"/>
              <a:lstStyle/>
              <a:p>
                <a:pPr algn="ctr">
                  <a:defRPr/>
                </a:pPr>
                <a:r>
                  <a:rPr lang="en-US" cap="none" sz="850" b="1" i="0" u="none" baseline="0"/>
                  <a:t>Taux</a:t>
                </a:r>
              </a:p>
            </c:rich>
          </c:tx>
          <c:layout/>
          <c:overlay val="0"/>
          <c:spPr>
            <a:noFill/>
            <a:ln>
              <a:noFill/>
            </a:ln>
          </c:spPr>
        </c:title>
        <c:delete val="0"/>
        <c:numFmt formatCode="General" sourceLinked="1"/>
        <c:majorTickMark val="out"/>
        <c:minorTickMark val="none"/>
        <c:tickLblPos val="nextTo"/>
        <c:crossAx val="39764250"/>
        <c:crosses val="autoZero"/>
        <c:crossBetween val="midCat"/>
        <c:dispUnits/>
      </c:valAx>
      <c:valAx>
        <c:axId val="39764250"/>
        <c:scaling>
          <c:orientation val="minMax"/>
        </c:scaling>
        <c:axPos val="l"/>
        <c:title>
          <c:tx>
            <c:rich>
              <a:bodyPr vert="horz" rot="-5400000" anchor="ctr"/>
              <a:lstStyle/>
              <a:p>
                <a:pPr algn="ctr">
                  <a:defRPr/>
                </a:pPr>
                <a:r>
                  <a:rPr lang="en-US" cap="none" sz="850" b="1" i="0" u="none" baseline="0"/>
                  <a:t>VAN</a:t>
                </a:r>
              </a:p>
            </c:rich>
          </c:tx>
          <c:layout/>
          <c:overlay val="0"/>
          <c:spPr>
            <a:noFill/>
            <a:ln>
              <a:noFill/>
            </a:ln>
          </c:spPr>
        </c:title>
        <c:majorGridlines/>
        <c:delete val="0"/>
        <c:numFmt formatCode="General" sourceLinked="1"/>
        <c:majorTickMark val="out"/>
        <c:minorTickMark val="none"/>
        <c:tickLblPos val="nextTo"/>
        <c:crossAx val="56614033"/>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31'!#REF!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31'!#REF!</c:f>
              <c:strCache>
                <c:ptCount val="1"/>
                <c:pt idx="0">
                  <c:v>1</c:v>
                </c:pt>
              </c:strCache>
            </c:strRef>
          </c:xVal>
          <c:yVal>
            <c:numRef>
              <c:f>' Chapitre 31'!#REF!</c:f>
              <c:numCache>
                <c:ptCount val="1"/>
                <c:pt idx="0">
                  <c:v>1</c:v>
                </c:pt>
              </c:numCache>
            </c:numRef>
          </c:yVal>
          <c:smooth val="1"/>
        </c:ser>
        <c:axId val="43731973"/>
        <c:axId val="58043438"/>
      </c:scatterChart>
      <c:valAx>
        <c:axId val="43731973"/>
        <c:scaling>
          <c:orientation val="minMax"/>
        </c:scaling>
        <c:axPos val="b"/>
        <c:delete val="0"/>
        <c:numFmt formatCode="General" sourceLinked="1"/>
        <c:majorTickMark val="out"/>
        <c:minorTickMark val="none"/>
        <c:tickLblPos val="nextTo"/>
        <c:crossAx val="58043438"/>
        <c:crosses val="autoZero"/>
        <c:crossBetween val="midCat"/>
        <c:dispUnits/>
      </c:valAx>
      <c:valAx>
        <c:axId val="58043438"/>
        <c:scaling>
          <c:orientation val="minMax"/>
        </c:scaling>
        <c:axPos val="l"/>
        <c:majorGridlines/>
        <c:delete val="0"/>
        <c:numFmt formatCode="General" sourceLinked="1"/>
        <c:majorTickMark val="out"/>
        <c:minorTickMark val="none"/>
        <c:tickLblPos val="nextTo"/>
        <c:crossAx val="437319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31'!#REF!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31'!#REF!</c:f>
              <c:strCache>
                <c:ptCount val="1"/>
                <c:pt idx="0">
                  <c:v>1</c:v>
                </c:pt>
              </c:strCache>
            </c:strRef>
          </c:xVal>
          <c:yVal>
            <c:numRef>
              <c:f>' Chapitre 31'!#REF!</c:f>
              <c:numCache>
                <c:ptCount val="1"/>
                <c:pt idx="0">
                  <c:v>1</c:v>
                </c:pt>
              </c:numCache>
            </c:numRef>
          </c:yVal>
          <c:smooth val="1"/>
        </c:ser>
        <c:axId val="52628895"/>
        <c:axId val="3898008"/>
      </c:scatterChart>
      <c:valAx>
        <c:axId val="52628895"/>
        <c:scaling>
          <c:orientation val="minMax"/>
        </c:scaling>
        <c:axPos val="b"/>
        <c:delete val="0"/>
        <c:numFmt formatCode="General" sourceLinked="1"/>
        <c:majorTickMark val="out"/>
        <c:minorTickMark val="none"/>
        <c:tickLblPos val="nextTo"/>
        <c:crossAx val="3898008"/>
        <c:crosses val="autoZero"/>
        <c:crossBetween val="midCat"/>
        <c:dispUnits/>
      </c:valAx>
      <c:valAx>
        <c:axId val="3898008"/>
        <c:scaling>
          <c:orientation val="minMax"/>
        </c:scaling>
        <c:axPos val="l"/>
        <c:majorGridlines/>
        <c:delete val="0"/>
        <c:numFmt formatCode="General" sourceLinked="1"/>
        <c:majorTickMark val="out"/>
        <c:minorTickMark val="none"/>
        <c:tickLblPos val="nextTo"/>
        <c:crossAx val="526288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32'!#REF!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32'!#REF!</c:f>
              <c:strCache>
                <c:ptCount val="1"/>
                <c:pt idx="0">
                  <c:v>1</c:v>
                </c:pt>
              </c:strCache>
            </c:strRef>
          </c:xVal>
          <c:yVal>
            <c:numRef>
              <c:f>' Chapitre 32'!#REF!</c:f>
              <c:numCache>
                <c:ptCount val="1"/>
                <c:pt idx="0">
                  <c:v>1</c:v>
                </c:pt>
              </c:numCache>
            </c:numRef>
          </c:yVal>
          <c:smooth val="1"/>
        </c:ser>
        <c:axId val="35082073"/>
        <c:axId val="47303202"/>
      </c:scatterChart>
      <c:valAx>
        <c:axId val="35082073"/>
        <c:scaling>
          <c:orientation val="minMax"/>
        </c:scaling>
        <c:axPos val="b"/>
        <c:delete val="0"/>
        <c:numFmt formatCode="General" sourceLinked="1"/>
        <c:majorTickMark val="out"/>
        <c:minorTickMark val="none"/>
        <c:tickLblPos val="nextTo"/>
        <c:crossAx val="47303202"/>
        <c:crosses val="autoZero"/>
        <c:crossBetween val="midCat"/>
        <c:dispUnits/>
      </c:valAx>
      <c:valAx>
        <c:axId val="47303202"/>
        <c:scaling>
          <c:orientation val="minMax"/>
        </c:scaling>
        <c:axPos val="l"/>
        <c:majorGridlines/>
        <c:delete val="0"/>
        <c:numFmt formatCode="General" sourceLinked="1"/>
        <c:majorTickMark val="out"/>
        <c:minorTickMark val="none"/>
        <c:tickLblPos val="nextTo"/>
        <c:crossAx val="3508207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32'!#REF!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32'!#REF!</c:f>
              <c:strCache>
                <c:ptCount val="1"/>
                <c:pt idx="0">
                  <c:v>1</c:v>
                </c:pt>
              </c:strCache>
            </c:strRef>
          </c:xVal>
          <c:yVal>
            <c:numRef>
              <c:f>' Chapitre 32'!#REF!</c:f>
              <c:numCache>
                <c:ptCount val="1"/>
                <c:pt idx="0">
                  <c:v>1</c:v>
                </c:pt>
              </c:numCache>
            </c:numRef>
          </c:yVal>
          <c:smooth val="1"/>
        </c:ser>
        <c:axId val="23075635"/>
        <c:axId val="6354124"/>
      </c:scatterChart>
      <c:valAx>
        <c:axId val="23075635"/>
        <c:scaling>
          <c:orientation val="minMax"/>
        </c:scaling>
        <c:axPos val="b"/>
        <c:delete val="0"/>
        <c:numFmt formatCode="General" sourceLinked="1"/>
        <c:majorTickMark val="out"/>
        <c:minorTickMark val="none"/>
        <c:tickLblPos val="nextTo"/>
        <c:crossAx val="6354124"/>
        <c:crosses val="autoZero"/>
        <c:crossBetween val="midCat"/>
        <c:dispUnits/>
      </c:valAx>
      <c:valAx>
        <c:axId val="6354124"/>
        <c:scaling>
          <c:orientation val="minMax"/>
        </c:scaling>
        <c:axPos val="l"/>
        <c:majorGridlines/>
        <c:delete val="0"/>
        <c:numFmt formatCode="General" sourceLinked="1"/>
        <c:majorTickMark val="out"/>
        <c:minorTickMark val="none"/>
        <c:tickLblPos val="nextTo"/>
        <c:crossAx val="2307563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33 '!#REF!</c:f>
              <c:strCache>
                <c:ptCount val="1"/>
                <c:pt idx="0">
                  <c:v>0</c:v>
                </c:pt>
              </c:strCache>
            </c:strRef>
          </c:xVal>
          <c:yVal>
            <c:numRef>
              <c:f>'Chapitre 33 '!#REF!</c:f>
              <c:numCache>
                <c:ptCount val="1"/>
                <c:pt idx="0">
                  <c:v>0</c:v>
                </c:pt>
              </c:numCache>
            </c:numRef>
          </c:yVal>
          <c:smooth val="1"/>
        </c:ser>
        <c:axId val="57187117"/>
        <c:axId val="44922006"/>
      </c:scatterChart>
      <c:valAx>
        <c:axId val="57187117"/>
        <c:scaling>
          <c:orientation val="minMax"/>
        </c:scaling>
        <c:axPos val="b"/>
        <c:delete val="0"/>
        <c:numFmt formatCode="General" sourceLinked="1"/>
        <c:majorTickMark val="out"/>
        <c:minorTickMark val="none"/>
        <c:tickLblPos val="nextTo"/>
        <c:crossAx val="44922006"/>
        <c:crosses val="autoZero"/>
        <c:crossBetween val="midCat"/>
        <c:dispUnits/>
      </c:valAx>
      <c:valAx>
        <c:axId val="44922006"/>
        <c:scaling>
          <c:orientation val="minMax"/>
        </c:scaling>
        <c:axPos val="l"/>
        <c:majorGridlines/>
        <c:delete val="0"/>
        <c:numFmt formatCode="General" sourceLinked="1"/>
        <c:majorTickMark val="out"/>
        <c:minorTickMark val="none"/>
        <c:tickLblPos val="nextTo"/>
        <c:crossAx val="5718711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33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33 '!#REF!</c:f>
              <c:strCache>
                <c:ptCount val="1"/>
                <c:pt idx="0">
                  <c:v>0</c:v>
                </c:pt>
              </c:strCache>
            </c:strRef>
          </c:xVal>
          <c:yVal>
            <c:numRef>
              <c:f>'Chapitre 33 '!#REF!</c:f>
              <c:numCache>
                <c:ptCount val="1"/>
                <c:pt idx="0">
                  <c:v>0</c:v>
                </c:pt>
              </c:numCache>
            </c:numRef>
          </c:yVal>
          <c:smooth val="1"/>
        </c:ser>
        <c:axId val="1644871"/>
        <c:axId val="14803840"/>
      </c:scatterChart>
      <c:valAx>
        <c:axId val="1644871"/>
        <c:scaling>
          <c:orientation val="minMax"/>
        </c:scaling>
        <c:axPos val="b"/>
        <c:delete val="0"/>
        <c:numFmt formatCode="General" sourceLinked="1"/>
        <c:majorTickMark val="out"/>
        <c:minorTickMark val="none"/>
        <c:tickLblPos val="nextTo"/>
        <c:crossAx val="14803840"/>
        <c:crosses val="autoZero"/>
        <c:crossBetween val="midCat"/>
        <c:dispUnits/>
      </c:valAx>
      <c:valAx>
        <c:axId val="14803840"/>
        <c:scaling>
          <c:orientation val="minMax"/>
        </c:scaling>
        <c:axPos val="l"/>
        <c:majorGridlines/>
        <c:delete val="0"/>
        <c:numFmt formatCode="General" sourceLinked="1"/>
        <c:majorTickMark val="out"/>
        <c:minorTickMark val="none"/>
        <c:tickLblPos val="nextTo"/>
        <c:crossAx val="164487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34'!#REF!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34'!#REF!</c:f>
              <c:strCache>
                <c:ptCount val="1"/>
                <c:pt idx="0">
                  <c:v>0</c:v>
                </c:pt>
              </c:strCache>
            </c:strRef>
          </c:xVal>
          <c:yVal>
            <c:numRef>
              <c:f>'Chapitre 34'!#REF!</c:f>
              <c:numCache>
                <c:ptCount val="1"/>
                <c:pt idx="0">
                  <c:v>0</c:v>
                </c:pt>
              </c:numCache>
            </c:numRef>
          </c:yVal>
          <c:smooth val="1"/>
        </c:ser>
        <c:axId val="66125697"/>
        <c:axId val="58260362"/>
      </c:scatterChart>
      <c:valAx>
        <c:axId val="66125697"/>
        <c:scaling>
          <c:orientation val="minMax"/>
        </c:scaling>
        <c:axPos val="b"/>
        <c:delete val="0"/>
        <c:numFmt formatCode="General" sourceLinked="1"/>
        <c:majorTickMark val="out"/>
        <c:minorTickMark val="none"/>
        <c:tickLblPos val="nextTo"/>
        <c:crossAx val="58260362"/>
        <c:crosses val="autoZero"/>
        <c:crossBetween val="midCat"/>
        <c:dispUnits/>
      </c:valAx>
      <c:valAx>
        <c:axId val="58260362"/>
        <c:scaling>
          <c:orientation val="minMax"/>
        </c:scaling>
        <c:axPos val="l"/>
        <c:majorGridlines/>
        <c:delete val="0"/>
        <c:numFmt formatCode="General" sourceLinked="1"/>
        <c:majorTickMark val="out"/>
        <c:minorTickMark val="none"/>
        <c:tickLblPos val="nextTo"/>
        <c:crossAx val="6612569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34'!#REF!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34'!#REF!</c:f>
              <c:strCache>
                <c:ptCount val="1"/>
                <c:pt idx="0">
                  <c:v>0</c:v>
                </c:pt>
              </c:strCache>
            </c:strRef>
          </c:xVal>
          <c:yVal>
            <c:numRef>
              <c:f>'Chapitre 34'!#REF!</c:f>
              <c:numCache>
                <c:ptCount val="1"/>
                <c:pt idx="0">
                  <c:v>0</c:v>
                </c:pt>
              </c:numCache>
            </c:numRef>
          </c:yVal>
          <c:smooth val="1"/>
        </c:ser>
        <c:axId val="54581211"/>
        <c:axId val="21468852"/>
      </c:scatterChart>
      <c:valAx>
        <c:axId val="54581211"/>
        <c:scaling>
          <c:orientation val="minMax"/>
        </c:scaling>
        <c:axPos val="b"/>
        <c:delete val="0"/>
        <c:numFmt formatCode="General" sourceLinked="1"/>
        <c:majorTickMark val="out"/>
        <c:minorTickMark val="none"/>
        <c:tickLblPos val="nextTo"/>
        <c:crossAx val="21468852"/>
        <c:crosses val="autoZero"/>
        <c:crossBetween val="midCat"/>
        <c:dispUnits/>
      </c:valAx>
      <c:valAx>
        <c:axId val="21468852"/>
        <c:scaling>
          <c:orientation val="minMax"/>
        </c:scaling>
        <c:axPos val="l"/>
        <c:majorGridlines/>
        <c:delete val="0"/>
        <c:numFmt formatCode="General" sourceLinked="1"/>
        <c:majorTickMark val="out"/>
        <c:minorTickMark val="none"/>
        <c:tickLblPos val="nextTo"/>
        <c:crossAx val="5458121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35'!#REF!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35'!#REF!</c:f>
              <c:strCache>
                <c:ptCount val="1"/>
                <c:pt idx="0">
                  <c:v>1</c:v>
                </c:pt>
              </c:strCache>
            </c:strRef>
          </c:xVal>
          <c:yVal>
            <c:numRef>
              <c:f>' Chapitre 35'!#REF!</c:f>
              <c:numCache>
                <c:ptCount val="1"/>
                <c:pt idx="0">
                  <c:v>1</c:v>
                </c:pt>
              </c:numCache>
            </c:numRef>
          </c:yVal>
          <c:smooth val="1"/>
        </c:ser>
        <c:axId val="59001941"/>
        <c:axId val="61255422"/>
      </c:scatterChart>
      <c:valAx>
        <c:axId val="59001941"/>
        <c:scaling>
          <c:orientation val="minMax"/>
        </c:scaling>
        <c:axPos val="b"/>
        <c:delete val="0"/>
        <c:numFmt formatCode="General" sourceLinked="1"/>
        <c:majorTickMark val="out"/>
        <c:minorTickMark val="none"/>
        <c:tickLblPos val="nextTo"/>
        <c:crossAx val="61255422"/>
        <c:crosses val="autoZero"/>
        <c:crossBetween val="midCat"/>
        <c:dispUnits/>
      </c:valAx>
      <c:valAx>
        <c:axId val="61255422"/>
        <c:scaling>
          <c:orientation val="minMax"/>
        </c:scaling>
        <c:axPos val="l"/>
        <c:majorGridlines/>
        <c:delete val="0"/>
        <c:numFmt formatCode="General" sourceLinked="1"/>
        <c:majorTickMark val="out"/>
        <c:minorTickMark val="none"/>
        <c:tickLblPos val="nextTo"/>
        <c:crossAx val="5900194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35'!#REF!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35'!#REF!</c:f>
              <c:strCache>
                <c:ptCount val="1"/>
                <c:pt idx="0">
                  <c:v>1</c:v>
                </c:pt>
              </c:strCache>
            </c:strRef>
          </c:xVal>
          <c:yVal>
            <c:numRef>
              <c:f>' Chapitre 35'!#REF!</c:f>
              <c:numCache>
                <c:ptCount val="1"/>
                <c:pt idx="0">
                  <c:v>1</c:v>
                </c:pt>
              </c:numCache>
            </c:numRef>
          </c:yVal>
          <c:smooth val="1"/>
        </c:ser>
        <c:axId val="14427887"/>
        <c:axId val="62742120"/>
      </c:scatterChart>
      <c:valAx>
        <c:axId val="14427887"/>
        <c:scaling>
          <c:orientation val="minMax"/>
        </c:scaling>
        <c:axPos val="b"/>
        <c:delete val="0"/>
        <c:numFmt formatCode="General" sourceLinked="1"/>
        <c:majorTickMark val="out"/>
        <c:minorTickMark val="none"/>
        <c:tickLblPos val="nextTo"/>
        <c:crossAx val="62742120"/>
        <c:crosses val="autoZero"/>
        <c:crossBetween val="midCat"/>
        <c:dispUnits/>
      </c:valAx>
      <c:valAx>
        <c:axId val="62742120"/>
        <c:scaling>
          <c:orientation val="minMax"/>
        </c:scaling>
        <c:axPos val="l"/>
        <c:majorGridlines/>
        <c:delete val="0"/>
        <c:numFmt formatCode="General" sourceLinked="1"/>
        <c:majorTickMark val="out"/>
        <c:minorTickMark val="none"/>
        <c:tickLblPos val="nextTo"/>
        <c:crossAx val="144278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
          <c:w val="0.715"/>
          <c:h val="0.99275"/>
        </c:manualLayout>
      </c:layout>
      <c:barChart>
        <c:barDir val="col"/>
        <c:grouping val="stacked"/>
        <c:varyColors val="0"/>
        <c:ser>
          <c:idx val="3"/>
          <c:order val="0"/>
          <c:tx>
            <c:strRef>
              <c:f>'Chapitre 22'!$D$86</c:f>
              <c:strCache>
                <c:ptCount val="1"/>
                <c:pt idx="0">
                  <c:v>Amort. du capital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22'!$D$87:$D$90</c:f>
              <c:numCache>
                <c:ptCount val="4"/>
                <c:pt idx="0">
                  <c:v>22.5228</c:v>
                </c:pt>
                <c:pt idx="1">
                  <c:v>24.099396</c:v>
                </c:pt>
                <c:pt idx="2">
                  <c:v>25.78635372</c:v>
                </c:pt>
                <c:pt idx="3">
                  <c:v>27.5913984804</c:v>
                </c:pt>
              </c:numCache>
            </c:numRef>
          </c:val>
        </c:ser>
        <c:ser>
          <c:idx val="4"/>
          <c:order val="1"/>
          <c:tx>
            <c:strRef>
              <c:f>'Chapitre 22'!$E$86</c:f>
              <c:strCache>
                <c:ptCount val="1"/>
                <c:pt idx="0">
                  <c:v>Intérêts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22'!$E$87:$E$90</c:f>
              <c:numCache>
                <c:ptCount val="4"/>
                <c:pt idx="0">
                  <c:v>7.000000000000001</c:v>
                </c:pt>
                <c:pt idx="1">
                  <c:v>5.423404000000001</c:v>
                </c:pt>
                <c:pt idx="2">
                  <c:v>3.73644628</c:v>
                </c:pt>
                <c:pt idx="3">
                  <c:v>1.9314015195999998</c:v>
                </c:pt>
              </c:numCache>
            </c:numRef>
          </c:val>
        </c:ser>
        <c:overlap val="100"/>
        <c:axId val="22333931"/>
        <c:axId val="66787652"/>
      </c:barChart>
      <c:catAx>
        <c:axId val="22333931"/>
        <c:scaling>
          <c:orientation val="minMax"/>
        </c:scaling>
        <c:axPos val="b"/>
        <c:title>
          <c:tx>
            <c:rich>
              <a:bodyPr vert="horz" rot="0" anchor="ctr"/>
              <a:lstStyle/>
              <a:p>
                <a:pPr algn="ctr">
                  <a:defRPr/>
                </a:pPr>
                <a:r>
                  <a:rPr lang="en-US" cap="none" sz="825" b="1" i="0" u="none" baseline="0"/>
                  <a:t>Période</a:t>
                </a:r>
              </a:p>
            </c:rich>
          </c:tx>
          <c:layout/>
          <c:overlay val="0"/>
          <c:spPr>
            <a:noFill/>
            <a:ln>
              <a:noFill/>
            </a:ln>
          </c:spPr>
        </c:title>
        <c:delete val="0"/>
        <c:numFmt formatCode="General" sourceLinked="1"/>
        <c:majorTickMark val="out"/>
        <c:minorTickMark val="none"/>
        <c:tickLblPos val="nextTo"/>
        <c:crossAx val="66787652"/>
        <c:crosses val="autoZero"/>
        <c:auto val="1"/>
        <c:lblOffset val="100"/>
        <c:noMultiLvlLbl val="0"/>
      </c:catAx>
      <c:valAx>
        <c:axId val="66787652"/>
        <c:scaling>
          <c:orientation val="minMax"/>
        </c:scaling>
        <c:axPos val="l"/>
        <c:title>
          <c:tx>
            <c:rich>
              <a:bodyPr vert="horz" rot="-5400000" anchor="ctr"/>
              <a:lstStyle/>
              <a:p>
                <a:pPr algn="ctr">
                  <a:defRPr/>
                </a:pPr>
                <a:r>
                  <a:rPr lang="en-US" cap="none" sz="825"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600" b="0" i="0" u="none" baseline="0"/>
            </a:pPr>
          </a:p>
        </c:txPr>
        <c:crossAx val="22333931"/>
        <c:crossesAt val="1"/>
        <c:crossBetween val="between"/>
        <c:dispUnits/>
      </c:valAx>
      <c:spPr>
        <a:solidFill>
          <a:srgbClr val="C0C0C0"/>
        </a:solidFill>
        <a:ln w="12700">
          <a:solidFill>
            <a:srgbClr val="808080"/>
          </a:solidFill>
        </a:ln>
      </c:spPr>
    </c:plotArea>
    <c:legend>
      <c:legendPos val="r"/>
      <c:layout>
        <c:manualLayout>
          <c:xMode val="edge"/>
          <c:yMode val="edge"/>
          <c:x val="0.78275"/>
          <c:y val="0.347"/>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8"/>
          <c:order val="0"/>
          <c:tx>
            <c:strRef>
              <c:f>' Chapitre 35'!#REF!</c:f>
              <c:strCache>
                <c:ptCount val="1"/>
                <c:pt idx="0">
                  <c:v>#REF!</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00"/>
                </a:solidFill>
              </a:ln>
            </c:spPr>
          </c:marker>
          <c:cat>
            <c:strRef>
              <c:f>' Chapitre 35'!#REF!</c:f>
              <c:strCache>
                <c:ptCount val="1"/>
                <c:pt idx="0">
                  <c:v>1</c:v>
                </c:pt>
              </c:strCache>
            </c:strRef>
          </c:cat>
          <c:val>
            <c:numRef>
              <c:f>' Chapitre 35'!#REF!</c:f>
              <c:numCache>
                <c:ptCount val="1"/>
                <c:pt idx="0">
                  <c:v>1</c:v>
                </c:pt>
              </c:numCache>
            </c:numRef>
          </c:val>
          <c:smooth val="0"/>
        </c:ser>
        <c:ser>
          <c:idx val="1"/>
          <c:order val="1"/>
          <c:tx>
            <c:strRef>
              <c:f>' Chapitre 35'!#REF!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 Chapitre 35'!#REF!</c:f>
              <c:strCache>
                <c:ptCount val="1"/>
                <c:pt idx="0">
                  <c:v>1</c:v>
                </c:pt>
              </c:strCache>
            </c:strRef>
          </c:cat>
          <c:val>
            <c:numRef>
              <c:f>' Chapitre 35'!#REF!</c:f>
              <c:numCache>
                <c:ptCount val="1"/>
                <c:pt idx="0">
                  <c:v>1</c:v>
                </c:pt>
              </c:numCache>
            </c:numRef>
          </c:val>
          <c:smooth val="0"/>
        </c:ser>
        <c:marker val="1"/>
        <c:axId val="27808169"/>
        <c:axId val="48946930"/>
      </c:lineChart>
      <c:catAx>
        <c:axId val="27808169"/>
        <c:scaling>
          <c:orientation val="minMax"/>
        </c:scaling>
        <c:axPos val="b"/>
        <c:title>
          <c:tx>
            <c:rich>
              <a:bodyPr vert="horz" rot="0" anchor="ctr"/>
              <a:lstStyle/>
              <a:p>
                <a:pPr algn="ctr">
                  <a:defRPr/>
                </a:pPr>
                <a:r>
                  <a:rPr lang="en-US" cap="none" sz="250" b="1" i="0" u="none" baseline="0"/>
                  <a:t>Endettement</a:t>
                </a:r>
              </a:p>
            </c:rich>
          </c:tx>
          <c:layout/>
          <c:overlay val="0"/>
          <c:spPr>
            <a:noFill/>
            <a:ln>
              <a:noFill/>
            </a:ln>
          </c:spPr>
        </c:title>
        <c:minorGridlines/>
        <c:delete val="0"/>
        <c:numFmt formatCode="General" sourceLinked="1"/>
        <c:majorTickMark val="out"/>
        <c:minorTickMark val="none"/>
        <c:tickLblPos val="nextTo"/>
        <c:crossAx val="48946930"/>
        <c:crosses val="autoZero"/>
        <c:auto val="1"/>
        <c:lblOffset val="100"/>
        <c:noMultiLvlLbl val="0"/>
      </c:catAx>
      <c:valAx>
        <c:axId val="48946930"/>
        <c:scaling>
          <c:orientation val="minMax"/>
        </c:scaling>
        <c:axPos val="l"/>
        <c:title>
          <c:tx>
            <c:rich>
              <a:bodyPr vert="horz" rot="-5400000" anchor="ctr"/>
              <a:lstStyle/>
              <a:p>
                <a:pPr algn="ctr">
                  <a:defRPr/>
                </a:pPr>
                <a:r>
                  <a:rPr lang="en-US" cap="none" sz="250" b="1" i="0" u="none" baseline="0"/>
                  <a:t>Revenu net pour l'investisseur</a:t>
                </a:r>
              </a:p>
            </c:rich>
          </c:tx>
          <c:layout/>
          <c:overlay val="0"/>
          <c:spPr>
            <a:noFill/>
            <a:ln>
              <a:noFill/>
            </a:ln>
          </c:spPr>
        </c:title>
        <c:majorGridlines/>
        <c:delete val="0"/>
        <c:numFmt formatCode="General" sourceLinked="1"/>
        <c:majorTickMark val="out"/>
        <c:minorTickMark val="none"/>
        <c:tickLblPos val="nextTo"/>
        <c:crossAx val="27808169"/>
        <c:crossesAt val="1"/>
        <c:crossBetween val="between"/>
        <c:dispUnits/>
      </c:valAx>
      <c:spPr>
        <a:solidFill>
          <a:srgbClr val="CCCC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36'!#REF!</c:f>
              <c:strCache>
                <c:ptCount val="1"/>
                <c:pt idx="0">
                  <c:v>0</c:v>
                </c:pt>
              </c:strCache>
            </c:strRef>
          </c:xVal>
          <c:yVal>
            <c:numRef>
              <c:f>'Chapitre 36'!#REF!</c:f>
              <c:numCache>
                <c:ptCount val="1"/>
                <c:pt idx="0">
                  <c:v>0</c:v>
                </c:pt>
              </c:numCache>
            </c:numRef>
          </c:yVal>
          <c:smooth val="1"/>
        </c:ser>
        <c:axId val="37869187"/>
        <c:axId val="5278364"/>
      </c:scatterChart>
      <c:valAx>
        <c:axId val="37869187"/>
        <c:scaling>
          <c:orientation val="minMax"/>
        </c:scaling>
        <c:axPos val="b"/>
        <c:delete val="0"/>
        <c:numFmt formatCode="General" sourceLinked="1"/>
        <c:majorTickMark val="out"/>
        <c:minorTickMark val="none"/>
        <c:tickLblPos val="nextTo"/>
        <c:crossAx val="5278364"/>
        <c:crosses val="autoZero"/>
        <c:crossBetween val="midCat"/>
        <c:dispUnits/>
      </c:valAx>
      <c:valAx>
        <c:axId val="5278364"/>
        <c:scaling>
          <c:orientation val="minMax"/>
        </c:scaling>
        <c:axPos val="l"/>
        <c:majorGridlines/>
        <c:delete val="0"/>
        <c:numFmt formatCode="General" sourceLinked="1"/>
        <c:majorTickMark val="out"/>
        <c:minorTickMark val="none"/>
        <c:tickLblPos val="nextTo"/>
        <c:crossAx val="378691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36'!#REF!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36'!#REF!</c:f>
              <c:strCache>
                <c:ptCount val="1"/>
                <c:pt idx="0">
                  <c:v>0</c:v>
                </c:pt>
              </c:strCache>
            </c:strRef>
          </c:xVal>
          <c:yVal>
            <c:numRef>
              <c:f>'Chapitre 36'!#REF!</c:f>
              <c:numCache>
                <c:ptCount val="1"/>
                <c:pt idx="0">
                  <c:v>0</c:v>
                </c:pt>
              </c:numCache>
            </c:numRef>
          </c:yVal>
          <c:smooth val="1"/>
        </c:ser>
        <c:axId val="47505277"/>
        <c:axId val="24894310"/>
      </c:scatterChart>
      <c:valAx>
        <c:axId val="47505277"/>
        <c:scaling>
          <c:orientation val="minMax"/>
        </c:scaling>
        <c:axPos val="b"/>
        <c:delete val="0"/>
        <c:numFmt formatCode="General" sourceLinked="1"/>
        <c:majorTickMark val="out"/>
        <c:minorTickMark val="none"/>
        <c:tickLblPos val="nextTo"/>
        <c:crossAx val="24894310"/>
        <c:crosses val="autoZero"/>
        <c:crossBetween val="midCat"/>
        <c:dispUnits/>
      </c:valAx>
      <c:valAx>
        <c:axId val="24894310"/>
        <c:scaling>
          <c:orientation val="minMax"/>
        </c:scaling>
        <c:axPos val="l"/>
        <c:majorGridlines/>
        <c:delete val="0"/>
        <c:numFmt formatCode="General" sourceLinked="1"/>
        <c:majorTickMark val="out"/>
        <c:minorTickMark val="none"/>
        <c:tickLblPos val="nextTo"/>
        <c:crossAx val="4750527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37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37 '!#REF!</c:f>
              <c:strCache>
                <c:ptCount val="1"/>
                <c:pt idx="0">
                  <c:v>0</c:v>
                </c:pt>
              </c:strCache>
            </c:strRef>
          </c:xVal>
          <c:yVal>
            <c:numRef>
              <c:f>'Chapitre 37 '!#REF!</c:f>
              <c:numCache>
                <c:ptCount val="1"/>
                <c:pt idx="0">
                  <c:v>0</c:v>
                </c:pt>
              </c:numCache>
            </c:numRef>
          </c:yVal>
          <c:smooth val="1"/>
        </c:ser>
        <c:axId val="22722199"/>
        <c:axId val="3173200"/>
      </c:scatterChart>
      <c:valAx>
        <c:axId val="22722199"/>
        <c:scaling>
          <c:orientation val="minMax"/>
        </c:scaling>
        <c:axPos val="b"/>
        <c:delete val="0"/>
        <c:numFmt formatCode="General" sourceLinked="1"/>
        <c:majorTickMark val="out"/>
        <c:minorTickMark val="none"/>
        <c:tickLblPos val="nextTo"/>
        <c:crossAx val="3173200"/>
        <c:crosses val="autoZero"/>
        <c:crossBetween val="midCat"/>
        <c:dispUnits/>
      </c:valAx>
      <c:valAx>
        <c:axId val="3173200"/>
        <c:scaling>
          <c:orientation val="minMax"/>
        </c:scaling>
        <c:axPos val="l"/>
        <c:majorGridlines/>
        <c:delete val="0"/>
        <c:numFmt formatCode="General" sourceLinked="1"/>
        <c:majorTickMark val="out"/>
        <c:minorTickMark val="none"/>
        <c:tickLblPos val="nextTo"/>
        <c:crossAx val="227221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37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37 '!#REF!</c:f>
              <c:strCache>
                <c:ptCount val="1"/>
                <c:pt idx="0">
                  <c:v>0</c:v>
                </c:pt>
              </c:strCache>
            </c:strRef>
          </c:xVal>
          <c:yVal>
            <c:numRef>
              <c:f>'Chapitre 37 '!#REF!</c:f>
              <c:numCache>
                <c:ptCount val="1"/>
                <c:pt idx="0">
                  <c:v>0</c:v>
                </c:pt>
              </c:numCache>
            </c:numRef>
          </c:yVal>
          <c:smooth val="1"/>
        </c:ser>
        <c:axId val="28558801"/>
        <c:axId val="55702618"/>
      </c:scatterChart>
      <c:valAx>
        <c:axId val="28558801"/>
        <c:scaling>
          <c:orientation val="minMax"/>
        </c:scaling>
        <c:axPos val="b"/>
        <c:delete val="0"/>
        <c:numFmt formatCode="General" sourceLinked="1"/>
        <c:majorTickMark val="out"/>
        <c:minorTickMark val="none"/>
        <c:tickLblPos val="nextTo"/>
        <c:crossAx val="55702618"/>
        <c:crosses val="autoZero"/>
        <c:crossBetween val="midCat"/>
        <c:dispUnits/>
      </c:valAx>
      <c:valAx>
        <c:axId val="55702618"/>
        <c:scaling>
          <c:orientation val="minMax"/>
        </c:scaling>
        <c:axPos val="l"/>
        <c:majorGridlines/>
        <c:delete val="0"/>
        <c:numFmt formatCode="General" sourceLinked="1"/>
        <c:majorTickMark val="out"/>
        <c:minorTickMark val="none"/>
        <c:tickLblPos val="nextTo"/>
        <c:crossAx val="2855880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38'!#REF!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38'!#REF!</c:f>
              <c:strCache>
                <c:ptCount val="1"/>
                <c:pt idx="0">
                  <c:v>0</c:v>
                </c:pt>
              </c:strCache>
            </c:strRef>
          </c:xVal>
          <c:yVal>
            <c:numRef>
              <c:f>'Chapitre 38'!#REF!</c:f>
              <c:numCache>
                <c:ptCount val="1"/>
                <c:pt idx="0">
                  <c:v>0</c:v>
                </c:pt>
              </c:numCache>
            </c:numRef>
          </c:yVal>
          <c:smooth val="1"/>
        </c:ser>
        <c:axId val="31561515"/>
        <c:axId val="15618180"/>
      </c:scatterChart>
      <c:valAx>
        <c:axId val="31561515"/>
        <c:scaling>
          <c:orientation val="minMax"/>
        </c:scaling>
        <c:axPos val="b"/>
        <c:delete val="0"/>
        <c:numFmt formatCode="General" sourceLinked="1"/>
        <c:majorTickMark val="out"/>
        <c:minorTickMark val="none"/>
        <c:tickLblPos val="nextTo"/>
        <c:crossAx val="15618180"/>
        <c:crosses val="autoZero"/>
        <c:crossBetween val="midCat"/>
        <c:dispUnits/>
      </c:valAx>
      <c:valAx>
        <c:axId val="15618180"/>
        <c:scaling>
          <c:orientation val="minMax"/>
        </c:scaling>
        <c:axPos val="l"/>
        <c:majorGridlines/>
        <c:delete val="0"/>
        <c:numFmt formatCode="General" sourceLinked="1"/>
        <c:majorTickMark val="out"/>
        <c:minorTickMark val="none"/>
        <c:tickLblPos val="nextTo"/>
        <c:crossAx val="3156151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38'!#REF!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38'!#REF!</c:f>
              <c:strCache>
                <c:ptCount val="1"/>
                <c:pt idx="0">
                  <c:v>0</c:v>
                </c:pt>
              </c:strCache>
            </c:strRef>
          </c:xVal>
          <c:yVal>
            <c:numRef>
              <c:f>'Chapitre 38'!#REF!</c:f>
              <c:numCache>
                <c:ptCount val="1"/>
                <c:pt idx="0">
                  <c:v>0</c:v>
                </c:pt>
              </c:numCache>
            </c:numRef>
          </c:yVal>
          <c:smooth val="1"/>
        </c:ser>
        <c:axId val="6345893"/>
        <c:axId val="57113038"/>
      </c:scatterChart>
      <c:valAx>
        <c:axId val="6345893"/>
        <c:scaling>
          <c:orientation val="minMax"/>
        </c:scaling>
        <c:axPos val="b"/>
        <c:delete val="0"/>
        <c:numFmt formatCode="General" sourceLinked="1"/>
        <c:majorTickMark val="out"/>
        <c:minorTickMark val="none"/>
        <c:tickLblPos val="nextTo"/>
        <c:crossAx val="57113038"/>
        <c:crosses val="autoZero"/>
        <c:crossBetween val="midCat"/>
        <c:dispUnits/>
      </c:valAx>
      <c:valAx>
        <c:axId val="57113038"/>
        <c:scaling>
          <c:orientation val="minMax"/>
        </c:scaling>
        <c:axPos val="l"/>
        <c:majorGridlines/>
        <c:delete val="0"/>
        <c:numFmt formatCode="General" sourceLinked="1"/>
        <c:majorTickMark val="out"/>
        <c:minorTickMark val="none"/>
        <c:tickLblPos val="nextTo"/>
        <c:crossAx val="63458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Profil de VAN</a:t>
            </a:r>
          </a:p>
        </c:rich>
      </c:tx>
      <c:layout>
        <c:manualLayout>
          <c:xMode val="factor"/>
          <c:yMode val="factor"/>
          <c:x val="-0.004"/>
          <c:y val="0.0045"/>
        </c:manualLayout>
      </c:layout>
      <c:spPr>
        <a:noFill/>
        <a:ln>
          <a:noFill/>
        </a:ln>
      </c:spPr>
    </c:title>
    <c:plotArea>
      <c:layout>
        <c:manualLayout>
          <c:xMode val="edge"/>
          <c:yMode val="edge"/>
          <c:x val="0.07225"/>
          <c:y val="0.1315"/>
          <c:w val="0.8925"/>
          <c:h val="0.65825"/>
        </c:manualLayout>
      </c:layout>
      <c:scatterChart>
        <c:scatterStyle val="smoothMarker"/>
        <c:varyColors val="0"/>
        <c:ser>
          <c:idx val="0"/>
          <c:order val="0"/>
          <c:tx>
            <c:strRef>
              <c:f>'Chapitre 38'!$A$87</c:f>
              <c:strCache>
                <c:ptCount val="1"/>
                <c:pt idx="0">
                  <c:v>VAN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38'!$B$86:$G$86</c:f>
              <c:numCache>
                <c:ptCount val="6"/>
                <c:pt idx="0">
                  <c:v>0</c:v>
                </c:pt>
                <c:pt idx="1">
                  <c:v>0</c:v>
                </c:pt>
                <c:pt idx="2">
                  <c:v>0</c:v>
                </c:pt>
                <c:pt idx="3">
                  <c:v>0</c:v>
                </c:pt>
                <c:pt idx="4">
                  <c:v>0</c:v>
                </c:pt>
                <c:pt idx="5">
                  <c:v>0</c:v>
                </c:pt>
              </c:numCache>
            </c:numRef>
          </c:xVal>
          <c:yVal>
            <c:numRef>
              <c:f>'Chapitre 38'!$B$87:$G$87</c:f>
              <c:numCache>
                <c:ptCount val="6"/>
                <c:pt idx="0">
                  <c:v>0</c:v>
                </c:pt>
                <c:pt idx="1">
                  <c:v>0</c:v>
                </c:pt>
                <c:pt idx="2">
                  <c:v>0</c:v>
                </c:pt>
                <c:pt idx="3">
                  <c:v>0</c:v>
                </c:pt>
                <c:pt idx="4">
                  <c:v>0</c:v>
                </c:pt>
                <c:pt idx="5">
                  <c:v>0</c:v>
                </c:pt>
              </c:numCache>
            </c:numRef>
          </c:yVal>
          <c:smooth val="1"/>
        </c:ser>
        <c:axId val="44255295"/>
        <c:axId val="62753336"/>
      </c:scatterChart>
      <c:valAx>
        <c:axId val="44255295"/>
        <c:scaling>
          <c:orientation val="minMax"/>
          <c:min val="0.09"/>
        </c:scaling>
        <c:axPos val="b"/>
        <c:title>
          <c:tx>
            <c:rich>
              <a:bodyPr vert="horz" rot="0" anchor="ctr"/>
              <a:lstStyle/>
              <a:p>
                <a:pPr algn="ctr">
                  <a:defRPr/>
                </a:pPr>
                <a:r>
                  <a:rPr lang="en-US" cap="none" sz="825" b="1" i="0" u="none" baseline="0"/>
                  <a:t>Taux éxigé</a:t>
                </a:r>
              </a:p>
            </c:rich>
          </c:tx>
          <c:layout/>
          <c:overlay val="0"/>
          <c:spPr>
            <a:noFill/>
            <a:ln>
              <a:noFill/>
            </a:ln>
          </c:spPr>
        </c:title>
        <c:delete val="0"/>
        <c:numFmt formatCode="General" sourceLinked="1"/>
        <c:majorTickMark val="out"/>
        <c:minorTickMark val="none"/>
        <c:tickLblPos val="nextTo"/>
        <c:crossAx val="62753336"/>
        <c:crosses val="autoZero"/>
        <c:crossBetween val="midCat"/>
        <c:dispUnits/>
      </c:valAx>
      <c:valAx>
        <c:axId val="62753336"/>
        <c:scaling>
          <c:orientation val="minMax"/>
        </c:scaling>
        <c:axPos val="l"/>
        <c:title>
          <c:tx>
            <c:rich>
              <a:bodyPr vert="horz" rot="-5400000" anchor="ctr"/>
              <a:lstStyle/>
              <a:p>
                <a:pPr algn="ctr">
                  <a:defRPr/>
                </a:pPr>
                <a:r>
                  <a:rPr lang="en-US" cap="none" sz="825" b="1" i="0" u="none" baseline="0"/>
                  <a:t>VAN</a:t>
                </a:r>
              </a:p>
            </c:rich>
          </c:tx>
          <c:layout/>
          <c:overlay val="0"/>
          <c:spPr>
            <a:noFill/>
            <a:ln>
              <a:noFill/>
            </a:ln>
          </c:spPr>
        </c:title>
        <c:majorGridlines/>
        <c:delete val="0"/>
        <c:numFmt formatCode="General" sourceLinked="1"/>
        <c:majorTickMark val="out"/>
        <c:minorTickMark val="none"/>
        <c:tickLblPos val="nextTo"/>
        <c:crossAx val="442552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6"/>
          <c:order val="0"/>
          <c:tx>
            <c:strRef>
              <c:f>'Chapitre 38'!$A$165</c:f>
              <c:strCache>
                <c:ptCount val="1"/>
                <c:pt idx="0">
                  <c:v>Flux cumulés et actualisés</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38'!$B$148:$AF$148</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'Chapitre 38'!$B$165:$AF$165</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1"/>
        </c:ser>
        <c:axId val="27909113"/>
        <c:axId val="49855426"/>
      </c:scatterChart>
      <c:valAx>
        <c:axId val="27909113"/>
        <c:scaling>
          <c:orientation val="minMax"/>
        </c:scaling>
        <c:axPos val="b"/>
        <c:title>
          <c:tx>
            <c:rich>
              <a:bodyPr vert="horz" rot="0" anchor="ctr"/>
              <a:lstStyle/>
              <a:p>
                <a:pPr algn="ctr">
                  <a:defRPr/>
                </a:pPr>
                <a:r>
                  <a:rPr lang="en-US" cap="none" sz="800" b="1" i="0" u="none" baseline="0"/>
                  <a:t>Année</a:t>
                </a:r>
              </a:p>
            </c:rich>
          </c:tx>
          <c:layout/>
          <c:overlay val="0"/>
          <c:spPr>
            <a:noFill/>
            <a:ln>
              <a:noFill/>
            </a:ln>
          </c:spPr>
        </c:title>
        <c:delete val="0"/>
        <c:numFmt formatCode="General" sourceLinked="1"/>
        <c:majorTickMark val="out"/>
        <c:minorTickMark val="none"/>
        <c:tickLblPos val="nextTo"/>
        <c:crossAx val="49855426"/>
        <c:crosses val="autoZero"/>
        <c:crossBetween val="midCat"/>
        <c:dispUnits/>
      </c:valAx>
      <c:valAx>
        <c:axId val="49855426"/>
        <c:scaling>
          <c:orientation val="minMax"/>
        </c:scaling>
        <c:axPos val="l"/>
        <c:title>
          <c:tx>
            <c:rich>
              <a:bodyPr vert="horz" rot="-5400000" anchor="ctr"/>
              <a:lstStyle/>
              <a:p>
                <a:pPr algn="ctr">
                  <a:defRPr/>
                </a:pPr>
                <a:r>
                  <a:rPr lang="en-US" cap="none" sz="800" b="1" i="0" u="none" baseline="0"/>
                  <a:t>Flux cumulés</a:t>
                </a:r>
              </a:p>
            </c:rich>
          </c:tx>
          <c:layout/>
          <c:overlay val="0"/>
          <c:spPr>
            <a:noFill/>
            <a:ln>
              <a:noFill/>
            </a:ln>
          </c:spPr>
        </c:title>
        <c:majorGridlines/>
        <c:delete val="0"/>
        <c:numFmt formatCode="General" sourceLinked="1"/>
        <c:majorTickMark val="out"/>
        <c:minorTickMark val="none"/>
        <c:tickLblPos val="nextTo"/>
        <c:crossAx val="2790911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475"/>
          <c:w val="0.956"/>
          <c:h val="0.8965"/>
        </c:manualLayout>
      </c:layout>
      <c:scatterChart>
        <c:scatterStyle val="smoothMarker"/>
        <c:varyColors val="0"/>
        <c:ser>
          <c:idx val="11"/>
          <c:order val="0"/>
          <c:tx>
            <c:strRef>
              <c:f>'Chapitre 38'!$A$223</c:f>
              <c:strCache>
                <c:ptCount val="1"/>
                <c:pt idx="0">
                  <c:v>Flux cumulés et actualisés</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38'!$B$211:$I$211</c:f>
              <c:numCache>
                <c:ptCount val="8"/>
                <c:pt idx="0">
                  <c:v>0</c:v>
                </c:pt>
                <c:pt idx="1">
                  <c:v>0</c:v>
                </c:pt>
                <c:pt idx="2">
                  <c:v>0</c:v>
                </c:pt>
                <c:pt idx="3">
                  <c:v>0</c:v>
                </c:pt>
                <c:pt idx="4">
                  <c:v>0</c:v>
                </c:pt>
                <c:pt idx="5">
                  <c:v>0</c:v>
                </c:pt>
                <c:pt idx="6">
                  <c:v>0</c:v>
                </c:pt>
                <c:pt idx="7">
                  <c:v>0</c:v>
                </c:pt>
              </c:numCache>
            </c:numRef>
          </c:xVal>
          <c:yVal>
            <c:numRef>
              <c:f>'Chapitre 38'!$B$223:$I$223</c:f>
              <c:numCache>
                <c:ptCount val="8"/>
                <c:pt idx="0">
                  <c:v>0</c:v>
                </c:pt>
                <c:pt idx="1">
                  <c:v>0</c:v>
                </c:pt>
                <c:pt idx="2">
                  <c:v>0</c:v>
                </c:pt>
                <c:pt idx="3">
                  <c:v>0</c:v>
                </c:pt>
                <c:pt idx="4">
                  <c:v>0</c:v>
                </c:pt>
                <c:pt idx="5">
                  <c:v>0</c:v>
                </c:pt>
                <c:pt idx="6">
                  <c:v>0</c:v>
                </c:pt>
                <c:pt idx="7">
                  <c:v>0</c:v>
                </c:pt>
              </c:numCache>
            </c:numRef>
          </c:yVal>
          <c:smooth val="1"/>
        </c:ser>
        <c:axId val="46045651"/>
        <c:axId val="11757676"/>
      </c:scatterChart>
      <c:valAx>
        <c:axId val="46045651"/>
        <c:scaling>
          <c:orientation val="minMax"/>
        </c:scaling>
        <c:axPos val="b"/>
        <c:title>
          <c:tx>
            <c:rich>
              <a:bodyPr vert="horz" rot="0" anchor="ctr"/>
              <a:lstStyle/>
              <a:p>
                <a:pPr algn="ctr">
                  <a:defRPr/>
                </a:pPr>
                <a:r>
                  <a:rPr lang="en-US" cap="none" sz="850" b="1" i="0" u="none" baseline="0"/>
                  <a:t>Années</a:t>
                </a:r>
              </a:p>
            </c:rich>
          </c:tx>
          <c:layout/>
          <c:overlay val="0"/>
          <c:spPr>
            <a:noFill/>
            <a:ln>
              <a:noFill/>
            </a:ln>
          </c:spPr>
        </c:title>
        <c:delete val="0"/>
        <c:numFmt formatCode="General" sourceLinked="1"/>
        <c:majorTickMark val="out"/>
        <c:minorTickMark val="none"/>
        <c:tickLblPos val="nextTo"/>
        <c:crossAx val="11757676"/>
        <c:crosses val="autoZero"/>
        <c:crossBetween val="midCat"/>
        <c:dispUnits/>
      </c:valAx>
      <c:valAx>
        <c:axId val="11757676"/>
        <c:scaling>
          <c:orientation val="minMax"/>
        </c:scaling>
        <c:axPos val="l"/>
        <c:title>
          <c:tx>
            <c:rich>
              <a:bodyPr vert="horz" rot="-5400000" anchor="ctr"/>
              <a:lstStyle/>
              <a:p>
                <a:pPr algn="ctr">
                  <a:defRPr/>
                </a:pPr>
                <a:r>
                  <a:rPr lang="en-US" cap="none" sz="850" b="1" i="0" u="none" baseline="0"/>
                  <a:t>Flux cumulés et actualisés</a:t>
                </a:r>
              </a:p>
            </c:rich>
          </c:tx>
          <c:layout/>
          <c:overlay val="0"/>
          <c:spPr>
            <a:noFill/>
            <a:ln>
              <a:noFill/>
            </a:ln>
          </c:spPr>
        </c:title>
        <c:majorGridlines/>
        <c:delete val="0"/>
        <c:numFmt formatCode="General" sourceLinked="1"/>
        <c:majorTickMark val="out"/>
        <c:minorTickMark val="none"/>
        <c:tickLblPos val="nextTo"/>
        <c:crossAx val="460456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
          <c:w val="0.71625"/>
          <c:h val="0.994"/>
        </c:manualLayout>
      </c:layout>
      <c:barChart>
        <c:barDir val="col"/>
        <c:grouping val="stacked"/>
        <c:varyColors val="0"/>
        <c:ser>
          <c:idx val="3"/>
          <c:order val="0"/>
          <c:tx>
            <c:strRef>
              <c:f>'Chapitre 22'!$D$95</c:f>
              <c:strCache>
                <c:ptCount val="1"/>
                <c:pt idx="0">
                  <c:v>Amort. du capital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22'!$D$96:$D$99</c:f>
              <c:numCache>
                <c:ptCount val="4"/>
                <c:pt idx="0">
                  <c:v>25</c:v>
                </c:pt>
                <c:pt idx="1">
                  <c:v>25</c:v>
                </c:pt>
                <c:pt idx="2">
                  <c:v>25</c:v>
                </c:pt>
                <c:pt idx="3">
                  <c:v>25</c:v>
                </c:pt>
              </c:numCache>
            </c:numRef>
          </c:val>
        </c:ser>
        <c:ser>
          <c:idx val="4"/>
          <c:order val="1"/>
          <c:tx>
            <c:strRef>
              <c:f>'Chapitre 22'!$E$95</c:f>
              <c:strCache>
                <c:ptCount val="1"/>
                <c:pt idx="0">
                  <c:v>Intérêts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22'!$E$96:$E$99</c:f>
              <c:numCache>
                <c:ptCount val="4"/>
                <c:pt idx="0">
                  <c:v>7.000000000000001</c:v>
                </c:pt>
                <c:pt idx="1">
                  <c:v>5.250000000000001</c:v>
                </c:pt>
                <c:pt idx="2">
                  <c:v>3.5000000000000004</c:v>
                </c:pt>
                <c:pt idx="3">
                  <c:v>1.7500000000000002</c:v>
                </c:pt>
              </c:numCache>
            </c:numRef>
          </c:val>
        </c:ser>
        <c:overlap val="100"/>
        <c:axId val="64217957"/>
        <c:axId val="41090702"/>
      </c:barChart>
      <c:catAx>
        <c:axId val="64217957"/>
        <c:scaling>
          <c:orientation val="minMax"/>
        </c:scaling>
        <c:axPos val="b"/>
        <c:title>
          <c:tx>
            <c:rich>
              <a:bodyPr vert="horz" rot="0" anchor="ctr"/>
              <a:lstStyle/>
              <a:p>
                <a:pPr algn="ctr">
                  <a:defRPr/>
                </a:pPr>
                <a:r>
                  <a:rPr lang="en-US" cap="none" sz="800" b="1" i="0" u="none" baseline="0"/>
                  <a:t>Période</a:t>
                </a:r>
              </a:p>
            </c:rich>
          </c:tx>
          <c:layout/>
          <c:overlay val="0"/>
          <c:spPr>
            <a:noFill/>
            <a:ln>
              <a:noFill/>
            </a:ln>
          </c:spPr>
        </c:title>
        <c:delete val="0"/>
        <c:numFmt formatCode="General" sourceLinked="1"/>
        <c:majorTickMark val="out"/>
        <c:minorTickMark val="none"/>
        <c:tickLblPos val="nextTo"/>
        <c:crossAx val="41090702"/>
        <c:crosses val="autoZero"/>
        <c:auto val="1"/>
        <c:lblOffset val="100"/>
        <c:noMultiLvlLbl val="0"/>
      </c:catAx>
      <c:valAx>
        <c:axId val="41090702"/>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450" b="0" i="0" u="none" baseline="0"/>
            </a:pPr>
          </a:p>
        </c:txPr>
        <c:crossAx val="64217957"/>
        <c:crossesAt val="1"/>
        <c:crossBetween val="between"/>
        <c:dispUnits/>
      </c:valAx>
      <c:spPr>
        <a:solidFill>
          <a:srgbClr val="C0C0C0"/>
        </a:solidFill>
        <a:ln w="12700">
          <a:solidFill>
            <a:srgbClr val="808080"/>
          </a:solidFill>
        </a:ln>
      </c:spPr>
    </c:plotArea>
    <c:legend>
      <c:legendPos val="r"/>
      <c:layout>
        <c:manualLayout>
          <c:xMode val="edge"/>
          <c:yMode val="edge"/>
          <c:x val="0.7835"/>
          <c:y val="0.352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8"/>
          <c:order val="0"/>
          <c:tx>
            <c:strRef>
              <c:f>'Chapitre 38'!$A$264</c:f>
              <c:strCache>
                <c:ptCount val="1"/>
                <c:pt idx="0">
                  <c:v>VAN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38'!$B$249:$F$249</c:f>
              <c:numCache>
                <c:ptCount val="5"/>
                <c:pt idx="0">
                  <c:v>0</c:v>
                </c:pt>
                <c:pt idx="1">
                  <c:v>0</c:v>
                </c:pt>
                <c:pt idx="2">
                  <c:v>0</c:v>
                </c:pt>
                <c:pt idx="3">
                  <c:v>0</c:v>
                </c:pt>
                <c:pt idx="4">
                  <c:v>0</c:v>
                </c:pt>
              </c:numCache>
            </c:numRef>
          </c:xVal>
          <c:yVal>
            <c:numRef>
              <c:f>'Chapitre 38'!$B$264:$F$264</c:f>
              <c:numCache>
                <c:ptCount val="5"/>
                <c:pt idx="0">
                  <c:v>0</c:v>
                </c:pt>
                <c:pt idx="1">
                  <c:v>0</c:v>
                </c:pt>
                <c:pt idx="2">
                  <c:v>0</c:v>
                </c:pt>
                <c:pt idx="3">
                  <c:v>0</c:v>
                </c:pt>
                <c:pt idx="4">
                  <c:v>0</c:v>
                </c:pt>
              </c:numCache>
            </c:numRef>
          </c:yVal>
          <c:smooth val="1"/>
        </c:ser>
        <c:axId val="38710221"/>
        <c:axId val="12847670"/>
      </c:scatterChart>
      <c:valAx>
        <c:axId val="38710221"/>
        <c:scaling>
          <c:orientation val="minMax"/>
        </c:scaling>
        <c:axPos val="b"/>
        <c:title>
          <c:tx>
            <c:rich>
              <a:bodyPr vert="horz" rot="0" anchor="ctr"/>
              <a:lstStyle/>
              <a:p>
                <a:pPr algn="ctr">
                  <a:defRPr/>
                </a:pPr>
                <a:r>
                  <a:rPr lang="en-US" cap="none" sz="800" b="1" i="0" u="none" baseline="0"/>
                  <a:t>Jours de crédit sup.</a:t>
                </a:r>
              </a:p>
            </c:rich>
          </c:tx>
          <c:layout/>
          <c:overlay val="0"/>
          <c:spPr>
            <a:noFill/>
            <a:ln>
              <a:noFill/>
            </a:ln>
          </c:spPr>
        </c:title>
        <c:delete val="0"/>
        <c:numFmt formatCode="General" sourceLinked="1"/>
        <c:majorTickMark val="out"/>
        <c:minorTickMark val="none"/>
        <c:tickLblPos val="nextTo"/>
        <c:crossAx val="12847670"/>
        <c:crosses val="autoZero"/>
        <c:crossBetween val="midCat"/>
        <c:dispUnits/>
      </c:valAx>
      <c:valAx>
        <c:axId val="12847670"/>
        <c:scaling>
          <c:orientation val="minMax"/>
        </c:scaling>
        <c:axPos val="l"/>
        <c:title>
          <c:tx>
            <c:rich>
              <a:bodyPr vert="horz" rot="-5400000" anchor="ctr"/>
              <a:lstStyle/>
              <a:p>
                <a:pPr algn="ctr">
                  <a:defRPr/>
                </a:pPr>
                <a:r>
                  <a:rPr lang="en-US" cap="none" sz="800" b="1" i="0" u="none" baseline="0"/>
                  <a:t>VAN</a:t>
                </a:r>
              </a:p>
            </c:rich>
          </c:tx>
          <c:layout/>
          <c:overlay val="0"/>
          <c:spPr>
            <a:noFill/>
            <a:ln>
              <a:noFill/>
            </a:ln>
          </c:spPr>
        </c:title>
        <c:majorGridlines/>
        <c:delete val="0"/>
        <c:numFmt formatCode="General" sourceLinked="1"/>
        <c:majorTickMark val="out"/>
        <c:minorTickMark val="none"/>
        <c:tickLblPos val="nextTo"/>
        <c:crossAx val="387102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635"/>
          <c:w val="0.94525"/>
          <c:h val="0.8745"/>
        </c:manualLayout>
      </c:layout>
      <c:scatterChart>
        <c:scatterStyle val="smoothMarker"/>
        <c:varyColors val="0"/>
        <c:ser>
          <c:idx val="0"/>
          <c:order val="0"/>
          <c:tx>
            <c:strRef>
              <c:f>'Chapitre 38'!$A$122</c:f>
              <c:strCache>
                <c:ptCount val="1"/>
                <c:pt idx="0">
                  <c:v>VAN</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38'!$B$121:$E$121</c:f>
              <c:numCache>
                <c:ptCount val="4"/>
                <c:pt idx="0">
                  <c:v>0</c:v>
                </c:pt>
                <c:pt idx="1">
                  <c:v>0</c:v>
                </c:pt>
                <c:pt idx="2">
                  <c:v>0</c:v>
                </c:pt>
                <c:pt idx="3">
                  <c:v>0</c:v>
                </c:pt>
              </c:numCache>
            </c:numRef>
          </c:xVal>
          <c:yVal>
            <c:numRef>
              <c:f>'Chapitre 38'!$B$122:$E$122</c:f>
              <c:numCache>
                <c:ptCount val="4"/>
                <c:pt idx="0">
                  <c:v>0</c:v>
                </c:pt>
                <c:pt idx="1">
                  <c:v>0</c:v>
                </c:pt>
                <c:pt idx="2">
                  <c:v>0</c:v>
                </c:pt>
                <c:pt idx="3">
                  <c:v>0</c:v>
                </c:pt>
              </c:numCache>
            </c:numRef>
          </c:yVal>
          <c:smooth val="1"/>
        </c:ser>
        <c:axId val="48520167"/>
        <c:axId val="34028320"/>
      </c:scatterChart>
      <c:valAx>
        <c:axId val="48520167"/>
        <c:scaling>
          <c:orientation val="minMax"/>
          <c:min val="6000"/>
        </c:scaling>
        <c:axPos val="b"/>
        <c:title>
          <c:tx>
            <c:rich>
              <a:bodyPr vert="horz" rot="0" anchor="ctr"/>
              <a:lstStyle/>
              <a:p>
                <a:pPr algn="ctr">
                  <a:defRPr/>
                </a:pPr>
                <a:r>
                  <a:rPr lang="en-US" cap="none" sz="575" b="1" i="0" u="none" baseline="0"/>
                  <a:t>Nbre de pieces / an</a:t>
                </a:r>
              </a:p>
            </c:rich>
          </c:tx>
          <c:layout/>
          <c:overlay val="0"/>
          <c:spPr>
            <a:noFill/>
            <a:ln>
              <a:noFill/>
            </a:ln>
          </c:spPr>
        </c:title>
        <c:delete val="0"/>
        <c:numFmt formatCode="General" sourceLinked="1"/>
        <c:majorTickMark val="out"/>
        <c:minorTickMark val="none"/>
        <c:tickLblPos val="nextTo"/>
        <c:crossAx val="34028320"/>
        <c:crosses val="autoZero"/>
        <c:crossBetween val="midCat"/>
        <c:dispUnits/>
      </c:valAx>
      <c:valAx>
        <c:axId val="34028320"/>
        <c:scaling>
          <c:orientation val="minMax"/>
        </c:scaling>
        <c:axPos val="l"/>
        <c:title>
          <c:tx>
            <c:rich>
              <a:bodyPr vert="horz" rot="-5400000" anchor="ctr"/>
              <a:lstStyle/>
              <a:p>
                <a:pPr algn="ctr">
                  <a:defRPr/>
                </a:pPr>
                <a:r>
                  <a:rPr lang="en-US" cap="none" sz="575" b="1" i="0" u="none" baseline="0"/>
                  <a:t>VAN</a:t>
                </a:r>
              </a:p>
            </c:rich>
          </c:tx>
          <c:layout/>
          <c:overlay val="0"/>
          <c:spPr>
            <a:noFill/>
            <a:ln>
              <a:noFill/>
            </a:ln>
          </c:spPr>
        </c:title>
        <c:majorGridlines/>
        <c:delete val="0"/>
        <c:numFmt formatCode="General" sourceLinked="1"/>
        <c:majorTickMark val="out"/>
        <c:minorTickMark val="none"/>
        <c:tickLblPos val="nextTo"/>
        <c:crossAx val="4852016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575"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14"/>
          <c:order val="0"/>
          <c:tx>
            <c:strRef>
              <c:f>'Chapitre 38'!$A$300</c:f>
              <c:strCache>
                <c:ptCount val="1"/>
                <c:pt idx="0">
                  <c:v>VAN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numRef>
              <c:f>'Chapitre 38'!$B$287:$F$287</c:f>
              <c:numCache>
                <c:ptCount val="5"/>
                <c:pt idx="0">
                  <c:v>0</c:v>
                </c:pt>
                <c:pt idx="1">
                  <c:v>0</c:v>
                </c:pt>
                <c:pt idx="2">
                  <c:v>0</c:v>
                </c:pt>
                <c:pt idx="3">
                  <c:v>0</c:v>
                </c:pt>
                <c:pt idx="4">
                  <c:v>0</c:v>
                </c:pt>
              </c:numCache>
            </c:numRef>
          </c:xVal>
          <c:yVal>
            <c:numRef>
              <c:f>'Chapitre 38'!$B$300:$F$300</c:f>
              <c:numCache>
                <c:ptCount val="5"/>
                <c:pt idx="0">
                  <c:v>0</c:v>
                </c:pt>
                <c:pt idx="1">
                  <c:v>0</c:v>
                </c:pt>
                <c:pt idx="2">
                  <c:v>0</c:v>
                </c:pt>
                <c:pt idx="3">
                  <c:v>0</c:v>
                </c:pt>
                <c:pt idx="4">
                  <c:v>0</c:v>
                </c:pt>
              </c:numCache>
            </c:numRef>
          </c:yVal>
          <c:smooth val="1"/>
        </c:ser>
        <c:axId val="37819425"/>
        <c:axId val="4830506"/>
      </c:scatterChart>
      <c:valAx>
        <c:axId val="37819425"/>
        <c:scaling>
          <c:orientation val="minMax"/>
        </c:scaling>
        <c:axPos val="b"/>
        <c:title>
          <c:tx>
            <c:rich>
              <a:bodyPr vert="horz" rot="0" anchor="ctr"/>
              <a:lstStyle/>
              <a:p>
                <a:pPr algn="ctr">
                  <a:defRPr/>
                </a:pPr>
                <a:r>
                  <a:rPr lang="en-US" cap="none" sz="800" b="1" i="0" u="none" baseline="0"/>
                  <a:t>Jours de crédit sup.</a:t>
                </a:r>
              </a:p>
            </c:rich>
          </c:tx>
          <c:layout/>
          <c:overlay val="0"/>
          <c:spPr>
            <a:noFill/>
            <a:ln>
              <a:noFill/>
            </a:ln>
          </c:spPr>
        </c:title>
        <c:delete val="0"/>
        <c:numFmt formatCode="General" sourceLinked="1"/>
        <c:majorTickMark val="out"/>
        <c:minorTickMark val="none"/>
        <c:tickLblPos val="nextTo"/>
        <c:crossAx val="4830506"/>
        <c:crosses val="autoZero"/>
        <c:crossBetween val="midCat"/>
        <c:dispUnits/>
      </c:valAx>
      <c:valAx>
        <c:axId val="4830506"/>
        <c:scaling>
          <c:orientation val="minMax"/>
        </c:scaling>
        <c:axPos val="l"/>
        <c:title>
          <c:tx>
            <c:rich>
              <a:bodyPr vert="horz" rot="-5400000" anchor="ctr"/>
              <a:lstStyle/>
              <a:p>
                <a:pPr algn="ctr">
                  <a:defRPr/>
                </a:pPr>
                <a:r>
                  <a:rPr lang="en-US" cap="none" sz="800" b="1" i="0" u="none" baseline="0"/>
                  <a:t>VAN</a:t>
                </a:r>
              </a:p>
            </c:rich>
          </c:tx>
          <c:layout/>
          <c:overlay val="0"/>
          <c:spPr>
            <a:noFill/>
            <a:ln>
              <a:noFill/>
            </a:ln>
          </c:spPr>
        </c:title>
        <c:majorGridlines/>
        <c:delete val="0"/>
        <c:numFmt formatCode="General" sourceLinked="1"/>
        <c:majorTickMark val="out"/>
        <c:minorTickMark val="none"/>
        <c:tickLblPos val="nextTo"/>
        <c:crossAx val="3781942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39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39 '!#REF!</c:f>
              <c:strCache>
                <c:ptCount val="1"/>
                <c:pt idx="0">
                  <c:v>0</c:v>
                </c:pt>
              </c:strCache>
            </c:strRef>
          </c:xVal>
          <c:yVal>
            <c:numRef>
              <c:f>' Chapitre 39 '!#REF!</c:f>
              <c:numCache>
                <c:ptCount val="1"/>
                <c:pt idx="0">
                  <c:v>0</c:v>
                </c:pt>
              </c:numCache>
            </c:numRef>
          </c:yVal>
          <c:smooth val="1"/>
        </c:ser>
        <c:axId val="43474555"/>
        <c:axId val="55726676"/>
      </c:scatterChart>
      <c:valAx>
        <c:axId val="43474555"/>
        <c:scaling>
          <c:orientation val="minMax"/>
        </c:scaling>
        <c:axPos val="b"/>
        <c:delete val="0"/>
        <c:numFmt formatCode="General" sourceLinked="1"/>
        <c:majorTickMark val="out"/>
        <c:minorTickMark val="none"/>
        <c:tickLblPos val="nextTo"/>
        <c:crossAx val="55726676"/>
        <c:crosses val="autoZero"/>
        <c:crossBetween val="midCat"/>
        <c:dispUnits/>
      </c:valAx>
      <c:valAx>
        <c:axId val="55726676"/>
        <c:scaling>
          <c:orientation val="minMax"/>
        </c:scaling>
        <c:axPos val="l"/>
        <c:majorGridlines/>
        <c:delete val="0"/>
        <c:numFmt formatCode="General" sourceLinked="1"/>
        <c:majorTickMark val="out"/>
        <c:minorTickMark val="none"/>
        <c:tickLblPos val="nextTo"/>
        <c:crossAx val="434745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39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39 '!#REF!</c:f>
              <c:strCache>
                <c:ptCount val="1"/>
                <c:pt idx="0">
                  <c:v>0</c:v>
                </c:pt>
              </c:strCache>
            </c:strRef>
          </c:xVal>
          <c:yVal>
            <c:numRef>
              <c:f>' Chapitre 39 '!#REF!</c:f>
              <c:numCache>
                <c:ptCount val="1"/>
                <c:pt idx="0">
                  <c:v>0</c:v>
                </c:pt>
              </c:numCache>
            </c:numRef>
          </c:yVal>
          <c:smooth val="1"/>
        </c:ser>
        <c:axId val="31778037"/>
        <c:axId val="17566878"/>
      </c:scatterChart>
      <c:valAx>
        <c:axId val="31778037"/>
        <c:scaling>
          <c:orientation val="minMax"/>
        </c:scaling>
        <c:axPos val="b"/>
        <c:delete val="0"/>
        <c:numFmt formatCode="General" sourceLinked="1"/>
        <c:majorTickMark val="out"/>
        <c:minorTickMark val="none"/>
        <c:tickLblPos val="nextTo"/>
        <c:crossAx val="17566878"/>
        <c:crosses val="autoZero"/>
        <c:crossBetween val="midCat"/>
        <c:dispUnits/>
      </c:valAx>
      <c:valAx>
        <c:axId val="17566878"/>
        <c:scaling>
          <c:orientation val="minMax"/>
        </c:scaling>
        <c:axPos val="l"/>
        <c:majorGridlines/>
        <c:delete val="0"/>
        <c:numFmt formatCode="General" sourceLinked="1"/>
        <c:majorTickMark val="out"/>
        <c:minorTickMark val="none"/>
        <c:tickLblPos val="nextTo"/>
        <c:crossAx val="3177803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40 '!#REF!</c:f>
              <c:strCache>
                <c:ptCount val="1"/>
                <c:pt idx="0">
                  <c:v>0</c:v>
                </c:pt>
              </c:strCache>
            </c:strRef>
          </c:xVal>
          <c:yVal>
            <c:numRef>
              <c:f>'Chapitre 40 '!#REF!</c:f>
              <c:numCache>
                <c:ptCount val="1"/>
                <c:pt idx="0">
                  <c:v>0</c:v>
                </c:pt>
              </c:numCache>
            </c:numRef>
          </c:yVal>
          <c:smooth val="1"/>
        </c:ser>
        <c:axId val="23884175"/>
        <c:axId val="13630984"/>
      </c:scatterChart>
      <c:valAx>
        <c:axId val="23884175"/>
        <c:scaling>
          <c:orientation val="minMax"/>
        </c:scaling>
        <c:axPos val="b"/>
        <c:delete val="0"/>
        <c:numFmt formatCode="General" sourceLinked="1"/>
        <c:majorTickMark val="out"/>
        <c:minorTickMark val="none"/>
        <c:tickLblPos val="nextTo"/>
        <c:crossAx val="13630984"/>
        <c:crosses val="autoZero"/>
        <c:crossBetween val="midCat"/>
        <c:dispUnits/>
      </c:valAx>
      <c:valAx>
        <c:axId val="13630984"/>
        <c:scaling>
          <c:orientation val="minMax"/>
        </c:scaling>
        <c:axPos val="l"/>
        <c:majorGridlines/>
        <c:delete val="0"/>
        <c:numFmt formatCode="General" sourceLinked="1"/>
        <c:majorTickMark val="out"/>
        <c:minorTickMark val="none"/>
        <c:tickLblPos val="nextTo"/>
        <c:crossAx val="238841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40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40 '!#REF!</c:f>
              <c:strCache>
                <c:ptCount val="1"/>
                <c:pt idx="0">
                  <c:v>0</c:v>
                </c:pt>
              </c:strCache>
            </c:strRef>
          </c:xVal>
          <c:yVal>
            <c:numRef>
              <c:f>'Chapitre 40 '!#REF!</c:f>
              <c:numCache>
                <c:ptCount val="1"/>
                <c:pt idx="0">
                  <c:v>0</c:v>
                </c:pt>
              </c:numCache>
            </c:numRef>
          </c:yVal>
          <c:smooth val="1"/>
        </c:ser>
        <c:axId val="55569993"/>
        <c:axId val="30367890"/>
      </c:scatterChart>
      <c:valAx>
        <c:axId val="55569993"/>
        <c:scaling>
          <c:orientation val="minMax"/>
        </c:scaling>
        <c:axPos val="b"/>
        <c:delete val="0"/>
        <c:numFmt formatCode="General" sourceLinked="1"/>
        <c:majorTickMark val="out"/>
        <c:minorTickMark val="none"/>
        <c:tickLblPos val="nextTo"/>
        <c:crossAx val="30367890"/>
        <c:crosses val="autoZero"/>
        <c:crossBetween val="midCat"/>
        <c:dispUnits/>
      </c:valAx>
      <c:valAx>
        <c:axId val="30367890"/>
        <c:scaling>
          <c:orientation val="minMax"/>
        </c:scaling>
        <c:axPos val="l"/>
        <c:majorGridlines/>
        <c:delete val="0"/>
        <c:numFmt formatCode="General" sourceLinked="1"/>
        <c:majorTickMark val="out"/>
        <c:minorTickMark val="none"/>
        <c:tickLblPos val="nextTo"/>
        <c:crossAx val="5556999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41'!#REF!</c:f>
              <c:strCache>
                <c:ptCount val="1"/>
                <c:pt idx="0">
                  <c:v>0</c:v>
                </c:pt>
              </c:strCache>
            </c:strRef>
          </c:xVal>
          <c:yVal>
            <c:numRef>
              <c:f>'Chapitre 41'!#REF!</c:f>
              <c:numCache>
                <c:ptCount val="1"/>
                <c:pt idx="0">
                  <c:v>0</c:v>
                </c:pt>
              </c:numCache>
            </c:numRef>
          </c:yVal>
          <c:smooth val="1"/>
        </c:ser>
        <c:axId val="4875555"/>
        <c:axId val="43879996"/>
      </c:scatterChart>
      <c:valAx>
        <c:axId val="4875555"/>
        <c:scaling>
          <c:orientation val="minMax"/>
        </c:scaling>
        <c:axPos val="b"/>
        <c:delete val="0"/>
        <c:numFmt formatCode="General" sourceLinked="1"/>
        <c:majorTickMark val="out"/>
        <c:minorTickMark val="none"/>
        <c:tickLblPos val="nextTo"/>
        <c:crossAx val="43879996"/>
        <c:crosses val="autoZero"/>
        <c:crossBetween val="midCat"/>
        <c:dispUnits/>
      </c:valAx>
      <c:valAx>
        <c:axId val="43879996"/>
        <c:scaling>
          <c:orientation val="minMax"/>
        </c:scaling>
        <c:axPos val="l"/>
        <c:majorGridlines/>
        <c:delete val="0"/>
        <c:numFmt formatCode="General" sourceLinked="1"/>
        <c:majorTickMark val="out"/>
        <c:minorTickMark val="none"/>
        <c:tickLblPos val="nextTo"/>
        <c:crossAx val="48755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41'!#REF!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41'!#REF!</c:f>
              <c:strCache>
                <c:ptCount val="1"/>
                <c:pt idx="0">
                  <c:v>0</c:v>
                </c:pt>
              </c:strCache>
            </c:strRef>
          </c:xVal>
          <c:yVal>
            <c:numRef>
              <c:f>'Chapitre 41'!#REF!</c:f>
              <c:numCache>
                <c:ptCount val="1"/>
                <c:pt idx="0">
                  <c:v>0</c:v>
                </c:pt>
              </c:numCache>
            </c:numRef>
          </c:yVal>
          <c:smooth val="1"/>
        </c:ser>
        <c:axId val="59375645"/>
        <c:axId val="64618758"/>
      </c:scatterChart>
      <c:valAx>
        <c:axId val="59375645"/>
        <c:scaling>
          <c:orientation val="minMax"/>
        </c:scaling>
        <c:axPos val="b"/>
        <c:delete val="0"/>
        <c:numFmt formatCode="General" sourceLinked="1"/>
        <c:majorTickMark val="out"/>
        <c:minorTickMark val="none"/>
        <c:tickLblPos val="nextTo"/>
        <c:crossAx val="64618758"/>
        <c:crosses val="autoZero"/>
        <c:crossBetween val="midCat"/>
        <c:dispUnits/>
      </c:valAx>
      <c:valAx>
        <c:axId val="64618758"/>
        <c:scaling>
          <c:orientation val="minMax"/>
        </c:scaling>
        <c:axPos val="l"/>
        <c:majorGridlines/>
        <c:delete val="0"/>
        <c:numFmt formatCode="General" sourceLinked="1"/>
        <c:majorTickMark val="out"/>
        <c:minorTickMark val="none"/>
        <c:tickLblPos val="nextTo"/>
        <c:crossAx val="5937564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42'!#REF!</c:f>
              <c:strCache>
                <c:ptCount val="1"/>
                <c:pt idx="0">
                  <c:v>0</c:v>
                </c:pt>
              </c:strCache>
            </c:strRef>
          </c:xVal>
          <c:yVal>
            <c:numRef>
              <c:f>'Chapitre 42'!#REF!</c:f>
              <c:numCache>
                <c:ptCount val="1"/>
                <c:pt idx="0">
                  <c:v>0</c:v>
                </c:pt>
              </c:numCache>
            </c:numRef>
          </c:yVal>
          <c:smooth val="1"/>
        </c:ser>
        <c:axId val="44697911"/>
        <c:axId val="66736880"/>
      </c:scatterChart>
      <c:valAx>
        <c:axId val="44697911"/>
        <c:scaling>
          <c:orientation val="minMax"/>
        </c:scaling>
        <c:axPos val="b"/>
        <c:delete val="0"/>
        <c:numFmt formatCode="General" sourceLinked="1"/>
        <c:majorTickMark val="out"/>
        <c:minorTickMark val="none"/>
        <c:tickLblPos val="nextTo"/>
        <c:crossAx val="66736880"/>
        <c:crosses val="autoZero"/>
        <c:crossBetween val="midCat"/>
        <c:dispUnits/>
      </c:valAx>
      <c:valAx>
        <c:axId val="66736880"/>
        <c:scaling>
          <c:orientation val="minMax"/>
        </c:scaling>
        <c:axPos val="l"/>
        <c:majorGridlines/>
        <c:delete val="0"/>
        <c:numFmt formatCode="General" sourceLinked="1"/>
        <c:majorTickMark val="out"/>
        <c:minorTickMark val="none"/>
        <c:tickLblPos val="nextTo"/>
        <c:crossAx val="4469791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7175"/>
          <c:h val="0.99475"/>
        </c:manualLayout>
      </c:layout>
      <c:barChart>
        <c:barDir val="col"/>
        <c:grouping val="stacked"/>
        <c:varyColors val="0"/>
        <c:ser>
          <c:idx val="3"/>
          <c:order val="0"/>
          <c:tx>
            <c:strRef>
              <c:f>'Chapitre 22'!$D$110</c:f>
              <c:strCache>
                <c:ptCount val="1"/>
                <c:pt idx="0">
                  <c:v>Amort. du capital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22'!$D$111:$D$117</c:f>
              <c:numCache>
                <c:ptCount val="7"/>
                <c:pt idx="0">
                  <c:v>0</c:v>
                </c:pt>
                <c:pt idx="1">
                  <c:v>0</c:v>
                </c:pt>
                <c:pt idx="2">
                  <c:v>79.68363336260371</c:v>
                </c:pt>
                <c:pt idx="3">
                  <c:v>84.86306953117295</c:v>
                </c:pt>
                <c:pt idx="4">
                  <c:v>90.3791690506992</c:v>
                </c:pt>
                <c:pt idx="5">
                  <c:v>96.25381503899465</c:v>
                </c:pt>
                <c:pt idx="6">
                  <c:v>102.5103130165293</c:v>
                </c:pt>
              </c:numCache>
            </c:numRef>
          </c:val>
        </c:ser>
        <c:ser>
          <c:idx val="4"/>
          <c:order val="1"/>
          <c:tx>
            <c:strRef>
              <c:f>'Chapitre 22'!$E$110</c:f>
              <c:strCache>
                <c:ptCount val="1"/>
                <c:pt idx="0">
                  <c:v>Intérêts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22'!$E$111:$E$117</c:f>
              <c:numCache>
                <c:ptCount val="7"/>
                <c:pt idx="2">
                  <c:v>29.48985</c:v>
                </c:pt>
                <c:pt idx="3">
                  <c:v>24.31041383143076</c:v>
                </c:pt>
                <c:pt idx="4">
                  <c:v>18.794314311904518</c:v>
                </c:pt>
                <c:pt idx="5">
                  <c:v>12.919668323609072</c:v>
                </c:pt>
                <c:pt idx="6">
                  <c:v>6.663170346074419</c:v>
                </c:pt>
              </c:numCache>
            </c:numRef>
          </c:val>
        </c:ser>
        <c:overlap val="100"/>
        <c:axId val="34271999"/>
        <c:axId val="40012536"/>
      </c:barChart>
      <c:catAx>
        <c:axId val="34271999"/>
        <c:scaling>
          <c:orientation val="minMax"/>
        </c:scaling>
        <c:axPos val="b"/>
        <c:title>
          <c:tx>
            <c:rich>
              <a:bodyPr vert="horz" rot="0" anchor="ctr"/>
              <a:lstStyle/>
              <a:p>
                <a:pPr algn="ctr">
                  <a:defRPr/>
                </a:pPr>
                <a:r>
                  <a:rPr lang="en-US" cap="none" sz="800" b="1" i="0" u="none" baseline="0"/>
                  <a:t>Période</a:t>
                </a:r>
              </a:p>
            </c:rich>
          </c:tx>
          <c:layout>
            <c:manualLayout>
              <c:xMode val="factor"/>
              <c:yMode val="factor"/>
              <c:x val="0.02625"/>
              <c:y val="0.152"/>
            </c:manualLayout>
          </c:layout>
          <c:overlay val="0"/>
          <c:spPr>
            <a:noFill/>
            <a:ln>
              <a:noFill/>
            </a:ln>
          </c:spPr>
        </c:title>
        <c:delete val="0"/>
        <c:numFmt formatCode="General" sourceLinked="1"/>
        <c:majorTickMark val="out"/>
        <c:minorTickMark val="none"/>
        <c:tickLblPos val="nextTo"/>
        <c:crossAx val="40012536"/>
        <c:crosses val="autoZero"/>
        <c:auto val="1"/>
        <c:lblOffset val="100"/>
        <c:noMultiLvlLbl val="0"/>
      </c:catAx>
      <c:valAx>
        <c:axId val="40012536"/>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25" b="0" i="0" u="none" baseline="0"/>
            </a:pPr>
          </a:p>
        </c:txPr>
        <c:crossAx val="34271999"/>
        <c:crossesAt val="1"/>
        <c:crossBetween val="between"/>
        <c:dispUnits/>
      </c:valAx>
      <c:spPr>
        <a:solidFill>
          <a:srgbClr val="C0C0C0"/>
        </a:solidFill>
        <a:ln w="12700">
          <a:solidFill>
            <a:srgbClr val="808080"/>
          </a:solidFill>
        </a:ln>
      </c:spPr>
    </c:plotArea>
    <c:legend>
      <c:legendPos val="r"/>
      <c:layout>
        <c:manualLayout>
          <c:xMode val="edge"/>
          <c:yMode val="edge"/>
          <c:x val="0.78075"/>
          <c:y val="0.372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42'!#REF!</c:f>
              <c:strCache>
                <c:ptCount val="1"/>
                <c:pt idx="0">
                  <c:v>0</c:v>
                </c:pt>
              </c:strCache>
            </c:strRef>
          </c:xVal>
          <c:yVal>
            <c:numRef>
              <c:f>'Chapitre 42'!#REF!</c:f>
              <c:numCache>
                <c:ptCount val="1"/>
                <c:pt idx="0">
                  <c:v>0</c:v>
                </c:pt>
              </c:numCache>
            </c:numRef>
          </c:yVal>
          <c:smooth val="1"/>
        </c:ser>
        <c:axId val="63761009"/>
        <c:axId val="36978170"/>
      </c:scatterChart>
      <c:valAx>
        <c:axId val="63761009"/>
        <c:scaling>
          <c:orientation val="minMax"/>
        </c:scaling>
        <c:axPos val="b"/>
        <c:delete val="0"/>
        <c:numFmt formatCode="General" sourceLinked="1"/>
        <c:majorTickMark val="out"/>
        <c:minorTickMark val="none"/>
        <c:tickLblPos val="nextTo"/>
        <c:crossAx val="36978170"/>
        <c:crosses val="autoZero"/>
        <c:crossBetween val="midCat"/>
        <c:dispUnits/>
      </c:valAx>
      <c:valAx>
        <c:axId val="36978170"/>
        <c:scaling>
          <c:orientation val="minMax"/>
        </c:scaling>
        <c:axPos val="l"/>
        <c:majorGridlines/>
        <c:delete val="0"/>
        <c:numFmt formatCode="General" sourceLinked="1"/>
        <c:majorTickMark val="out"/>
        <c:minorTickMark val="none"/>
        <c:tickLblPos val="nextTo"/>
        <c:crossAx val="637610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43'!#REF!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43'!#REF!</c:f>
              <c:strCache>
                <c:ptCount val="1"/>
                <c:pt idx="0">
                  <c:v>0</c:v>
                </c:pt>
              </c:strCache>
            </c:strRef>
          </c:xVal>
          <c:yVal>
            <c:numRef>
              <c:f>' Chapitre 43'!#REF!</c:f>
              <c:numCache>
                <c:ptCount val="1"/>
                <c:pt idx="0">
                  <c:v>0</c:v>
                </c:pt>
              </c:numCache>
            </c:numRef>
          </c:yVal>
          <c:smooth val="1"/>
        </c:ser>
        <c:axId val="64368075"/>
        <c:axId val="42441764"/>
      </c:scatterChart>
      <c:valAx>
        <c:axId val="64368075"/>
        <c:scaling>
          <c:orientation val="minMax"/>
        </c:scaling>
        <c:axPos val="b"/>
        <c:delete val="0"/>
        <c:numFmt formatCode="General" sourceLinked="1"/>
        <c:majorTickMark val="out"/>
        <c:minorTickMark val="none"/>
        <c:tickLblPos val="nextTo"/>
        <c:crossAx val="42441764"/>
        <c:crosses val="autoZero"/>
        <c:crossBetween val="midCat"/>
        <c:dispUnits/>
      </c:valAx>
      <c:valAx>
        <c:axId val="42441764"/>
        <c:scaling>
          <c:orientation val="minMax"/>
        </c:scaling>
        <c:axPos val="l"/>
        <c:majorGridlines/>
        <c:delete val="0"/>
        <c:numFmt formatCode="General" sourceLinked="1"/>
        <c:majorTickMark val="out"/>
        <c:minorTickMark val="none"/>
        <c:tickLblPos val="nextTo"/>
        <c:crossAx val="643680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43'!#REF!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43'!#REF!</c:f>
              <c:strCache>
                <c:ptCount val="1"/>
                <c:pt idx="0">
                  <c:v>0</c:v>
                </c:pt>
              </c:strCache>
            </c:strRef>
          </c:xVal>
          <c:yVal>
            <c:numRef>
              <c:f>' Chapitre 43'!#REF!</c:f>
              <c:numCache>
                <c:ptCount val="1"/>
                <c:pt idx="0">
                  <c:v>0</c:v>
                </c:pt>
              </c:numCache>
            </c:numRef>
          </c:yVal>
          <c:smooth val="1"/>
        </c:ser>
        <c:axId val="46431557"/>
        <c:axId val="15230830"/>
      </c:scatterChart>
      <c:valAx>
        <c:axId val="46431557"/>
        <c:scaling>
          <c:orientation val="minMax"/>
        </c:scaling>
        <c:axPos val="b"/>
        <c:delete val="0"/>
        <c:numFmt formatCode="General" sourceLinked="1"/>
        <c:majorTickMark val="out"/>
        <c:minorTickMark val="none"/>
        <c:tickLblPos val="nextTo"/>
        <c:crossAx val="15230830"/>
        <c:crosses val="autoZero"/>
        <c:crossBetween val="midCat"/>
        <c:dispUnits/>
      </c:valAx>
      <c:valAx>
        <c:axId val="15230830"/>
        <c:scaling>
          <c:orientation val="minMax"/>
        </c:scaling>
        <c:axPos val="l"/>
        <c:majorGridlines/>
        <c:delete val="0"/>
        <c:numFmt formatCode="General" sourceLinked="1"/>
        <c:majorTickMark val="out"/>
        <c:minorTickMark val="none"/>
        <c:tickLblPos val="nextTo"/>
        <c:crossAx val="4643155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44'!#REF!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44'!#REF!</c:f>
              <c:strCache>
                <c:ptCount val="1"/>
                <c:pt idx="0">
                  <c:v>1</c:v>
                </c:pt>
              </c:strCache>
            </c:strRef>
          </c:xVal>
          <c:yVal>
            <c:numRef>
              <c:f>'Chapitre 44'!#REF!</c:f>
              <c:numCache>
                <c:ptCount val="1"/>
                <c:pt idx="0">
                  <c:v>1</c:v>
                </c:pt>
              </c:numCache>
            </c:numRef>
          </c:yVal>
          <c:smooth val="1"/>
        </c:ser>
        <c:axId val="2859743"/>
        <c:axId val="25737688"/>
      </c:scatterChart>
      <c:valAx>
        <c:axId val="2859743"/>
        <c:scaling>
          <c:orientation val="minMax"/>
        </c:scaling>
        <c:axPos val="b"/>
        <c:delete val="0"/>
        <c:numFmt formatCode="General" sourceLinked="1"/>
        <c:majorTickMark val="out"/>
        <c:minorTickMark val="none"/>
        <c:tickLblPos val="nextTo"/>
        <c:crossAx val="25737688"/>
        <c:crosses val="autoZero"/>
        <c:crossBetween val="midCat"/>
        <c:dispUnits/>
      </c:valAx>
      <c:valAx>
        <c:axId val="25737688"/>
        <c:scaling>
          <c:orientation val="minMax"/>
        </c:scaling>
        <c:axPos val="l"/>
        <c:majorGridlines/>
        <c:delete val="0"/>
        <c:numFmt formatCode="General" sourceLinked="1"/>
        <c:majorTickMark val="out"/>
        <c:minorTickMark val="none"/>
        <c:tickLblPos val="nextTo"/>
        <c:crossAx val="285974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44'!#REF!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44'!#REF!</c:f>
              <c:strCache>
                <c:ptCount val="1"/>
                <c:pt idx="0">
                  <c:v>1</c:v>
                </c:pt>
              </c:strCache>
            </c:strRef>
          </c:xVal>
          <c:yVal>
            <c:numRef>
              <c:f>'Chapitre 44'!#REF!</c:f>
              <c:numCache>
                <c:ptCount val="1"/>
                <c:pt idx="0">
                  <c:v>1</c:v>
                </c:pt>
              </c:numCache>
            </c:numRef>
          </c:yVal>
          <c:smooth val="1"/>
        </c:ser>
        <c:axId val="30312601"/>
        <c:axId val="4377954"/>
      </c:scatterChart>
      <c:valAx>
        <c:axId val="30312601"/>
        <c:scaling>
          <c:orientation val="minMax"/>
        </c:scaling>
        <c:axPos val="b"/>
        <c:delete val="0"/>
        <c:numFmt formatCode="General" sourceLinked="1"/>
        <c:majorTickMark val="out"/>
        <c:minorTickMark val="none"/>
        <c:tickLblPos val="nextTo"/>
        <c:crossAx val="4377954"/>
        <c:crosses val="autoZero"/>
        <c:crossBetween val="midCat"/>
        <c:dispUnits/>
      </c:valAx>
      <c:valAx>
        <c:axId val="4377954"/>
        <c:scaling>
          <c:orientation val="minMax"/>
        </c:scaling>
        <c:axPos val="l"/>
        <c:majorGridlines/>
        <c:delete val="0"/>
        <c:numFmt formatCode="General" sourceLinked="1"/>
        <c:majorTickMark val="out"/>
        <c:minorTickMark val="none"/>
        <c:tickLblPos val="nextTo"/>
        <c:crossAx val="3031260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45 '!#REF!</c:f>
              <c:strCache>
                <c:ptCount val="1"/>
                <c:pt idx="0">
                  <c:v>0</c:v>
                </c:pt>
              </c:strCache>
            </c:strRef>
          </c:xVal>
          <c:yVal>
            <c:numRef>
              <c:f>'Chapitre 45 '!#REF!</c:f>
              <c:numCache>
                <c:ptCount val="1"/>
                <c:pt idx="0">
                  <c:v>0</c:v>
                </c:pt>
              </c:numCache>
            </c:numRef>
          </c:yVal>
          <c:smooth val="1"/>
        </c:ser>
        <c:axId val="39401587"/>
        <c:axId val="19069964"/>
      </c:scatterChart>
      <c:valAx>
        <c:axId val="39401587"/>
        <c:scaling>
          <c:orientation val="minMax"/>
        </c:scaling>
        <c:axPos val="b"/>
        <c:delete val="0"/>
        <c:numFmt formatCode="General" sourceLinked="1"/>
        <c:majorTickMark val="out"/>
        <c:minorTickMark val="none"/>
        <c:tickLblPos val="nextTo"/>
        <c:crossAx val="19069964"/>
        <c:crosses val="autoZero"/>
        <c:crossBetween val="midCat"/>
        <c:dispUnits/>
      </c:valAx>
      <c:valAx>
        <c:axId val="19069964"/>
        <c:scaling>
          <c:orientation val="minMax"/>
        </c:scaling>
        <c:axPos val="l"/>
        <c:majorGridlines/>
        <c:delete val="0"/>
        <c:numFmt formatCode="General" sourceLinked="1"/>
        <c:majorTickMark val="out"/>
        <c:minorTickMark val="none"/>
        <c:tickLblPos val="nextTo"/>
        <c:crossAx val="394015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45 '!#REF!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45 '!#REF!</c:f>
              <c:strCache>
                <c:ptCount val="1"/>
                <c:pt idx="0">
                  <c:v>0</c:v>
                </c:pt>
              </c:strCache>
            </c:strRef>
          </c:xVal>
          <c:yVal>
            <c:numRef>
              <c:f>'Chapitre 45 '!#REF!</c:f>
              <c:numCache>
                <c:ptCount val="1"/>
                <c:pt idx="0">
                  <c:v>0</c:v>
                </c:pt>
              </c:numCache>
            </c:numRef>
          </c:yVal>
          <c:smooth val="1"/>
        </c:ser>
        <c:axId val="37411949"/>
        <c:axId val="1163222"/>
      </c:scatterChart>
      <c:valAx>
        <c:axId val="37411949"/>
        <c:scaling>
          <c:orientation val="minMax"/>
        </c:scaling>
        <c:axPos val="b"/>
        <c:delete val="0"/>
        <c:numFmt formatCode="General" sourceLinked="1"/>
        <c:majorTickMark val="out"/>
        <c:minorTickMark val="none"/>
        <c:tickLblPos val="nextTo"/>
        <c:crossAx val="1163222"/>
        <c:crosses val="autoZero"/>
        <c:crossBetween val="midCat"/>
        <c:dispUnits/>
      </c:valAx>
      <c:valAx>
        <c:axId val="1163222"/>
        <c:scaling>
          <c:orientation val="minMax"/>
        </c:scaling>
        <c:axPos val="l"/>
        <c:majorGridlines/>
        <c:delete val="0"/>
        <c:numFmt formatCode="General" sourceLinked="1"/>
        <c:majorTickMark val="out"/>
        <c:minorTickMark val="none"/>
        <c:tickLblPos val="nextTo"/>
        <c:crossAx val="3741194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48'!#REF!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48'!#REF!</c:f>
              <c:strCache>
                <c:ptCount val="1"/>
                <c:pt idx="0">
                  <c:v>0</c:v>
                </c:pt>
              </c:strCache>
            </c:strRef>
          </c:xVal>
          <c:yVal>
            <c:numRef>
              <c:f>'Chapitre 48'!#REF!</c:f>
              <c:numCache>
                <c:ptCount val="1"/>
                <c:pt idx="0">
                  <c:v>0</c:v>
                </c:pt>
              </c:numCache>
            </c:numRef>
          </c:yVal>
          <c:smooth val="1"/>
        </c:ser>
        <c:axId val="10468999"/>
        <c:axId val="27112128"/>
      </c:scatterChart>
      <c:valAx>
        <c:axId val="10468999"/>
        <c:scaling>
          <c:orientation val="minMax"/>
        </c:scaling>
        <c:axPos val="b"/>
        <c:delete val="0"/>
        <c:numFmt formatCode="General" sourceLinked="1"/>
        <c:majorTickMark val="out"/>
        <c:minorTickMark val="none"/>
        <c:tickLblPos val="nextTo"/>
        <c:crossAx val="27112128"/>
        <c:crosses val="autoZero"/>
        <c:crossBetween val="midCat"/>
        <c:dispUnits/>
      </c:valAx>
      <c:valAx>
        <c:axId val="27112128"/>
        <c:scaling>
          <c:orientation val="minMax"/>
        </c:scaling>
        <c:axPos val="l"/>
        <c:majorGridlines/>
        <c:delete val="0"/>
        <c:numFmt formatCode="General" sourceLinked="1"/>
        <c:majorTickMark val="out"/>
        <c:minorTickMark val="none"/>
        <c:tickLblPos val="nextTo"/>
        <c:crossAx val="1046899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48'!#REF!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48'!#REF!</c:f>
              <c:strCache>
                <c:ptCount val="1"/>
                <c:pt idx="0">
                  <c:v>0</c:v>
                </c:pt>
              </c:strCache>
            </c:strRef>
          </c:xVal>
          <c:yVal>
            <c:numRef>
              <c:f>'Chapitre 48'!#REF!</c:f>
              <c:numCache>
                <c:ptCount val="1"/>
                <c:pt idx="0">
                  <c:v>0</c:v>
                </c:pt>
              </c:numCache>
            </c:numRef>
          </c:yVal>
          <c:smooth val="1"/>
        </c:ser>
        <c:axId val="42682561"/>
        <c:axId val="48598730"/>
      </c:scatterChart>
      <c:valAx>
        <c:axId val="42682561"/>
        <c:scaling>
          <c:orientation val="minMax"/>
        </c:scaling>
        <c:axPos val="b"/>
        <c:delete val="0"/>
        <c:numFmt formatCode="General" sourceLinked="1"/>
        <c:majorTickMark val="out"/>
        <c:minorTickMark val="none"/>
        <c:tickLblPos val="nextTo"/>
        <c:crossAx val="48598730"/>
        <c:crosses val="autoZero"/>
        <c:crossBetween val="midCat"/>
        <c:dispUnits/>
      </c:valAx>
      <c:valAx>
        <c:axId val="48598730"/>
        <c:scaling>
          <c:orientation val="minMax"/>
        </c:scaling>
        <c:axPos val="l"/>
        <c:majorGridlines/>
        <c:delete val="0"/>
        <c:numFmt formatCode="General" sourceLinked="1"/>
        <c:majorTickMark val="out"/>
        <c:minorTickMark val="none"/>
        <c:tickLblPos val="nextTo"/>
        <c:crossAx val="426825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50'!#REF!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50'!#REF!</c:f>
              <c:strCache>
                <c:ptCount val="1"/>
                <c:pt idx="0">
                  <c:v>0</c:v>
                </c:pt>
              </c:strCache>
            </c:strRef>
          </c:xVal>
          <c:yVal>
            <c:numRef>
              <c:f>'Chapitre 50'!#REF!</c:f>
              <c:numCache>
                <c:ptCount val="1"/>
                <c:pt idx="0">
                  <c:v>0</c:v>
                </c:pt>
              </c:numCache>
            </c:numRef>
          </c:yVal>
          <c:smooth val="1"/>
        </c:ser>
        <c:axId val="34735387"/>
        <c:axId val="44183028"/>
      </c:scatterChart>
      <c:valAx>
        <c:axId val="34735387"/>
        <c:scaling>
          <c:orientation val="minMax"/>
        </c:scaling>
        <c:axPos val="b"/>
        <c:delete val="0"/>
        <c:numFmt formatCode="General" sourceLinked="1"/>
        <c:majorTickMark val="out"/>
        <c:minorTickMark val="none"/>
        <c:tickLblPos val="nextTo"/>
        <c:crossAx val="44183028"/>
        <c:crosses val="autoZero"/>
        <c:crossBetween val="midCat"/>
        <c:dispUnits/>
      </c:valAx>
      <c:valAx>
        <c:axId val="44183028"/>
        <c:scaling>
          <c:orientation val="minMax"/>
        </c:scaling>
        <c:axPos val="l"/>
        <c:majorGridlines/>
        <c:delete val="0"/>
        <c:numFmt formatCode="General" sourceLinked="1"/>
        <c:majorTickMark val="out"/>
        <c:minorTickMark val="none"/>
        <c:tickLblPos val="nextTo"/>
        <c:crossAx val="347353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
          <c:w val="0.717"/>
          <c:h val="0.9955"/>
        </c:manualLayout>
      </c:layout>
      <c:barChart>
        <c:barDir val="col"/>
        <c:grouping val="stacked"/>
        <c:varyColors val="0"/>
        <c:ser>
          <c:idx val="3"/>
          <c:order val="0"/>
          <c:tx>
            <c:strRef>
              <c:f>'Chapitre 22'!$D$125</c:f>
              <c:strCache>
                <c:ptCount val="1"/>
                <c:pt idx="0">
                  <c:v>Amort. du capital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22'!$D$126:$D$132</c:f>
              <c:numCache>
                <c:ptCount val="7"/>
                <c:pt idx="2">
                  <c:v>90.738</c:v>
                </c:pt>
                <c:pt idx="3">
                  <c:v>90.738</c:v>
                </c:pt>
                <c:pt idx="4">
                  <c:v>90.738</c:v>
                </c:pt>
                <c:pt idx="5">
                  <c:v>90.738</c:v>
                </c:pt>
                <c:pt idx="6">
                  <c:v>90.738</c:v>
                </c:pt>
              </c:numCache>
            </c:numRef>
          </c:val>
        </c:ser>
        <c:ser>
          <c:idx val="4"/>
          <c:order val="1"/>
          <c:tx>
            <c:strRef>
              <c:f>'Chapitre 22'!$E$125</c:f>
              <c:strCache>
                <c:ptCount val="1"/>
                <c:pt idx="0">
                  <c:v>Intérêts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'Chapitre 22'!$E$126:$E$132</c:f>
              <c:numCache>
                <c:ptCount val="7"/>
                <c:pt idx="2">
                  <c:v>29.48985</c:v>
                </c:pt>
                <c:pt idx="3">
                  <c:v>23.59188</c:v>
                </c:pt>
                <c:pt idx="4">
                  <c:v>17.69391</c:v>
                </c:pt>
                <c:pt idx="5">
                  <c:v>11.79594</c:v>
                </c:pt>
                <c:pt idx="6">
                  <c:v>5.89797</c:v>
                </c:pt>
              </c:numCache>
            </c:numRef>
          </c:val>
        </c:ser>
        <c:overlap val="100"/>
        <c:axId val="24568505"/>
        <c:axId val="19789954"/>
      </c:barChart>
      <c:catAx>
        <c:axId val="24568505"/>
        <c:scaling>
          <c:orientation val="minMax"/>
        </c:scaling>
        <c:axPos val="b"/>
        <c:title>
          <c:tx>
            <c:rich>
              <a:bodyPr vert="horz" rot="0" anchor="ctr"/>
              <a:lstStyle/>
              <a:p>
                <a:pPr algn="ctr">
                  <a:defRPr/>
                </a:pPr>
                <a:r>
                  <a:rPr lang="en-US" cap="none" sz="800" b="1" i="0" u="none" baseline="0"/>
                  <a:t>Période</a:t>
                </a:r>
              </a:p>
            </c:rich>
          </c:tx>
          <c:layout>
            <c:manualLayout>
              <c:xMode val="factor"/>
              <c:yMode val="factor"/>
              <c:x val="0.02625"/>
              <c:y val="0.152"/>
            </c:manualLayout>
          </c:layout>
          <c:overlay val="0"/>
          <c:spPr>
            <a:noFill/>
            <a:ln>
              <a:noFill/>
            </a:ln>
          </c:spPr>
        </c:title>
        <c:delete val="0"/>
        <c:numFmt formatCode="General" sourceLinked="1"/>
        <c:majorTickMark val="out"/>
        <c:minorTickMark val="none"/>
        <c:tickLblPos val="nextTo"/>
        <c:crossAx val="19789954"/>
        <c:crosses val="autoZero"/>
        <c:auto val="1"/>
        <c:lblOffset val="100"/>
        <c:noMultiLvlLbl val="0"/>
      </c:catAx>
      <c:valAx>
        <c:axId val="19789954"/>
        <c:scaling>
          <c:orientation val="minMax"/>
        </c:scaling>
        <c:axPos val="l"/>
        <c:title>
          <c:tx>
            <c:rich>
              <a:bodyPr vert="horz" rot="-5400000" anchor="ctr"/>
              <a:lstStyle/>
              <a:p>
                <a:pPr algn="ctr">
                  <a:defRPr/>
                </a:pPr>
                <a:r>
                  <a:rPr lang="en-US" cap="none" sz="800" b="1" i="0" u="none" baseline="0"/>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50" b="0" i="0" u="none" baseline="0"/>
            </a:pPr>
          </a:p>
        </c:txPr>
        <c:crossAx val="24568505"/>
        <c:crossesAt val="1"/>
        <c:crossBetween val="between"/>
        <c:dispUnits/>
      </c:valAx>
      <c:spPr>
        <a:solidFill>
          <a:srgbClr val="C0C0C0"/>
        </a:solidFill>
        <a:ln w="12700">
          <a:solidFill>
            <a:srgbClr val="808080"/>
          </a:solidFill>
        </a:ln>
      </c:spPr>
    </c:plotArea>
    <c:legend>
      <c:legendPos val="r"/>
      <c:layout>
        <c:manualLayout>
          <c:xMode val="edge"/>
          <c:yMode val="edge"/>
          <c:x val="0.78125"/>
          <c:y val="0.36975"/>
        </c:manualLayout>
      </c:layout>
      <c:overlay val="0"/>
    </c:legend>
    <c:plotVisOnly val="1"/>
    <c:dispBlanksAs val="gap"/>
    <c:showDLblsOverMax val="0"/>
  </c:chart>
  <c:txPr>
    <a:bodyPr vert="horz" rot="0"/>
    <a:lstStyle/>
    <a:p>
      <a:pPr>
        <a:defRPr lang="en-US" cap="none" sz="800" b="0" i="0" u="none" baseline="0"/>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50'!#REF!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50'!#REF!</c:f>
              <c:strCache>
                <c:ptCount val="1"/>
                <c:pt idx="0">
                  <c:v>0</c:v>
                </c:pt>
              </c:strCache>
            </c:strRef>
          </c:xVal>
          <c:yVal>
            <c:numRef>
              <c:f>'Chapitre 50'!#REF!</c:f>
              <c:numCache>
                <c:ptCount val="1"/>
                <c:pt idx="0">
                  <c:v>0</c:v>
                </c:pt>
              </c:numCache>
            </c:numRef>
          </c:yVal>
          <c:smooth val="1"/>
        </c:ser>
        <c:axId val="62102933"/>
        <c:axId val="22055486"/>
      </c:scatterChart>
      <c:valAx>
        <c:axId val="62102933"/>
        <c:scaling>
          <c:orientation val="minMax"/>
        </c:scaling>
        <c:axPos val="b"/>
        <c:delete val="0"/>
        <c:numFmt formatCode="General" sourceLinked="1"/>
        <c:majorTickMark val="out"/>
        <c:minorTickMark val="none"/>
        <c:tickLblPos val="nextTo"/>
        <c:crossAx val="22055486"/>
        <c:crosses val="autoZero"/>
        <c:crossBetween val="midCat"/>
        <c:dispUnits/>
      </c:valAx>
      <c:valAx>
        <c:axId val="22055486"/>
        <c:scaling>
          <c:orientation val="minMax"/>
        </c:scaling>
        <c:axPos val="l"/>
        <c:majorGridlines/>
        <c:delete val="0"/>
        <c:numFmt formatCode="General" sourceLinked="1"/>
        <c:majorTickMark val="out"/>
        <c:minorTickMark val="none"/>
        <c:tickLblPos val="nextTo"/>
        <c:crossAx val="6210293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 Chapitre 53'!#REF!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53'!#REF!</c:f>
              <c:strCache>
                <c:ptCount val="1"/>
                <c:pt idx="0">
                  <c:v>1</c:v>
                </c:pt>
              </c:strCache>
            </c:strRef>
          </c:xVal>
          <c:yVal>
            <c:numRef>
              <c:f>' Chapitre 53'!#REF!</c:f>
              <c:numCache>
                <c:ptCount val="1"/>
                <c:pt idx="0">
                  <c:v>1</c:v>
                </c:pt>
              </c:numCache>
            </c:numRef>
          </c:yVal>
          <c:smooth val="1"/>
        </c:ser>
        <c:axId val="64281647"/>
        <c:axId val="41663912"/>
      </c:scatterChart>
      <c:valAx>
        <c:axId val="64281647"/>
        <c:scaling>
          <c:orientation val="minMax"/>
        </c:scaling>
        <c:axPos val="b"/>
        <c:delete val="0"/>
        <c:numFmt formatCode="General" sourceLinked="1"/>
        <c:majorTickMark val="out"/>
        <c:minorTickMark val="none"/>
        <c:tickLblPos val="nextTo"/>
        <c:crossAx val="41663912"/>
        <c:crosses val="autoZero"/>
        <c:crossBetween val="midCat"/>
        <c:dispUnits/>
      </c:valAx>
      <c:valAx>
        <c:axId val="41663912"/>
        <c:scaling>
          <c:orientation val="minMax"/>
        </c:scaling>
        <c:axPos val="l"/>
        <c:majorGridlines/>
        <c:delete val="0"/>
        <c:numFmt formatCode="General" sourceLinked="1"/>
        <c:majorTickMark val="out"/>
        <c:minorTickMark val="none"/>
        <c:tickLblPos val="nextTo"/>
        <c:crossAx val="6428164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 Chapitre 53'!#REF!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 Chapitre 53'!#REF!</c:f>
              <c:strCache>
                <c:ptCount val="1"/>
                <c:pt idx="0">
                  <c:v>1</c:v>
                </c:pt>
              </c:strCache>
            </c:strRef>
          </c:xVal>
          <c:yVal>
            <c:numRef>
              <c:f>' Chapitre 53'!#REF!</c:f>
              <c:numCache>
                <c:ptCount val="1"/>
                <c:pt idx="0">
                  <c:v>1</c:v>
                </c:pt>
              </c:numCache>
            </c:numRef>
          </c:yVal>
          <c:smooth val="1"/>
        </c:ser>
        <c:axId val="39430889"/>
        <c:axId val="19333682"/>
      </c:scatterChart>
      <c:valAx>
        <c:axId val="39430889"/>
        <c:scaling>
          <c:orientation val="minMax"/>
        </c:scaling>
        <c:axPos val="b"/>
        <c:delete val="0"/>
        <c:numFmt formatCode="General" sourceLinked="1"/>
        <c:majorTickMark val="out"/>
        <c:minorTickMark val="none"/>
        <c:tickLblPos val="nextTo"/>
        <c:crossAx val="19333682"/>
        <c:crosses val="autoZero"/>
        <c:crossBetween val="midCat"/>
        <c:dispUnits/>
      </c:valAx>
      <c:valAx>
        <c:axId val="19333682"/>
        <c:scaling>
          <c:orientation val="minMax"/>
        </c:scaling>
        <c:axPos val="l"/>
        <c:majorGridlines/>
        <c:delete val="0"/>
        <c:numFmt formatCode="General" sourceLinked="1"/>
        <c:majorTickMark val="out"/>
        <c:minorTickMark val="none"/>
        <c:tickLblPos val="nextTo"/>
        <c:crossAx val="394308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Portefeuille H,E</a:t>
            </a:r>
          </a:p>
        </c:rich>
      </c:tx>
      <c:layout/>
      <c:spPr>
        <a:noFill/>
        <a:ln>
          <a:noFill/>
        </a:ln>
      </c:spPr>
    </c:title>
    <c:plotArea>
      <c:layout/>
      <c:scatterChart>
        <c:scatterStyle val="smoothMarker"/>
        <c:varyColors val="0"/>
        <c:ser>
          <c:idx val="0"/>
          <c:order val="0"/>
          <c:tx>
            <c:strRef>
              <c:f>'Chapitre 24'!$A$27</c:f>
              <c:strCache>
                <c:ptCount val="1"/>
                <c:pt idx="0">
                  <c:v>E(r H,E)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24'!$B$26:$L$26</c:f>
              <c:numCache>
                <c:ptCount val="11"/>
                <c:pt idx="0">
                  <c:v>0.1</c:v>
                </c:pt>
                <c:pt idx="1">
                  <c:v>0.09647279409242795</c:v>
                </c:pt>
                <c:pt idx="2">
                  <c:v>0.0957257260831504</c:v>
                </c:pt>
                <c:pt idx="3">
                  <c:v>0.09819877799647</c:v>
                </c:pt>
                <c:pt idx="4">
                  <c:v>0.10330537256115968</c:v>
                </c:pt>
                <c:pt idx="5">
                  <c:v>0.1107925990308017</c:v>
                </c:pt>
                <c:pt idx="6">
                  <c:v>0.12021647141718976</c:v>
                </c:pt>
                <c:pt idx="7">
                  <c:v>0.13116020738013492</c:v>
                </c:pt>
                <c:pt idx="8">
                  <c:v>0.14327595750857858</c:v>
                </c:pt>
                <c:pt idx="9">
                  <c:v>0.15629139451678076</c:v>
                </c:pt>
                <c:pt idx="10">
                  <c:v>0.17</c:v>
                </c:pt>
              </c:numCache>
            </c:numRef>
          </c:xVal>
          <c:yVal>
            <c:numRef>
              <c:f>'Chapitre 24'!$B$27:$L$27</c:f>
              <c:numCache>
                <c:ptCount val="11"/>
                <c:pt idx="0">
                  <c:v>0.06</c:v>
                </c:pt>
                <c:pt idx="1">
                  <c:v>0.067</c:v>
                </c:pt>
                <c:pt idx="2">
                  <c:v>0.07195121951219512</c:v>
                </c:pt>
                <c:pt idx="3">
                  <c:v>0.08099999999999999</c:v>
                </c:pt>
                <c:pt idx="4">
                  <c:v>0.088</c:v>
                </c:pt>
                <c:pt idx="5">
                  <c:v>0.095</c:v>
                </c:pt>
                <c:pt idx="6">
                  <c:v>0.10200000000000001</c:v>
                </c:pt>
                <c:pt idx="7">
                  <c:v>0.109</c:v>
                </c:pt>
                <c:pt idx="8">
                  <c:v>0.116</c:v>
                </c:pt>
                <c:pt idx="9">
                  <c:v>0.123</c:v>
                </c:pt>
                <c:pt idx="10">
                  <c:v>0.13</c:v>
                </c:pt>
              </c:numCache>
            </c:numRef>
          </c:yVal>
          <c:smooth val="1"/>
        </c:ser>
        <c:axId val="43891859"/>
        <c:axId val="59482412"/>
      </c:scatterChart>
      <c:valAx>
        <c:axId val="43891859"/>
        <c:scaling>
          <c:orientation val="minMax"/>
        </c:scaling>
        <c:axPos val="b"/>
        <c:title>
          <c:tx>
            <c:rich>
              <a:bodyPr vert="horz" rot="0" anchor="ctr"/>
              <a:lstStyle/>
              <a:p>
                <a:pPr algn="ctr">
                  <a:defRPr/>
                </a:pPr>
                <a:r>
                  <a:rPr lang="en-US" cap="none" sz="950" b="1" i="0" u="none" baseline="0"/>
                  <a:t>σ H,E</a:t>
                </a:r>
              </a:p>
            </c:rich>
          </c:tx>
          <c:layout/>
          <c:overlay val="0"/>
          <c:spPr>
            <a:noFill/>
            <a:ln>
              <a:noFill/>
            </a:ln>
          </c:spPr>
        </c:title>
        <c:delete val="0"/>
        <c:numFmt formatCode="General" sourceLinked="1"/>
        <c:majorTickMark val="out"/>
        <c:minorTickMark val="none"/>
        <c:tickLblPos val="nextTo"/>
        <c:crossAx val="59482412"/>
        <c:crosses val="autoZero"/>
        <c:crossBetween val="midCat"/>
        <c:dispUnits/>
      </c:valAx>
      <c:valAx>
        <c:axId val="59482412"/>
        <c:scaling>
          <c:orientation val="minMax"/>
        </c:scaling>
        <c:axPos val="l"/>
        <c:title>
          <c:tx>
            <c:rich>
              <a:bodyPr vert="horz" rot="-5400000" anchor="ctr"/>
              <a:lstStyle/>
              <a:p>
                <a:pPr algn="ctr">
                  <a:defRPr/>
                </a:pPr>
                <a:r>
                  <a:rPr lang="en-US" cap="none" sz="950" b="1" i="0" u="none" baseline="0"/>
                  <a:t>E(r H,E)</a:t>
                </a:r>
              </a:p>
            </c:rich>
          </c:tx>
          <c:layout/>
          <c:overlay val="0"/>
          <c:spPr>
            <a:noFill/>
            <a:ln>
              <a:noFill/>
            </a:ln>
          </c:spPr>
        </c:title>
        <c:majorGridlines/>
        <c:delete val="0"/>
        <c:numFmt formatCode="General" sourceLinked="1"/>
        <c:majorTickMark val="out"/>
        <c:minorTickMark val="none"/>
        <c:tickLblPos val="nextTo"/>
        <c:crossAx val="4389185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smoothMarker"/>
        <c:varyColors val="0"/>
        <c:ser>
          <c:idx val="0"/>
          <c:order val="0"/>
          <c:tx>
            <c:strRef>
              <c:f>'Chapitre 24'!$A$56</c:f>
              <c:strCache>
                <c:ptCount val="1"/>
                <c:pt idx="0">
                  <c:v>Rentabilité attendue</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'Chapitre 24'!$C$55:$H$55</c:f>
              <c:numCache>
                <c:ptCount val="6"/>
                <c:pt idx="0">
                  <c:v>0.15</c:v>
                </c:pt>
                <c:pt idx="1">
                  <c:v>0.14523687548277814</c:v>
                </c:pt>
                <c:pt idx="2">
                  <c:v>0.15</c:v>
                </c:pt>
                <c:pt idx="3">
                  <c:v>0.18371173070873834</c:v>
                </c:pt>
                <c:pt idx="4">
                  <c:v>0.23717082451262844</c:v>
                </c:pt>
                <c:pt idx="5">
                  <c:v>0.3</c:v>
                </c:pt>
              </c:numCache>
            </c:numRef>
          </c:xVal>
          <c:yVal>
            <c:numRef>
              <c:f>'Chapitre 24'!$C$56:$H$56</c:f>
              <c:numCache>
                <c:ptCount val="6"/>
                <c:pt idx="0">
                  <c:v>0.1</c:v>
                </c:pt>
                <c:pt idx="1">
                  <c:v>0.11250000000000002</c:v>
                </c:pt>
                <c:pt idx="2">
                  <c:v>0.125</c:v>
                </c:pt>
                <c:pt idx="3">
                  <c:v>0.15000000000000002</c:v>
                </c:pt>
                <c:pt idx="4">
                  <c:v>0.17500000000000002</c:v>
                </c:pt>
                <c:pt idx="5">
                  <c:v>0.2</c:v>
                </c:pt>
              </c:numCache>
            </c:numRef>
          </c:yVal>
          <c:smooth val="1"/>
        </c:ser>
        <c:axId val="65579661"/>
        <c:axId val="53346038"/>
      </c:scatterChart>
      <c:valAx>
        <c:axId val="65579661"/>
        <c:scaling>
          <c:orientation val="minMax"/>
        </c:scaling>
        <c:axPos val="b"/>
        <c:title>
          <c:tx>
            <c:rich>
              <a:bodyPr vert="horz" rot="0" anchor="ctr"/>
              <a:lstStyle/>
              <a:p>
                <a:pPr algn="ctr">
                  <a:defRPr/>
                </a:pPr>
                <a:r>
                  <a:rPr lang="en-US" cap="none" sz="1025" b="1" i="0" u="none" baseline="0"/>
                  <a:t>Ecart-type</a:t>
                </a:r>
              </a:p>
            </c:rich>
          </c:tx>
          <c:layout/>
          <c:overlay val="0"/>
          <c:spPr>
            <a:noFill/>
            <a:ln>
              <a:noFill/>
            </a:ln>
          </c:spPr>
        </c:title>
        <c:delete val="0"/>
        <c:numFmt formatCode="General" sourceLinked="1"/>
        <c:majorTickMark val="out"/>
        <c:minorTickMark val="none"/>
        <c:tickLblPos val="nextTo"/>
        <c:crossAx val="53346038"/>
        <c:crosses val="autoZero"/>
        <c:crossBetween val="midCat"/>
        <c:dispUnits/>
      </c:valAx>
      <c:valAx>
        <c:axId val="53346038"/>
        <c:scaling>
          <c:orientation val="minMax"/>
        </c:scaling>
        <c:axPos val="l"/>
        <c:title>
          <c:tx>
            <c:rich>
              <a:bodyPr vert="horz" rot="-5400000" anchor="ctr"/>
              <a:lstStyle/>
              <a:p>
                <a:pPr algn="ctr">
                  <a:defRPr/>
                </a:pPr>
                <a:r>
                  <a:rPr lang="en-US" cap="none" sz="1025" b="1" i="0" u="none" baseline="0"/>
                  <a:t>Rentabilité attendue</a:t>
                </a:r>
              </a:p>
            </c:rich>
          </c:tx>
          <c:layout/>
          <c:overlay val="0"/>
          <c:spPr>
            <a:noFill/>
            <a:ln>
              <a:noFill/>
            </a:ln>
          </c:spPr>
        </c:title>
        <c:majorGridlines/>
        <c:delete val="0"/>
        <c:numFmt formatCode="General" sourceLinked="1"/>
        <c:majorTickMark val="out"/>
        <c:minorTickMark val="none"/>
        <c:tickLblPos val="nextTo"/>
        <c:crossAx val="6557966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t>Portefeuille B,S</a:t>
            </a:r>
          </a:p>
        </c:rich>
      </c:tx>
      <c:layout/>
      <c:spPr>
        <a:noFill/>
        <a:ln>
          <a:noFill/>
        </a:ln>
      </c:spPr>
    </c:title>
    <c:plotArea>
      <c:layout/>
      <c:scatterChart>
        <c:scatterStyle val="smoothMarker"/>
        <c:varyColors val="0"/>
        <c:ser>
          <c:idx val="0"/>
          <c:order val="0"/>
          <c:tx>
            <c:strRef>
              <c:f>'Chapitre 25'!#REF!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strRef>
              <c:f>'Chapitre 25'!#REF!</c:f>
              <c:strCache>
                <c:ptCount val="1"/>
                <c:pt idx="0">
                  <c:v>1</c:v>
                </c:pt>
              </c:strCache>
            </c:strRef>
          </c:xVal>
          <c:yVal>
            <c:numRef>
              <c:f>'Chapitre 25'!#REF!</c:f>
              <c:numCache>
                <c:ptCount val="1"/>
                <c:pt idx="0">
                  <c:v>1</c:v>
                </c:pt>
              </c:numCache>
            </c:numRef>
          </c:yVal>
          <c:smooth val="1"/>
        </c:ser>
        <c:axId val="10352295"/>
        <c:axId val="26061792"/>
      </c:scatterChart>
      <c:valAx>
        <c:axId val="10352295"/>
        <c:scaling>
          <c:orientation val="minMax"/>
        </c:scaling>
        <c:axPos val="b"/>
        <c:title>
          <c:tx>
            <c:rich>
              <a:bodyPr vert="horz" rot="0" anchor="ctr"/>
              <a:lstStyle/>
              <a:p>
                <a:pPr algn="ctr">
                  <a:defRPr/>
                </a:pPr>
                <a:r>
                  <a:rPr lang="en-US" cap="none" sz="150" b="1" i="0" u="none" baseline="0"/>
                  <a:t>σ B,S</a:t>
                </a:r>
              </a:p>
            </c:rich>
          </c:tx>
          <c:layout/>
          <c:overlay val="0"/>
          <c:spPr>
            <a:noFill/>
            <a:ln>
              <a:noFill/>
            </a:ln>
          </c:spPr>
        </c:title>
        <c:delete val="0"/>
        <c:numFmt formatCode="General" sourceLinked="1"/>
        <c:majorTickMark val="out"/>
        <c:minorTickMark val="none"/>
        <c:tickLblPos val="nextTo"/>
        <c:crossAx val="26061792"/>
        <c:crosses val="autoZero"/>
        <c:crossBetween val="midCat"/>
        <c:dispUnits/>
      </c:valAx>
      <c:valAx>
        <c:axId val="26061792"/>
        <c:scaling>
          <c:orientation val="minMax"/>
        </c:scaling>
        <c:axPos val="l"/>
        <c:title>
          <c:tx>
            <c:rich>
              <a:bodyPr vert="horz" rot="-5400000" anchor="ctr"/>
              <a:lstStyle/>
              <a:p>
                <a:pPr algn="ctr">
                  <a:defRPr/>
                </a:pPr>
                <a:r>
                  <a:rPr lang="en-US" cap="none" sz="150" b="1" i="0" u="none" baseline="0"/>
                  <a:t>E(r B,S)</a:t>
                </a:r>
              </a:p>
            </c:rich>
          </c:tx>
          <c:layout/>
          <c:overlay val="0"/>
          <c:spPr>
            <a:noFill/>
            <a:ln>
              <a:noFill/>
            </a:ln>
          </c:spPr>
        </c:title>
        <c:majorGridlines/>
        <c:delete val="0"/>
        <c:numFmt formatCode="General" sourceLinked="1"/>
        <c:majorTickMark val="out"/>
        <c:minorTickMark val="none"/>
        <c:tickLblPos val="nextTo"/>
        <c:crossAx val="103522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 Id="rId3" Type="http://schemas.openxmlformats.org/officeDocument/2006/relationships/chart" Target="/xl/charts/chart37.xml" /><Relationship Id="rId4" Type="http://schemas.openxmlformats.org/officeDocument/2006/relationships/chart" Target="/xl/charts/chart38.xml" /><Relationship Id="rId5" Type="http://schemas.openxmlformats.org/officeDocument/2006/relationships/chart" Target="/xl/charts/chart39.xml" /><Relationship Id="rId6" Type="http://schemas.openxmlformats.org/officeDocument/2006/relationships/chart" Target="/xl/charts/chart40.xml" /><Relationship Id="rId7" Type="http://schemas.openxmlformats.org/officeDocument/2006/relationships/chart" Target="/xl/charts/chart41.xml" /><Relationship Id="rId8" Type="http://schemas.openxmlformats.org/officeDocument/2006/relationships/chart" Target="/xl/charts/chart4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45.xml" /><Relationship Id="rId2" Type="http://schemas.openxmlformats.org/officeDocument/2006/relationships/chart" Target="/xl/charts/chart4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53.xml" /><Relationship Id="rId2" Type="http://schemas.openxmlformats.org/officeDocument/2006/relationships/chart" Target="/xl/charts/chart5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19</xdr:row>
      <xdr:rowOff>9525</xdr:rowOff>
    </xdr:from>
    <xdr:to>
      <xdr:col>8</xdr:col>
      <xdr:colOff>666750</xdr:colOff>
      <xdr:row>22</xdr:row>
      <xdr:rowOff>76200</xdr:rowOff>
    </xdr:to>
    <xdr:sp>
      <xdr:nvSpPr>
        <xdr:cNvPr id="1" name="TextBox 1"/>
        <xdr:cNvSpPr txBox="1">
          <a:spLocks noChangeArrowheads="1"/>
        </xdr:cNvSpPr>
      </xdr:nvSpPr>
      <xdr:spPr>
        <a:xfrm>
          <a:off x="3438525" y="3267075"/>
          <a:ext cx="37242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M détient 80% de F: intégration globale
M détient 50% de F: intégration proportionnelle
M détient 20% de F: intégration par mise en équivalence</a:t>
          </a:r>
        </a:p>
      </xdr:txBody>
    </xdr:sp>
    <xdr:clientData/>
  </xdr:twoCellAnchor>
  <xdr:twoCellAnchor>
    <xdr:from>
      <xdr:col>0</xdr:col>
      <xdr:colOff>495300</xdr:colOff>
      <xdr:row>55</xdr:row>
      <xdr:rowOff>123825</xdr:rowOff>
    </xdr:from>
    <xdr:to>
      <xdr:col>5</xdr:col>
      <xdr:colOff>104775</xdr:colOff>
      <xdr:row>64</xdr:row>
      <xdr:rowOff>142875</xdr:rowOff>
    </xdr:to>
    <xdr:sp>
      <xdr:nvSpPr>
        <xdr:cNvPr id="2" name="TextBox 2"/>
        <xdr:cNvSpPr txBox="1">
          <a:spLocks noChangeArrowheads="1"/>
        </xdr:cNvSpPr>
      </xdr:nvSpPr>
      <xdr:spPr>
        <a:xfrm>
          <a:off x="495300" y="9553575"/>
          <a:ext cx="4819650" cy="147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 Pour consolider F, H utilise l'intégration globale car H contrôle F (H détient 56% de F).
. Pour consolider H, V utilise l'intégration proportionnelle car V partage le contrôe de H avec K (50% / 50%).
. Si le résultat net de F est de 100, H en constatera 100 dans ses comptes dont 44 en minoritaires et V en constatera 50 dans ses comptes dont 50% x 56% x 100= 28 en part du groupe et 50 - 28 = 22 en minoritaires.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95250</xdr:rowOff>
    </xdr:from>
    <xdr:to>
      <xdr:col>0</xdr:col>
      <xdr:colOff>0</xdr:colOff>
      <xdr:row>38</xdr:row>
      <xdr:rowOff>0</xdr:rowOff>
    </xdr:to>
    <xdr:sp>
      <xdr:nvSpPr>
        <xdr:cNvPr id="1" name="TextBox 1"/>
        <xdr:cNvSpPr txBox="1">
          <a:spLocks noChangeArrowheads="1"/>
        </xdr:cNvSpPr>
      </xdr:nvSpPr>
      <xdr:spPr>
        <a:xfrm>
          <a:off x="0" y="5838825"/>
          <a:ext cx="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xdr:nvSpPr>
        <xdr:cNvPr id="2" name="TextBox 2"/>
        <xdr:cNvSpPr txBox="1">
          <a:spLocks noChangeArrowheads="1"/>
        </xdr:cNvSpPr>
      </xdr:nvSpPr>
      <xdr:spPr>
        <a:xfrm>
          <a:off x="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xdr:nvSpPr>
        <xdr:cNvPr id="3" name="TextBox 3"/>
        <xdr:cNvSpPr txBox="1">
          <a:spLocks noChangeArrowheads="1"/>
        </xdr:cNvSpPr>
      </xdr:nvSpPr>
      <xdr:spPr>
        <a:xfrm>
          <a:off x="0" y="219075"/>
          <a:ext cx="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xdr:nvGraphicFramePr>
        <xdr:cNvPr id="4" name="Chart 4"/>
        <xdr:cNvGraphicFramePr/>
      </xdr:nvGraphicFramePr>
      <xdr:xfrm>
        <a:off x="0" y="5353050"/>
        <a:ext cx="0" cy="876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0</xdr:col>
      <xdr:colOff>0</xdr:colOff>
      <xdr:row>38</xdr:row>
      <xdr:rowOff>0</xdr:rowOff>
    </xdr:to>
    <xdr:graphicFrame>
      <xdr:nvGraphicFramePr>
        <xdr:cNvPr id="5" name="Chart 5"/>
        <xdr:cNvGraphicFramePr/>
      </xdr:nvGraphicFramePr>
      <xdr:xfrm>
        <a:off x="0" y="6229350"/>
        <a:ext cx="0"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76</xdr:row>
      <xdr:rowOff>0</xdr:rowOff>
    </xdr:from>
    <xdr:to>
      <xdr:col>4</xdr:col>
      <xdr:colOff>247650</xdr:colOff>
      <xdr:row>76</xdr:row>
      <xdr:rowOff>0</xdr:rowOff>
    </xdr:to>
    <xdr:sp>
      <xdr:nvSpPr>
        <xdr:cNvPr id="6" name="TextBox 6"/>
        <xdr:cNvSpPr txBox="1">
          <a:spLocks noChangeArrowheads="1"/>
        </xdr:cNvSpPr>
      </xdr:nvSpPr>
      <xdr:spPr>
        <a:xfrm>
          <a:off x="2371725" y="12887325"/>
          <a:ext cx="1733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Légère différence.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466725</xdr:colOff>
      <xdr:row>0</xdr:row>
      <xdr:rowOff>0</xdr:rowOff>
    </xdr:from>
    <xdr:to>
      <xdr:col>5</xdr:col>
      <xdr:colOff>314325</xdr:colOff>
      <xdr:row>0</xdr:row>
      <xdr:rowOff>0</xdr:rowOff>
    </xdr:to>
    <xdr:sp>
      <xdr:nvSpPr>
        <xdr:cNvPr id="6" name="TextBox 6"/>
        <xdr:cNvSpPr txBox="1">
          <a:spLocks noChangeArrowheads="1"/>
        </xdr:cNvSpPr>
      </xdr:nvSpPr>
      <xdr:spPr>
        <a:xfrm>
          <a:off x="3171825" y="0"/>
          <a:ext cx="2362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Verdana"/>
              <a:ea typeface="Verdana"/>
              <a:cs typeface="Verdana"/>
            </a:rPr>
            <a:t>Note:</a:t>
          </a:r>
          <a:r>
            <a:rPr lang="en-US" cap="none" sz="800" b="1" i="0" u="none" baseline="0">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xdr:nvSpPr>
        <xdr:cNvPr id="7" name="TextBox 7"/>
        <xdr:cNvSpPr txBox="1">
          <a:spLocks noChangeArrowheads="1"/>
        </xdr:cNvSpPr>
      </xdr:nvSpPr>
      <xdr:spPr>
        <a:xfrm>
          <a:off x="3133725" y="0"/>
          <a:ext cx="18954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Léger écart</a:t>
          </a:r>
        </a:p>
      </xdr:txBody>
    </xdr:sp>
    <xdr:clientData/>
  </xdr:twoCellAnchor>
  <xdr:twoCellAnchor>
    <xdr:from>
      <xdr:col>6</xdr:col>
      <xdr:colOff>438150</xdr:colOff>
      <xdr:row>48</xdr:row>
      <xdr:rowOff>66675</xdr:rowOff>
    </xdr:from>
    <xdr:to>
      <xdr:col>9</xdr:col>
      <xdr:colOff>714375</xdr:colOff>
      <xdr:row>54</xdr:row>
      <xdr:rowOff>295275</xdr:rowOff>
    </xdr:to>
    <xdr:graphicFrame>
      <xdr:nvGraphicFramePr>
        <xdr:cNvPr id="8" name="Chart 10"/>
        <xdr:cNvGraphicFramePr/>
      </xdr:nvGraphicFramePr>
      <xdr:xfrm>
        <a:off x="6496050" y="8439150"/>
        <a:ext cx="2790825" cy="1438275"/>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533400</xdr:colOff>
      <xdr:row>1</xdr:row>
      <xdr:rowOff>142875</xdr:rowOff>
    </xdr:from>
    <xdr:to>
      <xdr:col>4</xdr:col>
      <xdr:colOff>314325</xdr:colOff>
      <xdr:row>6</xdr:row>
      <xdr:rowOff>9525</xdr:rowOff>
    </xdr:to>
    <xdr:sp>
      <xdr:nvSpPr>
        <xdr:cNvPr id="6" name="TextBox 8"/>
        <xdr:cNvSpPr txBox="1">
          <a:spLocks noChangeArrowheads="1"/>
        </xdr:cNvSpPr>
      </xdr:nvSpPr>
      <xdr:spPr>
        <a:xfrm>
          <a:off x="533400" y="323850"/>
          <a:ext cx="36766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Il s'agit d'une option d'achat à prix d'exercice nul couplé à une option de vente à prix d'exercice nul dont la valeur dépend de l'affluence au concert.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19</xdr:row>
      <xdr:rowOff>38100</xdr:rowOff>
    </xdr:from>
    <xdr:to>
      <xdr:col>1</xdr:col>
      <xdr:colOff>619125</xdr:colOff>
      <xdr:row>19</xdr:row>
      <xdr:rowOff>123825</xdr:rowOff>
    </xdr:to>
    <xdr:sp>
      <xdr:nvSpPr>
        <xdr:cNvPr id="6" name="AutoShape 7"/>
        <xdr:cNvSpPr>
          <a:spLocks/>
        </xdr:cNvSpPr>
      </xdr:nvSpPr>
      <xdr:spPr>
        <a:xfrm>
          <a:off x="1857375" y="3133725"/>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1</xdr:col>
      <xdr:colOff>276225</xdr:colOff>
      <xdr:row>21</xdr:row>
      <xdr:rowOff>38100</xdr:rowOff>
    </xdr:from>
    <xdr:to>
      <xdr:col>1</xdr:col>
      <xdr:colOff>619125</xdr:colOff>
      <xdr:row>21</xdr:row>
      <xdr:rowOff>123825</xdr:rowOff>
    </xdr:to>
    <xdr:sp>
      <xdr:nvSpPr>
        <xdr:cNvPr id="7" name="AutoShape 8"/>
        <xdr:cNvSpPr>
          <a:spLocks/>
        </xdr:cNvSpPr>
      </xdr:nvSpPr>
      <xdr:spPr>
        <a:xfrm>
          <a:off x="1857375" y="3457575"/>
          <a:ext cx="342900" cy="85725"/>
        </a:xfrm>
        <a:prstGeom prst="lef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95250</xdr:colOff>
      <xdr:row>6</xdr:row>
      <xdr:rowOff>0</xdr:rowOff>
    </xdr:from>
    <xdr:to>
      <xdr:col>5</xdr:col>
      <xdr:colOff>600075</xdr:colOff>
      <xdr:row>6</xdr:row>
      <xdr:rowOff>0</xdr:rowOff>
    </xdr:to>
    <xdr:sp>
      <xdr:nvSpPr>
        <xdr:cNvPr id="6" name="TextBox 6"/>
        <xdr:cNvSpPr txBox="1">
          <a:spLocks noChangeArrowheads="1"/>
        </xdr:cNvSpPr>
      </xdr:nvSpPr>
      <xdr:spPr>
        <a:xfrm>
          <a:off x="3829050" y="1009650"/>
          <a:ext cx="3019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livre indique un résultat de 15,6</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60</xdr:row>
      <xdr:rowOff>0</xdr:rowOff>
    </xdr:from>
    <xdr:to>
      <xdr:col>6</xdr:col>
      <xdr:colOff>0</xdr:colOff>
      <xdr:row>60</xdr:row>
      <xdr:rowOff>0</xdr:rowOff>
    </xdr:to>
    <xdr:graphicFrame>
      <xdr:nvGraphicFramePr>
        <xdr:cNvPr id="6" name="Chart 7"/>
        <xdr:cNvGraphicFramePr/>
      </xdr:nvGraphicFramePr>
      <xdr:xfrm>
        <a:off x="9525" y="10010775"/>
        <a:ext cx="6153150" cy="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93</xdr:row>
      <xdr:rowOff>104775</xdr:rowOff>
    </xdr:from>
    <xdr:to>
      <xdr:col>3</xdr:col>
      <xdr:colOff>771525</xdr:colOff>
      <xdr:row>102</xdr:row>
      <xdr:rowOff>38100</xdr:rowOff>
    </xdr:to>
    <xdr:sp>
      <xdr:nvSpPr>
        <xdr:cNvPr id="1" name="TextBox 11"/>
        <xdr:cNvSpPr txBox="1">
          <a:spLocks noChangeArrowheads="1"/>
        </xdr:cNvSpPr>
      </xdr:nvSpPr>
      <xdr:spPr>
        <a:xfrm>
          <a:off x="647700" y="16040100"/>
          <a:ext cx="4238625"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Jusqu'en 1995, Air Liquide profite d'investissements antérieurs à 1990 et dégage un flux de trésorerie d'exploitation stagnant mais largement supérieur à ses investissements. 
De 1996 à 1998, afin de retrouver une croissance, Air Liquide fait un gros effort d'investissement qui est payant puisqu'il entraîne une forte progression de ses flux de trésorerie d'exploitation.
 Cet effort fait, le groupe peut alors réduire pour quelques années (1999 à 2002) son d'investissements avant qu'il ne reparte à la hausse (2003 et 2004).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1190625</xdr:colOff>
      <xdr:row>87</xdr:row>
      <xdr:rowOff>57150</xdr:rowOff>
    </xdr:from>
    <xdr:to>
      <xdr:col>6</xdr:col>
      <xdr:colOff>485775</xdr:colOff>
      <xdr:row>98</xdr:row>
      <xdr:rowOff>133350</xdr:rowOff>
    </xdr:to>
    <xdr:graphicFrame>
      <xdr:nvGraphicFramePr>
        <xdr:cNvPr id="6" name="Chart 6"/>
        <xdr:cNvGraphicFramePr/>
      </xdr:nvGraphicFramePr>
      <xdr:xfrm>
        <a:off x="1190625" y="14706600"/>
        <a:ext cx="5495925" cy="1857375"/>
      </xdr:xfrm>
      <a:graphic>
        <a:graphicData uri="http://schemas.openxmlformats.org/drawingml/2006/chart">
          <c:chart xmlns:c="http://schemas.openxmlformats.org/drawingml/2006/chart" r:id="rId3"/>
        </a:graphicData>
      </a:graphic>
    </xdr:graphicFrame>
    <xdr:clientData/>
  </xdr:twoCellAnchor>
  <xdr:twoCellAnchor>
    <xdr:from>
      <xdr:col>0</xdr:col>
      <xdr:colOff>1000125</xdr:colOff>
      <xdr:row>165</xdr:row>
      <xdr:rowOff>66675</xdr:rowOff>
    </xdr:from>
    <xdr:to>
      <xdr:col>8</xdr:col>
      <xdr:colOff>819150</xdr:colOff>
      <xdr:row>177</xdr:row>
      <xdr:rowOff>76200</xdr:rowOff>
    </xdr:to>
    <xdr:graphicFrame>
      <xdr:nvGraphicFramePr>
        <xdr:cNvPr id="7" name="Chart 7"/>
        <xdr:cNvGraphicFramePr/>
      </xdr:nvGraphicFramePr>
      <xdr:xfrm>
        <a:off x="1000125" y="27384375"/>
        <a:ext cx="7791450" cy="1952625"/>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223</xdr:row>
      <xdr:rowOff>123825</xdr:rowOff>
    </xdr:from>
    <xdr:to>
      <xdr:col>8</xdr:col>
      <xdr:colOff>714375</xdr:colOff>
      <xdr:row>236</xdr:row>
      <xdr:rowOff>66675</xdr:rowOff>
    </xdr:to>
    <xdr:graphicFrame>
      <xdr:nvGraphicFramePr>
        <xdr:cNvPr id="8" name="Chart 8"/>
        <xdr:cNvGraphicFramePr/>
      </xdr:nvGraphicFramePr>
      <xdr:xfrm>
        <a:off x="104775" y="37338000"/>
        <a:ext cx="8582025" cy="204787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266</xdr:row>
      <xdr:rowOff>85725</xdr:rowOff>
    </xdr:from>
    <xdr:to>
      <xdr:col>6</xdr:col>
      <xdr:colOff>85725</xdr:colOff>
      <xdr:row>281</xdr:row>
      <xdr:rowOff>133350</xdr:rowOff>
    </xdr:to>
    <xdr:graphicFrame>
      <xdr:nvGraphicFramePr>
        <xdr:cNvPr id="9" name="Chart 9"/>
        <xdr:cNvGraphicFramePr/>
      </xdr:nvGraphicFramePr>
      <xdr:xfrm>
        <a:off x="104775" y="44929425"/>
        <a:ext cx="6181725" cy="2476500"/>
      </xdr:xfrm>
      <a:graphic>
        <a:graphicData uri="http://schemas.openxmlformats.org/drawingml/2006/chart">
          <c:chart xmlns:c="http://schemas.openxmlformats.org/drawingml/2006/chart" r:id="rId6"/>
        </a:graphicData>
      </a:graphic>
    </xdr:graphicFrame>
    <xdr:clientData/>
  </xdr:twoCellAnchor>
  <xdr:twoCellAnchor>
    <xdr:from>
      <xdr:col>0</xdr:col>
      <xdr:colOff>809625</xdr:colOff>
      <xdr:row>122</xdr:row>
      <xdr:rowOff>47625</xdr:rowOff>
    </xdr:from>
    <xdr:to>
      <xdr:col>5</xdr:col>
      <xdr:colOff>190500</xdr:colOff>
      <xdr:row>131</xdr:row>
      <xdr:rowOff>133350</xdr:rowOff>
    </xdr:to>
    <xdr:graphicFrame>
      <xdr:nvGraphicFramePr>
        <xdr:cNvPr id="10" name="Chart 13"/>
        <xdr:cNvGraphicFramePr/>
      </xdr:nvGraphicFramePr>
      <xdr:xfrm>
        <a:off x="809625" y="20383500"/>
        <a:ext cx="4695825" cy="1543050"/>
      </xdr:xfrm>
      <a:graphic>
        <a:graphicData uri="http://schemas.openxmlformats.org/drawingml/2006/chart">
          <c:chart xmlns:c="http://schemas.openxmlformats.org/drawingml/2006/chart" r:id="rId7"/>
        </a:graphicData>
      </a:graphic>
    </xdr:graphicFrame>
    <xdr:clientData/>
  </xdr:twoCellAnchor>
  <xdr:twoCellAnchor>
    <xdr:from>
      <xdr:col>2</xdr:col>
      <xdr:colOff>114300</xdr:colOff>
      <xdr:row>136</xdr:row>
      <xdr:rowOff>152400</xdr:rowOff>
    </xdr:from>
    <xdr:to>
      <xdr:col>5</xdr:col>
      <xdr:colOff>266700</xdr:colOff>
      <xdr:row>141</xdr:row>
      <xdr:rowOff>47625</xdr:rowOff>
    </xdr:to>
    <xdr:sp>
      <xdr:nvSpPr>
        <xdr:cNvPr id="11" name="TextBox 15"/>
        <xdr:cNvSpPr txBox="1">
          <a:spLocks noChangeArrowheads="1"/>
        </xdr:cNvSpPr>
      </xdr:nvSpPr>
      <xdr:spPr>
        <a:xfrm>
          <a:off x="2771775" y="22774275"/>
          <a:ext cx="28098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sng" baseline="0">
              <a:latin typeface="Verdana"/>
              <a:ea typeface="Verdana"/>
              <a:cs typeface="Verdana"/>
            </a:rPr>
            <a:t>Note:</a:t>
          </a:r>
          <a:r>
            <a:rPr lang="en-US" cap="none" sz="800" b="1" i="0" u="none" baseline="0">
              <a:latin typeface="Verdana"/>
              <a:ea typeface="Verdana"/>
              <a:cs typeface="Verdana"/>
            </a:rPr>
            <a:t> sachant que la construction a pris un an, seule la deuxième année a pu être consacrée à l'exploitation. Ce bilan correspond donc à 1 an d'exercice et est pris comme ref pour les suivants.</a:t>
          </a:r>
        </a:p>
      </xdr:txBody>
    </xdr:sp>
    <xdr:clientData/>
  </xdr:twoCellAnchor>
  <xdr:twoCellAnchor>
    <xdr:from>
      <xdr:col>2</xdr:col>
      <xdr:colOff>142875</xdr:colOff>
      <xdr:row>178</xdr:row>
      <xdr:rowOff>28575</xdr:rowOff>
    </xdr:from>
    <xdr:to>
      <xdr:col>5</xdr:col>
      <xdr:colOff>238125</xdr:colOff>
      <xdr:row>180</xdr:row>
      <xdr:rowOff>47625</xdr:rowOff>
    </xdr:to>
    <xdr:sp>
      <xdr:nvSpPr>
        <xdr:cNvPr id="12" name="TextBox 17"/>
        <xdr:cNvSpPr txBox="1">
          <a:spLocks noChangeArrowheads="1"/>
        </xdr:cNvSpPr>
      </xdr:nvSpPr>
      <xdr:spPr>
        <a:xfrm>
          <a:off x="2800350" y="29451300"/>
          <a:ext cx="27527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Si les flux ne sont pas actualisés alors le délai de récupération est de 6,3 années.</a:t>
          </a:r>
        </a:p>
      </xdr:txBody>
    </xdr:sp>
    <xdr:clientData/>
  </xdr:twoCellAnchor>
  <xdr:twoCellAnchor>
    <xdr:from>
      <xdr:col>0</xdr:col>
      <xdr:colOff>104775</xdr:colOff>
      <xdr:row>301</xdr:row>
      <xdr:rowOff>85725</xdr:rowOff>
    </xdr:from>
    <xdr:to>
      <xdr:col>6</xdr:col>
      <xdr:colOff>85725</xdr:colOff>
      <xdr:row>316</xdr:row>
      <xdr:rowOff>133350</xdr:rowOff>
    </xdr:to>
    <xdr:graphicFrame>
      <xdr:nvGraphicFramePr>
        <xdr:cNvPr id="13" name="Chart 19"/>
        <xdr:cNvGraphicFramePr/>
      </xdr:nvGraphicFramePr>
      <xdr:xfrm>
        <a:off x="104775" y="51406425"/>
        <a:ext cx="6181725" cy="2476500"/>
      </xdr:xfrm>
      <a:graphic>
        <a:graphicData uri="http://schemas.openxmlformats.org/drawingml/2006/chart">
          <c:chart xmlns:c="http://schemas.openxmlformats.org/drawingml/2006/chart" r:id="rId8"/>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16</xdr:row>
      <xdr:rowOff>123825</xdr:rowOff>
    </xdr:from>
    <xdr:to>
      <xdr:col>5</xdr:col>
      <xdr:colOff>333375</xdr:colOff>
      <xdr:row>30</xdr:row>
      <xdr:rowOff>9525</xdr:rowOff>
    </xdr:to>
    <xdr:sp>
      <xdr:nvSpPr>
        <xdr:cNvPr id="6" name="TextBox 6"/>
        <xdr:cNvSpPr txBox="1">
          <a:spLocks noChangeArrowheads="1"/>
        </xdr:cNvSpPr>
      </xdr:nvSpPr>
      <xdr:spPr>
        <a:xfrm>
          <a:off x="352425" y="2933700"/>
          <a:ext cx="4600575" cy="2152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Le coût de l'électrivité varie dans l'année et s'il peut ne pas être économiquement viable de faire fonctionner la centrale à tout moment, le management d'Enron se fondait sur des données historiques montrant que ponctuellement le prix de l'électricité pouvait grimper de 40$ à 7000$ certains jours de très forte consommation. La centrale pouvait alors être rentable en ne fonctionnant que quelques jours par an.
Les limites de ce raisonnement sont la capacité de n'opérer que quelques jours par an (nécessité d'avoir la centrale parfaitement disponible, difficulté de gestion des ressources humaines, capacité de mettre en oeuvre la production suffisamment rapidement...), la très forte dépendance à la volatilité de la consommation d'électricité (et donc très fort risque pris: et si deux années de suite, l'hivers est très doux!), la capcité à maintenir réduit les coûts de maintenance lorsque la centrale ne fonctionne pas,... Rien d'évident!</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103</xdr:row>
      <xdr:rowOff>0</xdr:rowOff>
    </xdr:from>
    <xdr:to>
      <xdr:col>5</xdr:col>
      <xdr:colOff>781050</xdr:colOff>
      <xdr:row>103</xdr:row>
      <xdr:rowOff>0</xdr:rowOff>
    </xdr:to>
    <xdr:sp>
      <xdr:nvSpPr>
        <xdr:cNvPr id="6" name="TextBox 7"/>
        <xdr:cNvSpPr txBox="1">
          <a:spLocks noChangeArrowheads="1"/>
        </xdr:cNvSpPr>
      </xdr:nvSpPr>
      <xdr:spPr>
        <a:xfrm>
          <a:off x="123825" y="20040600"/>
          <a:ext cx="5934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Ecia a bien exploité le rachat de Bertrand Faure et l'a fait en négociant bien le coût de la dette. Il n'est sans doute pas en mesure de prolonger ces conditions.
Cours assez volatil dû sans doute au fort risque associé au rachat de Bertrand Faure. La prime d'emission est très élevée et devrait inciter les anciens actionnaires à ne pas suivre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6</xdr:col>
      <xdr:colOff>114300</xdr:colOff>
      <xdr:row>45</xdr:row>
      <xdr:rowOff>9525</xdr:rowOff>
    </xdr:from>
    <xdr:to>
      <xdr:col>6</xdr:col>
      <xdr:colOff>657225</xdr:colOff>
      <xdr:row>46</xdr:row>
      <xdr:rowOff>47625</xdr:rowOff>
    </xdr:to>
    <xdr:sp>
      <xdr:nvSpPr>
        <xdr:cNvPr id="6" name="AutoShape 11"/>
        <xdr:cNvSpPr>
          <a:spLocks/>
        </xdr:cNvSpPr>
      </xdr:nvSpPr>
      <xdr:spPr>
        <a:xfrm rot="10820264">
          <a:off x="6286500" y="7315200"/>
          <a:ext cx="542925" cy="200025"/>
        </a:xfrm>
        <a:prstGeom prst="ben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 </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561975</xdr:colOff>
      <xdr:row>20</xdr:row>
      <xdr:rowOff>0</xdr:rowOff>
    </xdr:from>
    <xdr:to>
      <xdr:col>4</xdr:col>
      <xdr:colOff>200025</xdr:colOff>
      <xdr:row>31</xdr:row>
      <xdr:rowOff>123825</xdr:rowOff>
    </xdr:to>
    <xdr:sp>
      <xdr:nvSpPr>
        <xdr:cNvPr id="6" name="TextBox 7"/>
        <xdr:cNvSpPr txBox="1">
          <a:spLocks noChangeArrowheads="1"/>
        </xdr:cNvSpPr>
      </xdr:nvSpPr>
      <xdr:spPr>
        <a:xfrm>
          <a:off x="561975" y="3295650"/>
          <a:ext cx="4019550"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Actionnariat
     . Stable: 2-4-5
     . Instable: 1-3
Dirigeants
    . 1) Très contrôlé
    . 2) Stable
    . 3) Seul risque est celui d'une OPA
    . 4) Stable (mais risque d'une OPA peut exister selon les relations avec le financier)
    . 5) Stable (risque d'OPA non exclu)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4</xdr:row>
      <xdr:rowOff>0</xdr:rowOff>
    </xdr:from>
    <xdr:to>
      <xdr:col>11</xdr:col>
      <xdr:colOff>561975</xdr:colOff>
      <xdr:row>8</xdr:row>
      <xdr:rowOff>123825</xdr:rowOff>
    </xdr:to>
    <xdr:sp>
      <xdr:nvSpPr>
        <xdr:cNvPr id="1" name="TextBox 4"/>
        <xdr:cNvSpPr txBox="1">
          <a:spLocks noChangeArrowheads="1"/>
        </xdr:cNvSpPr>
      </xdr:nvSpPr>
      <xdr:spPr>
        <a:xfrm>
          <a:off x="7019925" y="666750"/>
          <a:ext cx="415290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L'entreprise en forte croissance, et en période d'investissement ne peut maîtriser son besoin en fonds de roulement, ce qui génère un fort déficit de trésorerie. Celui-ci est comblé par de l'endettement; les frais financiers augmentent donc fortement.</a:t>
          </a:r>
        </a:p>
      </xdr:txBody>
    </xdr:sp>
    <xdr:clientData/>
  </xdr:twoCellAnchor>
  <xdr:twoCellAnchor>
    <xdr:from>
      <xdr:col>0</xdr:col>
      <xdr:colOff>295275</xdr:colOff>
      <xdr:row>22</xdr:row>
      <xdr:rowOff>9525</xdr:rowOff>
    </xdr:from>
    <xdr:to>
      <xdr:col>3</xdr:col>
      <xdr:colOff>676275</xdr:colOff>
      <xdr:row>33</xdr:row>
      <xdr:rowOff>142875</xdr:rowOff>
    </xdr:to>
    <xdr:sp>
      <xdr:nvSpPr>
        <xdr:cNvPr id="2" name="TextBox 5"/>
        <xdr:cNvSpPr txBox="1">
          <a:spLocks noChangeArrowheads="1"/>
        </xdr:cNvSpPr>
      </xdr:nvSpPr>
      <xdr:spPr>
        <a:xfrm>
          <a:off x="295275" y="3933825"/>
          <a:ext cx="42862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En 2004, Poweo est une société jeune, elle a des flux de trésorerie provenant de l'exploitation encore négatifs et doit investir massivement; étant donné le risque de l'opération, elle se finance exclusivement par capitaux propres.
En 2004, DaimlerChrysler est une société arrivée à maturité, les flux de trésorerie provenant de l'exploitation suffisent à couvrir les investissements. La société doit s'endetter partiellement pour pouvoir verser des dividendes.
En 2004, Alstom est une société en difficulté. Son exploitation dégage un besoin de financement, la société investit peu et procède à une augmentation de capital massive pour pouvoir se désendetter.</a:t>
          </a:r>
        </a:p>
      </xdr:txBody>
    </xdr:sp>
    <xdr:clientData/>
  </xdr:twoCellAnchor>
  <xdr:twoCellAnchor>
    <xdr:from>
      <xdr:col>0</xdr:col>
      <xdr:colOff>295275</xdr:colOff>
      <xdr:row>38</xdr:row>
      <xdr:rowOff>28575</xdr:rowOff>
    </xdr:from>
    <xdr:to>
      <xdr:col>3</xdr:col>
      <xdr:colOff>676275</xdr:colOff>
      <xdr:row>44</xdr:row>
      <xdr:rowOff>104775</xdr:rowOff>
    </xdr:to>
    <xdr:sp>
      <xdr:nvSpPr>
        <xdr:cNvPr id="3" name="TextBox 6"/>
        <xdr:cNvSpPr txBox="1">
          <a:spLocks noChangeArrowheads="1"/>
        </xdr:cNvSpPr>
      </xdr:nvSpPr>
      <xdr:spPr>
        <a:xfrm>
          <a:off x="295275" y="6562725"/>
          <a:ext cx="42862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L'entreprise Séraphin génère une spirale vertueuse: Séraphin investit, les investissements dégagent des flux positifs, les flux de trésorerie provenant de l'exploitation croissent donc chaque année, la société fait donc peu appel à l'endettement. En période 3, les flux de trésorerie provenant de l'exploitation sont tels que Séraphin peut autofinancer ses investissements, verser quelques dividendes et renouveler son endettement.</a:t>
          </a:r>
        </a:p>
      </xdr:txBody>
    </xdr:sp>
    <xdr:clientData/>
  </xdr:twoCellAnchor>
  <xdr:twoCellAnchor>
    <xdr:from>
      <xdr:col>0</xdr:col>
      <xdr:colOff>295275</xdr:colOff>
      <xdr:row>49</xdr:row>
      <xdr:rowOff>9525</xdr:rowOff>
    </xdr:from>
    <xdr:to>
      <xdr:col>3</xdr:col>
      <xdr:colOff>676275</xdr:colOff>
      <xdr:row>57</xdr:row>
      <xdr:rowOff>114300</xdr:rowOff>
    </xdr:to>
    <xdr:sp>
      <xdr:nvSpPr>
        <xdr:cNvPr id="4" name="TextBox 7"/>
        <xdr:cNvSpPr txBox="1">
          <a:spLocks noChangeArrowheads="1"/>
        </xdr:cNvSpPr>
      </xdr:nvSpPr>
      <xdr:spPr>
        <a:xfrm>
          <a:off x="295275" y="8362950"/>
          <a:ext cx="4286250" cy="1419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L'entreprise Lampion est prise dans un cercle vicieux: les flux de trésorerie provenant de l'exploitation diminuent de période en période. Lampion fait donc appel massivement à l'endettement en période 2 pour financer ses investissements. En période 3, l'entreprise a de graves difficultés de trésorerie, les flux de trésorerie provenant de l'exploitation étant négatifs. La société a donc fait appel à ses actionnaires d'une part, et entreprend un programme de recentrage de l'activité et donc de cession d'immobilisations d'autre part. Ses investissements nets sont donc nuls. Lampion doit se désendetter.</a:t>
          </a:r>
        </a:p>
      </xdr:txBody>
    </xdr:sp>
    <xdr:clientData/>
  </xdr:twoCellAnchor>
  <xdr:twoCellAnchor>
    <xdr:from>
      <xdr:col>0</xdr:col>
      <xdr:colOff>295275</xdr:colOff>
      <xdr:row>61</xdr:row>
      <xdr:rowOff>9525</xdr:rowOff>
    </xdr:from>
    <xdr:to>
      <xdr:col>3</xdr:col>
      <xdr:colOff>676275</xdr:colOff>
      <xdr:row>67</xdr:row>
      <xdr:rowOff>104775</xdr:rowOff>
    </xdr:to>
    <xdr:sp>
      <xdr:nvSpPr>
        <xdr:cNvPr id="5" name="TextBox 8"/>
        <xdr:cNvSpPr txBox="1">
          <a:spLocks noChangeArrowheads="1"/>
        </xdr:cNvSpPr>
      </xdr:nvSpPr>
      <xdr:spPr>
        <a:xfrm>
          <a:off x="295275" y="10344150"/>
          <a:ext cx="428625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Sa liquidité à 1 mois n'est pas assurée (impasse de 400 - 200 = 200). Ni à 1 an (impasse de 700 - 600 = 100) ni à 5 ans (impasse de 900 - 800 = 100). Elle devra donc très rapidement restructurer sa dette pour en reporter des échéances.</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95</xdr:row>
      <xdr:rowOff>0</xdr:rowOff>
    </xdr:from>
    <xdr:to>
      <xdr:col>7</xdr:col>
      <xdr:colOff>133350</xdr:colOff>
      <xdr:row>95</xdr:row>
      <xdr:rowOff>0</xdr:rowOff>
    </xdr:to>
    <xdr:sp>
      <xdr:nvSpPr>
        <xdr:cNvPr id="6" name="TextBox 6"/>
        <xdr:cNvSpPr txBox="1">
          <a:spLocks noChangeArrowheads="1"/>
        </xdr:cNvSpPr>
      </xdr:nvSpPr>
      <xdr:spPr>
        <a:xfrm>
          <a:off x="3495675" y="15420975"/>
          <a:ext cx="410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FF0000"/>
              </a:solidFill>
              <a:latin typeface="Verdana"/>
              <a:ea typeface="Verdana"/>
              <a:cs typeface="Verdana"/>
            </a:rPr>
            <a:t>Note à PQ : dans le bouquin, il y a une erreur ; les corrections prennent des synergies de 5 dans la question d) alors que l'énoncé suppose des synergies de 10.</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xdr:nvSpPr>
        <xdr:cNvPr id="2" name="TextBox 2"/>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4" name="Chart 4"/>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5" name="Chart 5"/>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4</xdr:col>
      <xdr:colOff>104775</xdr:colOff>
      <xdr:row>0</xdr:row>
      <xdr:rowOff>133350</xdr:rowOff>
    </xdr:from>
    <xdr:to>
      <xdr:col>8</xdr:col>
      <xdr:colOff>828675</xdr:colOff>
      <xdr:row>7</xdr:row>
      <xdr:rowOff>142875</xdr:rowOff>
    </xdr:to>
    <xdr:sp>
      <xdr:nvSpPr>
        <xdr:cNvPr id="6" name="AutoShape 29"/>
        <xdr:cNvSpPr>
          <a:spLocks/>
        </xdr:cNvSpPr>
      </xdr:nvSpPr>
      <xdr:spPr>
        <a:xfrm>
          <a:off x="4486275" y="133350"/>
          <a:ext cx="4143375" cy="1285875"/>
        </a:xfrm>
        <a:prstGeom prst="wedgeRectCallout">
          <a:avLst>
            <a:gd name="adj1" fmla="val -94393"/>
            <a:gd name="adj2" fmla="val 41111"/>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Dans 3 mois j'aurais 1 USD à vendre:
&gt; quelle somme dois-je emprunter aujoud'hui en USD pour avoir 1 USD à rembourser dans 3 mois? (Cf B11)
&gt; la banque m'achète cette somme contre des EUR, d'où une nouvelle somme en EUR (Cf B13)
&gt; enfin je place cette somme en EUR, d'où 3 mois plus tard une somme x taux rémunéré (Cf B15)
&gt; Au bout de 3 mois, pour 1 USD que je pourrais rembourser, j'aurais donc 0,9803 EUR (Cf B17)
</a:t>
          </a:r>
        </a:p>
      </xdr:txBody>
    </xdr:sp>
    <xdr:clientData/>
  </xdr:twoCellAnchor>
  <xdr:twoCellAnchor>
    <xdr:from>
      <xdr:col>3</xdr:col>
      <xdr:colOff>561975</xdr:colOff>
      <xdr:row>7</xdr:row>
      <xdr:rowOff>371475</xdr:rowOff>
    </xdr:from>
    <xdr:to>
      <xdr:col>9</xdr:col>
      <xdr:colOff>9525</xdr:colOff>
      <xdr:row>12</xdr:row>
      <xdr:rowOff>123825</xdr:rowOff>
    </xdr:to>
    <xdr:sp>
      <xdr:nvSpPr>
        <xdr:cNvPr id="7" name="AutoShape 30"/>
        <xdr:cNvSpPr>
          <a:spLocks/>
        </xdr:cNvSpPr>
      </xdr:nvSpPr>
      <xdr:spPr>
        <a:xfrm>
          <a:off x="4105275" y="1647825"/>
          <a:ext cx="4543425" cy="1276350"/>
        </a:xfrm>
        <a:prstGeom prst="wedgeRectCallout">
          <a:avLst>
            <a:gd name="adj1" fmla="val -64041"/>
            <a:gd name="adj2" fmla="val -47037"/>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Verdana"/>
              <a:ea typeface="Verdana"/>
              <a:cs typeface="Verdana"/>
            </a:rPr>
            <a:t>Dans 3 mois j'aurais besoin d'1 USD à acheter:
&gt; quelle somme dois-je placer aujoud'hui en USD pour avoir 1 USD dans 3 mois? (Cf C11)
&gt; la banque me vend donc aujourd'hui cette somme contre des EUR, d'où une nouvelle somme en EUR (Cf C13)
&gt; mais en fait je ne les ai pas; quelle somme que j'emprunte devrais-je donc rembourser dans 3 mois (Cf C15)
&gt; Au bout de 3 mois, pour 1 USD que la banque me vendra, je paierai 0,9819 EUR (Cf C17)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80</xdr:row>
      <xdr:rowOff>0</xdr:rowOff>
    </xdr:from>
    <xdr:to>
      <xdr:col>1</xdr:col>
      <xdr:colOff>809625</xdr:colOff>
      <xdr:row>80</xdr:row>
      <xdr:rowOff>0</xdr:rowOff>
    </xdr:to>
    <xdr:sp>
      <xdr:nvSpPr>
        <xdr:cNvPr id="1" name="TextBox 4"/>
        <xdr:cNvSpPr txBox="1">
          <a:spLocks noChangeArrowheads="1"/>
        </xdr:cNvSpPr>
      </xdr:nvSpPr>
      <xdr:spPr>
        <a:xfrm>
          <a:off x="47625" y="13125450"/>
          <a:ext cx="4162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Dans ce cas de calcul, la rentabilité a été calculée en intégrant les immobilisations financières et leurs produits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26</xdr:row>
      <xdr:rowOff>76200</xdr:rowOff>
    </xdr:from>
    <xdr:to>
      <xdr:col>4</xdr:col>
      <xdr:colOff>762000</xdr:colOff>
      <xdr:row>37</xdr:row>
      <xdr:rowOff>142875</xdr:rowOff>
    </xdr:to>
    <xdr:sp>
      <xdr:nvSpPr>
        <xdr:cNvPr id="1" name="TextBox 1"/>
        <xdr:cNvSpPr txBox="1">
          <a:spLocks noChangeArrowheads="1"/>
        </xdr:cNvSpPr>
      </xdr:nvSpPr>
      <xdr:spPr>
        <a:xfrm>
          <a:off x="723900" y="4305300"/>
          <a:ext cx="50673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Verdana"/>
              <a:ea typeface="Verdana"/>
              <a:cs typeface="Verdana"/>
            </a:rPr>
            <a:t>Société A: bonne, le niveau d'endettement reste correct compte tenu de l'excédent brut d'exploitation et les capitaux propres couvrent largement les immobilisations incorporelles. Rentabilité économique avant impôt encor insuffisante à 6,4%. C'est Air France - KLM.
Société B: excellente, n'ayant pas de dettes et ne faisant pas de perte, cette société ne peut faire faillite, c'est Bic. Avec une rentabilité économique avant impôt de 21, 7%, Bic crée de la valeur.
Société F: mauvaise, il y a un risque que F fasse faillite, que les créanciers ne récupèrent qu'une partie de leurs engagements et les actionnaires perdent tout tant l'endettement paraît élevé par rapport à l'EBE (7,3 fois). La rentabilité économique n'est que de 1,1% avant impôt. C'est donc une phase de desturction de valeur. C'est Fiat mi 2005.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95250</xdr:rowOff>
    </xdr:from>
    <xdr:to>
      <xdr:col>0</xdr:col>
      <xdr:colOff>0</xdr:colOff>
      <xdr:row>42</xdr:row>
      <xdr:rowOff>0</xdr:rowOff>
    </xdr:to>
    <xdr:sp>
      <xdr:nvSpPr>
        <xdr:cNvPr id="1" name="TextBox 1"/>
        <xdr:cNvSpPr txBox="1">
          <a:spLocks noChangeArrowheads="1"/>
        </xdr:cNvSpPr>
      </xdr:nvSpPr>
      <xdr:spPr>
        <a:xfrm>
          <a:off x="0" y="6953250"/>
          <a:ext cx="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42</xdr:row>
      <xdr:rowOff>38100</xdr:rowOff>
    </xdr:from>
    <xdr:to>
      <xdr:col>0</xdr:col>
      <xdr:colOff>0</xdr:colOff>
      <xdr:row>46</xdr:row>
      <xdr:rowOff>0</xdr:rowOff>
    </xdr:to>
    <xdr:sp>
      <xdr:nvSpPr>
        <xdr:cNvPr id="2" name="TextBox 2"/>
        <xdr:cNvSpPr txBox="1">
          <a:spLocks noChangeArrowheads="1"/>
        </xdr:cNvSpPr>
      </xdr:nvSpPr>
      <xdr:spPr>
        <a:xfrm>
          <a:off x="0" y="7543800"/>
          <a:ext cx="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3</xdr:col>
      <xdr:colOff>9525</xdr:colOff>
      <xdr:row>6</xdr:row>
      <xdr:rowOff>0</xdr:rowOff>
    </xdr:from>
    <xdr:to>
      <xdr:col>8</xdr:col>
      <xdr:colOff>9525</xdr:colOff>
      <xdr:row>21</xdr:row>
      <xdr:rowOff>152400</xdr:rowOff>
    </xdr:to>
    <xdr:graphicFrame>
      <xdr:nvGraphicFramePr>
        <xdr:cNvPr id="3" name="Chart 4"/>
        <xdr:cNvGraphicFramePr/>
      </xdr:nvGraphicFramePr>
      <xdr:xfrm>
        <a:off x="3543300" y="990600"/>
        <a:ext cx="4191000" cy="2581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0</xdr:col>
      <xdr:colOff>0</xdr:colOff>
      <xdr:row>34</xdr:row>
      <xdr:rowOff>57150</xdr:rowOff>
    </xdr:to>
    <xdr:sp>
      <xdr:nvSpPr>
        <xdr:cNvPr id="1" name="TextBox 1"/>
        <xdr:cNvSpPr txBox="1">
          <a:spLocks noChangeArrowheads="1"/>
        </xdr:cNvSpPr>
      </xdr:nvSpPr>
      <xdr:spPr>
        <a:xfrm>
          <a:off x="0" y="4867275"/>
          <a:ext cx="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xdr:nvSpPr>
        <xdr:cNvPr id="2" name="TextBox 2"/>
        <xdr:cNvSpPr txBox="1">
          <a:spLocks noChangeArrowheads="1"/>
        </xdr:cNvSpPr>
      </xdr:nvSpPr>
      <xdr:spPr>
        <a:xfrm>
          <a:off x="0" y="7419975"/>
          <a:ext cx="0"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257175</xdr:colOff>
      <xdr:row>49</xdr:row>
      <xdr:rowOff>19050</xdr:rowOff>
    </xdr:from>
    <xdr:to>
      <xdr:col>8</xdr:col>
      <xdr:colOff>590550</xdr:colOff>
      <xdr:row>58</xdr:row>
      <xdr:rowOff>142875</xdr:rowOff>
    </xdr:to>
    <xdr:graphicFrame>
      <xdr:nvGraphicFramePr>
        <xdr:cNvPr id="3" name="Chart 5"/>
        <xdr:cNvGraphicFramePr/>
      </xdr:nvGraphicFramePr>
      <xdr:xfrm>
        <a:off x="257175" y="8210550"/>
        <a:ext cx="7629525" cy="158115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83</xdr:row>
      <xdr:rowOff>152400</xdr:rowOff>
    </xdr:from>
    <xdr:to>
      <xdr:col>10</xdr:col>
      <xdr:colOff>428625</xdr:colOff>
      <xdr:row>93</xdr:row>
      <xdr:rowOff>28575</xdr:rowOff>
    </xdr:to>
    <xdr:graphicFrame>
      <xdr:nvGraphicFramePr>
        <xdr:cNvPr id="4" name="Chart 14"/>
        <xdr:cNvGraphicFramePr/>
      </xdr:nvGraphicFramePr>
      <xdr:xfrm>
        <a:off x="4867275" y="13906500"/>
        <a:ext cx="4533900" cy="16002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93</xdr:row>
      <xdr:rowOff>123825</xdr:rowOff>
    </xdr:from>
    <xdr:to>
      <xdr:col>10</xdr:col>
      <xdr:colOff>438150</xdr:colOff>
      <xdr:row>102</xdr:row>
      <xdr:rowOff>171450</xdr:rowOff>
    </xdr:to>
    <xdr:graphicFrame>
      <xdr:nvGraphicFramePr>
        <xdr:cNvPr id="5" name="Chart 15"/>
        <xdr:cNvGraphicFramePr/>
      </xdr:nvGraphicFramePr>
      <xdr:xfrm>
        <a:off x="4867275" y="15601950"/>
        <a:ext cx="4543425" cy="1609725"/>
      </xdr:xfrm>
      <a:graphic>
        <a:graphicData uri="http://schemas.openxmlformats.org/drawingml/2006/chart">
          <c:chart xmlns:c="http://schemas.openxmlformats.org/drawingml/2006/chart" r:id="rId3"/>
        </a:graphicData>
      </a:graphic>
    </xdr:graphicFrame>
    <xdr:clientData/>
  </xdr:twoCellAnchor>
  <xdr:twoCellAnchor>
    <xdr:from>
      <xdr:col>6</xdr:col>
      <xdr:colOff>85725</xdr:colOff>
      <xdr:row>107</xdr:row>
      <xdr:rowOff>123825</xdr:rowOff>
    </xdr:from>
    <xdr:to>
      <xdr:col>11</xdr:col>
      <xdr:colOff>447675</xdr:colOff>
      <xdr:row>118</xdr:row>
      <xdr:rowOff>0</xdr:rowOff>
    </xdr:to>
    <xdr:graphicFrame>
      <xdr:nvGraphicFramePr>
        <xdr:cNvPr id="6" name="Chart 16"/>
        <xdr:cNvGraphicFramePr/>
      </xdr:nvGraphicFramePr>
      <xdr:xfrm>
        <a:off x="5705475" y="17992725"/>
        <a:ext cx="4552950" cy="1895475"/>
      </xdr:xfrm>
      <a:graphic>
        <a:graphicData uri="http://schemas.openxmlformats.org/drawingml/2006/chart">
          <c:chart xmlns:c="http://schemas.openxmlformats.org/drawingml/2006/chart" r:id="rId4"/>
        </a:graphicData>
      </a:graphic>
    </xdr:graphicFrame>
    <xdr:clientData/>
  </xdr:twoCellAnchor>
  <xdr:twoCellAnchor>
    <xdr:from>
      <xdr:col>6</xdr:col>
      <xdr:colOff>95250</xdr:colOff>
      <xdr:row>122</xdr:row>
      <xdr:rowOff>76200</xdr:rowOff>
    </xdr:from>
    <xdr:to>
      <xdr:col>11</xdr:col>
      <xdr:colOff>466725</xdr:colOff>
      <xdr:row>132</xdr:row>
      <xdr:rowOff>123825</xdr:rowOff>
    </xdr:to>
    <xdr:graphicFrame>
      <xdr:nvGraphicFramePr>
        <xdr:cNvPr id="7" name="Chart 17"/>
        <xdr:cNvGraphicFramePr/>
      </xdr:nvGraphicFramePr>
      <xdr:xfrm>
        <a:off x="5715000" y="20612100"/>
        <a:ext cx="4562475" cy="1905000"/>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0</xdr:col>
      <xdr:colOff>0</xdr:colOff>
      <xdr:row>4</xdr:row>
      <xdr:rowOff>57150</xdr:rowOff>
    </xdr:to>
    <xdr:sp>
      <xdr:nvSpPr>
        <xdr:cNvPr id="1" name="TextBox 1"/>
        <xdr:cNvSpPr txBox="1">
          <a:spLocks noChangeArrowheads="1"/>
        </xdr:cNvSpPr>
      </xdr:nvSpPr>
      <xdr:spPr>
        <a:xfrm>
          <a:off x="0" y="95250"/>
          <a:ext cx="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13</xdr:row>
      <xdr:rowOff>38100</xdr:rowOff>
    </xdr:from>
    <xdr:to>
      <xdr:col>0</xdr:col>
      <xdr:colOff>0</xdr:colOff>
      <xdr:row>17</xdr:row>
      <xdr:rowOff>0</xdr:rowOff>
    </xdr:to>
    <xdr:sp>
      <xdr:nvSpPr>
        <xdr:cNvPr id="2" name="TextBox 2"/>
        <xdr:cNvSpPr txBox="1">
          <a:spLocks noChangeArrowheads="1"/>
        </xdr:cNvSpPr>
      </xdr:nvSpPr>
      <xdr:spPr>
        <a:xfrm>
          <a:off x="0" y="2162175"/>
          <a:ext cx="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95250</xdr:rowOff>
    </xdr:from>
    <xdr:to>
      <xdr:col>0</xdr:col>
      <xdr:colOff>0</xdr:colOff>
      <xdr:row>34</xdr:row>
      <xdr:rowOff>57150</xdr:rowOff>
    </xdr:to>
    <xdr:sp>
      <xdr:nvSpPr>
        <xdr:cNvPr id="1" name="TextBox 1"/>
        <xdr:cNvSpPr txBox="1">
          <a:spLocks noChangeArrowheads="1"/>
        </xdr:cNvSpPr>
      </xdr:nvSpPr>
      <xdr:spPr>
        <a:xfrm>
          <a:off x="0" y="5314950"/>
          <a:ext cx="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43</xdr:row>
      <xdr:rowOff>38100</xdr:rowOff>
    </xdr:from>
    <xdr:to>
      <xdr:col>0</xdr:col>
      <xdr:colOff>0</xdr:colOff>
      <xdr:row>47</xdr:row>
      <xdr:rowOff>0</xdr:rowOff>
    </xdr:to>
    <xdr:sp>
      <xdr:nvSpPr>
        <xdr:cNvPr id="2" name="TextBox 2"/>
        <xdr:cNvSpPr txBox="1">
          <a:spLocks noChangeArrowheads="1"/>
        </xdr:cNvSpPr>
      </xdr:nvSpPr>
      <xdr:spPr>
        <a:xfrm>
          <a:off x="0" y="7362825"/>
          <a:ext cx="0"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28575</xdr:colOff>
      <xdr:row>28</xdr:row>
      <xdr:rowOff>19050</xdr:rowOff>
    </xdr:from>
    <xdr:to>
      <xdr:col>8</xdr:col>
      <xdr:colOff>266700</xdr:colOff>
      <xdr:row>43</xdr:row>
      <xdr:rowOff>19050</xdr:rowOff>
    </xdr:to>
    <xdr:graphicFrame>
      <xdr:nvGraphicFramePr>
        <xdr:cNvPr id="3" name="Chart 4"/>
        <xdr:cNvGraphicFramePr/>
      </xdr:nvGraphicFramePr>
      <xdr:xfrm>
        <a:off x="2152650" y="4914900"/>
        <a:ext cx="5267325" cy="2428875"/>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56</xdr:row>
      <xdr:rowOff>104775</xdr:rowOff>
    </xdr:from>
    <xdr:to>
      <xdr:col>8</xdr:col>
      <xdr:colOff>409575</xdr:colOff>
      <xdr:row>72</xdr:row>
      <xdr:rowOff>133350</xdr:rowOff>
    </xdr:to>
    <xdr:graphicFrame>
      <xdr:nvGraphicFramePr>
        <xdr:cNvPr id="4" name="Chart 5"/>
        <xdr:cNvGraphicFramePr/>
      </xdr:nvGraphicFramePr>
      <xdr:xfrm>
        <a:off x="2314575" y="9553575"/>
        <a:ext cx="5248275" cy="2619375"/>
      </xdr:xfrm>
      <a:graphic>
        <a:graphicData uri="http://schemas.openxmlformats.org/drawingml/2006/chart">
          <c:chart xmlns:c="http://schemas.openxmlformats.org/drawingml/2006/chart" r:id="rId2"/>
        </a:graphicData>
      </a:graphic>
    </xdr:graphicFrame>
    <xdr:clientData/>
  </xdr:twoCellAnchor>
  <xdr:oneCellAnchor>
    <xdr:from>
      <xdr:col>4</xdr:col>
      <xdr:colOff>800100</xdr:colOff>
      <xdr:row>64</xdr:row>
      <xdr:rowOff>28575</xdr:rowOff>
    </xdr:from>
    <xdr:ext cx="219075" cy="209550"/>
    <xdr:sp>
      <xdr:nvSpPr>
        <xdr:cNvPr id="5" name="TextBox 14"/>
        <xdr:cNvSpPr txBox="1">
          <a:spLocks noChangeArrowheads="1"/>
        </xdr:cNvSpPr>
      </xdr:nvSpPr>
      <xdr:spPr>
        <a:xfrm>
          <a:off x="4600575" y="10772775"/>
          <a:ext cx="219075" cy="209550"/>
        </a:xfrm>
        <a:prstGeom prst="rect">
          <a:avLst/>
        </a:prstGeom>
        <a:noFill/>
        <a:ln w="9525" cmpd="sng">
          <a:noFill/>
        </a:ln>
      </xdr:spPr>
      <xdr:txBody>
        <a:bodyPr vertOverflow="clip" wrap="square">
          <a:spAutoFit/>
        </a:bodyPr>
        <a:p>
          <a:pPr algn="l">
            <a:defRPr/>
          </a:pPr>
          <a:r>
            <a:rPr lang="en-US" cap="none" sz="1000" b="0" i="0" u="none" baseline="0">
              <a:latin typeface="Verdana"/>
              <a:ea typeface="Verdana"/>
              <a:cs typeface="Verdana"/>
            </a:rPr>
            <a:t>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BZ39"/>
  <sheetViews>
    <sheetView showGridLines="0" zoomScale="75" zoomScaleNormal="75" workbookViewId="0" topLeftCell="A1">
      <selection activeCell="A1" sqref="A1"/>
    </sheetView>
  </sheetViews>
  <sheetFormatPr defaultColWidth="11.00390625" defaultRowHeight="12.75"/>
  <cols>
    <col min="1" max="1" width="37.50390625" style="3" customWidth="1"/>
    <col min="2" max="9" width="11.125" style="0" bestFit="1" customWidth="1"/>
    <col min="10" max="10" width="12.375" style="0" bestFit="1" customWidth="1"/>
    <col min="11" max="11" width="11.125" style="0" bestFit="1" customWidth="1"/>
    <col min="12" max="13" width="11.75390625" style="0" bestFit="1" customWidth="1"/>
    <col min="14" max="21" width="11.125" style="0" bestFit="1" customWidth="1"/>
    <col min="22" max="22" width="12.375" style="0" bestFit="1" customWidth="1"/>
    <col min="23" max="23" width="11.125" style="0" bestFit="1" customWidth="1"/>
    <col min="24" max="25" width="11.75390625" style="0" bestFit="1" customWidth="1"/>
    <col min="26" max="33" width="11.125" style="0" bestFit="1" customWidth="1"/>
    <col min="34" max="34" width="12.375" style="0" bestFit="1" customWidth="1"/>
    <col min="35" max="35" width="11.125" style="0" bestFit="1" customWidth="1"/>
    <col min="36" max="37" width="11.75390625" style="0" bestFit="1" customWidth="1"/>
    <col min="38" max="45" width="11.125" style="0" bestFit="1" customWidth="1"/>
    <col min="46" max="46" width="12.375" style="0" bestFit="1" customWidth="1"/>
    <col min="47" max="47" width="11.125" style="0" bestFit="1" customWidth="1"/>
    <col min="48" max="49" width="11.75390625" style="0" bestFit="1" customWidth="1"/>
    <col min="50" max="57" width="11.125" style="0" bestFit="1" customWidth="1"/>
    <col min="58" max="58" width="12.375" style="0" bestFit="1" customWidth="1"/>
    <col min="59" max="59" width="11.125" style="0" bestFit="1" customWidth="1"/>
    <col min="60" max="61" width="11.75390625" style="0" bestFit="1" customWidth="1"/>
    <col min="62" max="69" width="11.125" style="0" bestFit="1" customWidth="1"/>
    <col min="70" max="70" width="12.375" style="0" bestFit="1" customWidth="1"/>
    <col min="71" max="71" width="11.125" style="0" bestFit="1" customWidth="1"/>
    <col min="72" max="73" width="11.75390625" style="0" bestFit="1" customWidth="1"/>
    <col min="74" max="76" width="11.125" style="0" bestFit="1" customWidth="1"/>
  </cols>
  <sheetData>
    <row r="1" ht="14.25">
      <c r="A1" s="41" t="s">
        <v>1376</v>
      </c>
    </row>
    <row r="2" spans="1:7" ht="12.75">
      <c r="A2" s="2" t="s">
        <v>706</v>
      </c>
      <c r="B2" s="4">
        <v>0</v>
      </c>
      <c r="C2" s="4">
        <v>1</v>
      </c>
      <c r="D2" s="4">
        <v>2</v>
      </c>
      <c r="E2" s="4">
        <v>3</v>
      </c>
      <c r="F2" s="4">
        <v>4</v>
      </c>
      <c r="G2" s="4">
        <v>5</v>
      </c>
    </row>
    <row r="3" spans="1:7" ht="12.75">
      <c r="A3" s="3" t="s">
        <v>707</v>
      </c>
      <c r="B3">
        <v>165</v>
      </c>
      <c r="C3">
        <v>200</v>
      </c>
      <c r="D3">
        <v>240</v>
      </c>
      <c r="E3">
        <v>280</v>
      </c>
      <c r="F3">
        <v>320</v>
      </c>
      <c r="G3">
        <v>360</v>
      </c>
    </row>
    <row r="4" spans="1:7" ht="12.75">
      <c r="A4" s="3" t="s">
        <v>708</v>
      </c>
      <c r="B4">
        <v>165</v>
      </c>
      <c r="C4">
        <v>175</v>
      </c>
      <c r="D4">
        <v>180</v>
      </c>
      <c r="E4">
        <v>185</v>
      </c>
      <c r="F4">
        <v>180</v>
      </c>
      <c r="G4">
        <v>190</v>
      </c>
    </row>
    <row r="5" spans="1:7" ht="12.75">
      <c r="A5" s="2" t="s">
        <v>709</v>
      </c>
      <c r="B5">
        <f aca="true" t="shared" si="0" ref="B5:G5">B3-B4</f>
        <v>0</v>
      </c>
      <c r="C5">
        <f t="shared" si="0"/>
        <v>25</v>
      </c>
      <c r="D5">
        <f t="shared" si="0"/>
        <v>60</v>
      </c>
      <c r="E5">
        <f t="shared" si="0"/>
        <v>95</v>
      </c>
      <c r="F5">
        <f t="shared" si="0"/>
        <v>140</v>
      </c>
      <c r="G5">
        <f t="shared" si="0"/>
        <v>170</v>
      </c>
    </row>
    <row r="6" spans="1:2" ht="12.75">
      <c r="A6" s="3" t="s">
        <v>710</v>
      </c>
      <c r="B6">
        <v>-200</v>
      </c>
    </row>
    <row r="7" spans="1:7" ht="12.75">
      <c r="A7" s="2" t="s">
        <v>711</v>
      </c>
      <c r="B7">
        <f>B5+B6</f>
        <v>-200</v>
      </c>
      <c r="C7">
        <f>C5-C6</f>
        <v>25</v>
      </c>
      <c r="D7">
        <f>D5-D6</f>
        <v>60</v>
      </c>
      <c r="E7">
        <f>E5-E6</f>
        <v>95</v>
      </c>
      <c r="F7">
        <f>F5-F6</f>
        <v>140</v>
      </c>
      <c r="G7">
        <f>G5-G6</f>
        <v>170</v>
      </c>
    </row>
    <row r="8" spans="1:8" ht="12.75">
      <c r="A8" s="3" t="s">
        <v>712</v>
      </c>
      <c r="B8">
        <f>B6/2</f>
        <v>-100</v>
      </c>
      <c r="C8">
        <f>-$B8*0.05</f>
        <v>5</v>
      </c>
      <c r="D8">
        <f>-$B8*0.05</f>
        <v>5</v>
      </c>
      <c r="E8">
        <f>-$B8*0.05</f>
        <v>5</v>
      </c>
      <c r="F8">
        <f>-$B8*0.05</f>
        <v>5</v>
      </c>
      <c r="G8">
        <f>-$B8*0.05-B8</f>
        <v>105</v>
      </c>
      <c r="H8" s="1">
        <f>SUM(B8:G8)</f>
        <v>25</v>
      </c>
    </row>
    <row r="9" spans="1:8" ht="12.75">
      <c r="A9" s="3" t="s">
        <v>713</v>
      </c>
      <c r="B9">
        <f>B6/2</f>
        <v>-100</v>
      </c>
      <c r="C9">
        <f>C7-C8</f>
        <v>20</v>
      </c>
      <c r="D9">
        <f>D7-D8</f>
        <v>55</v>
      </c>
      <c r="E9">
        <f>E7-E8</f>
        <v>90</v>
      </c>
      <c r="F9">
        <f>F7-F8</f>
        <v>135</v>
      </c>
      <c r="G9">
        <f>G7-G8</f>
        <v>65</v>
      </c>
      <c r="H9" s="1">
        <f>SUM(B9:G9)</f>
        <v>265</v>
      </c>
    </row>
    <row r="11" ht="14.25">
      <c r="A11" s="41" t="s">
        <v>1377</v>
      </c>
    </row>
    <row r="12" spans="1:78" ht="12.75">
      <c r="A12" s="15" t="s">
        <v>720</v>
      </c>
      <c r="C12" s="16">
        <f>YEAR(C13)-1999</f>
        <v>1</v>
      </c>
      <c r="D12" s="16">
        <f aca="true" t="shared" si="1" ref="D12:BO12">YEAR(D13)-1999</f>
        <v>1</v>
      </c>
      <c r="E12" s="16">
        <f t="shared" si="1"/>
        <v>1</v>
      </c>
      <c r="F12" s="16">
        <f t="shared" si="1"/>
        <v>1</v>
      </c>
      <c r="G12" s="16">
        <f t="shared" si="1"/>
        <v>1</v>
      </c>
      <c r="H12" s="16">
        <f t="shared" si="1"/>
        <v>1</v>
      </c>
      <c r="I12" s="16">
        <f t="shared" si="1"/>
        <v>1</v>
      </c>
      <c r="J12" s="16">
        <f t="shared" si="1"/>
        <v>1</v>
      </c>
      <c r="K12" s="16">
        <f t="shared" si="1"/>
        <v>1</v>
      </c>
      <c r="L12" s="16">
        <f t="shared" si="1"/>
        <v>1</v>
      </c>
      <c r="M12" s="16">
        <f t="shared" si="1"/>
        <v>1</v>
      </c>
      <c r="N12" s="16">
        <f t="shared" si="1"/>
        <v>1</v>
      </c>
      <c r="O12" s="16">
        <f t="shared" si="1"/>
        <v>2</v>
      </c>
      <c r="P12" s="16">
        <f t="shared" si="1"/>
        <v>2</v>
      </c>
      <c r="Q12" s="16">
        <f t="shared" si="1"/>
        <v>2</v>
      </c>
      <c r="R12" s="16">
        <f t="shared" si="1"/>
        <v>2</v>
      </c>
      <c r="S12" s="16">
        <f t="shared" si="1"/>
        <v>2</v>
      </c>
      <c r="T12" s="16">
        <f t="shared" si="1"/>
        <v>2</v>
      </c>
      <c r="U12" s="16">
        <f t="shared" si="1"/>
        <v>2</v>
      </c>
      <c r="V12" s="16">
        <f t="shared" si="1"/>
        <v>2</v>
      </c>
      <c r="W12" s="16">
        <f t="shared" si="1"/>
        <v>2</v>
      </c>
      <c r="X12" s="16">
        <f t="shared" si="1"/>
        <v>2</v>
      </c>
      <c r="Y12" s="16">
        <f t="shared" si="1"/>
        <v>2</v>
      </c>
      <c r="Z12" s="16">
        <f t="shared" si="1"/>
        <v>2</v>
      </c>
      <c r="AA12" s="16">
        <f t="shared" si="1"/>
        <v>3</v>
      </c>
      <c r="AB12" s="16">
        <f t="shared" si="1"/>
        <v>3</v>
      </c>
      <c r="AC12" s="16">
        <f t="shared" si="1"/>
        <v>3</v>
      </c>
      <c r="AD12" s="16">
        <f t="shared" si="1"/>
        <v>3</v>
      </c>
      <c r="AE12" s="16">
        <f t="shared" si="1"/>
        <v>3</v>
      </c>
      <c r="AF12" s="16">
        <f t="shared" si="1"/>
        <v>3</v>
      </c>
      <c r="AG12" s="16">
        <f t="shared" si="1"/>
        <v>3</v>
      </c>
      <c r="AH12" s="16">
        <f t="shared" si="1"/>
        <v>3</v>
      </c>
      <c r="AI12" s="16">
        <f t="shared" si="1"/>
        <v>3</v>
      </c>
      <c r="AJ12" s="16">
        <f t="shared" si="1"/>
        <v>3</v>
      </c>
      <c r="AK12" s="16">
        <f t="shared" si="1"/>
        <v>3</v>
      </c>
      <c r="AL12" s="16">
        <f t="shared" si="1"/>
        <v>3</v>
      </c>
      <c r="AM12" s="16">
        <f t="shared" si="1"/>
        <v>4</v>
      </c>
      <c r="AN12" s="16">
        <f t="shared" si="1"/>
        <v>4</v>
      </c>
      <c r="AO12" s="16">
        <f t="shared" si="1"/>
        <v>4</v>
      </c>
      <c r="AP12" s="16">
        <f t="shared" si="1"/>
        <v>4</v>
      </c>
      <c r="AQ12" s="16">
        <f t="shared" si="1"/>
        <v>4</v>
      </c>
      <c r="AR12" s="16">
        <f t="shared" si="1"/>
        <v>4</v>
      </c>
      <c r="AS12" s="16">
        <f t="shared" si="1"/>
        <v>4</v>
      </c>
      <c r="AT12" s="16">
        <f t="shared" si="1"/>
        <v>4</v>
      </c>
      <c r="AU12" s="16">
        <f t="shared" si="1"/>
        <v>4</v>
      </c>
      <c r="AV12" s="16">
        <f t="shared" si="1"/>
        <v>4</v>
      </c>
      <c r="AW12" s="16">
        <f t="shared" si="1"/>
        <v>4</v>
      </c>
      <c r="AX12" s="16">
        <f t="shared" si="1"/>
        <v>4</v>
      </c>
      <c r="AY12" s="16">
        <f t="shared" si="1"/>
        <v>5</v>
      </c>
      <c r="AZ12" s="16">
        <f t="shared" si="1"/>
        <v>5</v>
      </c>
      <c r="BA12" s="16">
        <f t="shared" si="1"/>
        <v>5</v>
      </c>
      <c r="BB12" s="16">
        <f t="shared" si="1"/>
        <v>5</v>
      </c>
      <c r="BC12" s="16">
        <f t="shared" si="1"/>
        <v>5</v>
      </c>
      <c r="BD12" s="16">
        <f t="shared" si="1"/>
        <v>5</v>
      </c>
      <c r="BE12" s="16">
        <f t="shared" si="1"/>
        <v>5</v>
      </c>
      <c r="BF12" s="16">
        <f t="shared" si="1"/>
        <v>5</v>
      </c>
      <c r="BG12" s="16">
        <f t="shared" si="1"/>
        <v>5</v>
      </c>
      <c r="BH12" s="16">
        <f t="shared" si="1"/>
        <v>5</v>
      </c>
      <c r="BI12" s="16">
        <f t="shared" si="1"/>
        <v>5</v>
      </c>
      <c r="BJ12" s="16">
        <f t="shared" si="1"/>
        <v>5</v>
      </c>
      <c r="BK12" s="16">
        <f t="shared" si="1"/>
        <v>6</v>
      </c>
      <c r="BL12" s="16">
        <f t="shared" si="1"/>
        <v>6</v>
      </c>
      <c r="BM12" s="16">
        <f t="shared" si="1"/>
        <v>6</v>
      </c>
      <c r="BN12" s="16">
        <f t="shared" si="1"/>
        <v>6</v>
      </c>
      <c r="BO12" s="16">
        <f t="shared" si="1"/>
        <v>6</v>
      </c>
      <c r="BP12" s="16">
        <f aca="true" t="shared" si="2" ref="BP12:BZ12">YEAR(BP13)-1999</f>
        <v>6</v>
      </c>
      <c r="BQ12" s="16">
        <f t="shared" si="2"/>
        <v>6</v>
      </c>
      <c r="BR12" s="16">
        <f t="shared" si="2"/>
        <v>6</v>
      </c>
      <c r="BS12" s="16">
        <f t="shared" si="2"/>
        <v>6</v>
      </c>
      <c r="BT12" s="16">
        <f t="shared" si="2"/>
        <v>6</v>
      </c>
      <c r="BU12" s="16">
        <f t="shared" si="2"/>
        <v>6</v>
      </c>
      <c r="BV12" s="16">
        <f t="shared" si="2"/>
        <v>6</v>
      </c>
      <c r="BW12" s="16">
        <f t="shared" si="2"/>
        <v>7</v>
      </c>
      <c r="BX12" s="16">
        <f t="shared" si="2"/>
        <v>7</v>
      </c>
      <c r="BY12" s="16">
        <f t="shared" si="2"/>
        <v>7</v>
      </c>
      <c r="BZ12" s="16">
        <f t="shared" si="2"/>
        <v>7</v>
      </c>
    </row>
    <row r="13" spans="1:78" ht="12.75">
      <c r="A13" s="2" t="s">
        <v>706</v>
      </c>
      <c r="B13" s="2" t="s">
        <v>717</v>
      </c>
      <c r="C13" s="5">
        <f>DATE(2000,COLUMN(B11)-1,1)</f>
        <v>36526</v>
      </c>
      <c r="D13" s="5">
        <f aca="true" t="shared" si="3" ref="D13:BO13">DATE(2000,COLUMN(C11)-1,1)</f>
        <v>36557</v>
      </c>
      <c r="E13" s="5">
        <f t="shared" si="3"/>
        <v>36586</v>
      </c>
      <c r="F13" s="5">
        <f t="shared" si="3"/>
        <v>36617</v>
      </c>
      <c r="G13" s="5">
        <f t="shared" si="3"/>
        <v>36647</v>
      </c>
      <c r="H13" s="5">
        <f t="shared" si="3"/>
        <v>36678</v>
      </c>
      <c r="I13" s="5">
        <f t="shared" si="3"/>
        <v>36708</v>
      </c>
      <c r="J13" s="5">
        <f t="shared" si="3"/>
        <v>36739</v>
      </c>
      <c r="K13" s="5">
        <f t="shared" si="3"/>
        <v>36770</v>
      </c>
      <c r="L13" s="5">
        <f t="shared" si="3"/>
        <v>36800</v>
      </c>
      <c r="M13" s="5">
        <f t="shared" si="3"/>
        <v>36831</v>
      </c>
      <c r="N13" s="5">
        <f t="shared" si="3"/>
        <v>36861</v>
      </c>
      <c r="O13" s="5">
        <f t="shared" si="3"/>
        <v>36892</v>
      </c>
      <c r="P13" s="5">
        <f t="shared" si="3"/>
        <v>36923</v>
      </c>
      <c r="Q13" s="5">
        <f t="shared" si="3"/>
        <v>36951</v>
      </c>
      <c r="R13" s="5">
        <f t="shared" si="3"/>
        <v>36982</v>
      </c>
      <c r="S13" s="5">
        <f t="shared" si="3"/>
        <v>37012</v>
      </c>
      <c r="T13" s="5">
        <f t="shared" si="3"/>
        <v>37043</v>
      </c>
      <c r="U13" s="5">
        <f t="shared" si="3"/>
        <v>37073</v>
      </c>
      <c r="V13" s="5">
        <f t="shared" si="3"/>
        <v>37104</v>
      </c>
      <c r="W13" s="5">
        <f t="shared" si="3"/>
        <v>37135</v>
      </c>
      <c r="X13" s="5">
        <f t="shared" si="3"/>
        <v>37165</v>
      </c>
      <c r="Y13" s="5">
        <f t="shared" si="3"/>
        <v>37196</v>
      </c>
      <c r="Z13" s="5">
        <f t="shared" si="3"/>
        <v>37226</v>
      </c>
      <c r="AA13" s="5">
        <f t="shared" si="3"/>
        <v>37257</v>
      </c>
      <c r="AB13" s="5">
        <f t="shared" si="3"/>
        <v>37288</v>
      </c>
      <c r="AC13" s="5">
        <f t="shared" si="3"/>
        <v>37316</v>
      </c>
      <c r="AD13" s="5">
        <f t="shared" si="3"/>
        <v>37347</v>
      </c>
      <c r="AE13" s="5">
        <f t="shared" si="3"/>
        <v>37377</v>
      </c>
      <c r="AF13" s="5">
        <f t="shared" si="3"/>
        <v>37408</v>
      </c>
      <c r="AG13" s="5">
        <f t="shared" si="3"/>
        <v>37438</v>
      </c>
      <c r="AH13" s="5">
        <f t="shared" si="3"/>
        <v>37469</v>
      </c>
      <c r="AI13" s="5">
        <f t="shared" si="3"/>
        <v>37500</v>
      </c>
      <c r="AJ13" s="5">
        <f t="shared" si="3"/>
        <v>37530</v>
      </c>
      <c r="AK13" s="5">
        <f t="shared" si="3"/>
        <v>37561</v>
      </c>
      <c r="AL13" s="5">
        <f t="shared" si="3"/>
        <v>37591</v>
      </c>
      <c r="AM13" s="5">
        <f t="shared" si="3"/>
        <v>37622</v>
      </c>
      <c r="AN13" s="5">
        <f t="shared" si="3"/>
        <v>37653</v>
      </c>
      <c r="AO13" s="5">
        <f t="shared" si="3"/>
        <v>37681</v>
      </c>
      <c r="AP13" s="5">
        <f t="shared" si="3"/>
        <v>37712</v>
      </c>
      <c r="AQ13" s="5">
        <f t="shared" si="3"/>
        <v>37742</v>
      </c>
      <c r="AR13" s="5">
        <f t="shared" si="3"/>
        <v>37773</v>
      </c>
      <c r="AS13" s="5">
        <f t="shared" si="3"/>
        <v>37803</v>
      </c>
      <c r="AT13" s="5">
        <f t="shared" si="3"/>
        <v>37834</v>
      </c>
      <c r="AU13" s="5">
        <f t="shared" si="3"/>
        <v>37865</v>
      </c>
      <c r="AV13" s="5">
        <f t="shared" si="3"/>
        <v>37895</v>
      </c>
      <c r="AW13" s="5">
        <f t="shared" si="3"/>
        <v>37926</v>
      </c>
      <c r="AX13" s="5">
        <f t="shared" si="3"/>
        <v>37956</v>
      </c>
      <c r="AY13" s="5">
        <f t="shared" si="3"/>
        <v>37987</v>
      </c>
      <c r="AZ13" s="5">
        <f t="shared" si="3"/>
        <v>38018</v>
      </c>
      <c r="BA13" s="5">
        <f t="shared" si="3"/>
        <v>38047</v>
      </c>
      <c r="BB13" s="5">
        <f t="shared" si="3"/>
        <v>38078</v>
      </c>
      <c r="BC13" s="5">
        <f t="shared" si="3"/>
        <v>38108</v>
      </c>
      <c r="BD13" s="5">
        <f t="shared" si="3"/>
        <v>38139</v>
      </c>
      <c r="BE13" s="5">
        <f t="shared" si="3"/>
        <v>38169</v>
      </c>
      <c r="BF13" s="5">
        <f t="shared" si="3"/>
        <v>38200</v>
      </c>
      <c r="BG13" s="5">
        <f t="shared" si="3"/>
        <v>38231</v>
      </c>
      <c r="BH13" s="5">
        <f t="shared" si="3"/>
        <v>38261</v>
      </c>
      <c r="BI13" s="5">
        <f t="shared" si="3"/>
        <v>38292</v>
      </c>
      <c r="BJ13" s="5">
        <f t="shared" si="3"/>
        <v>38322</v>
      </c>
      <c r="BK13" s="5">
        <f t="shared" si="3"/>
        <v>38353</v>
      </c>
      <c r="BL13" s="5">
        <f t="shared" si="3"/>
        <v>38384</v>
      </c>
      <c r="BM13" s="5">
        <f t="shared" si="3"/>
        <v>38412</v>
      </c>
      <c r="BN13" s="5">
        <f t="shared" si="3"/>
        <v>38443</v>
      </c>
      <c r="BO13" s="5">
        <f t="shared" si="3"/>
        <v>38473</v>
      </c>
      <c r="BP13" s="5">
        <f aca="true" t="shared" si="4" ref="BP13:BV13">DATE(2000,COLUMN(BO11)-1,1)</f>
        <v>38504</v>
      </c>
      <c r="BQ13" s="5">
        <f t="shared" si="4"/>
        <v>38534</v>
      </c>
      <c r="BR13" s="5">
        <f t="shared" si="4"/>
        <v>38565</v>
      </c>
      <c r="BS13" s="5">
        <f t="shared" si="4"/>
        <v>38596</v>
      </c>
      <c r="BT13" s="5">
        <f t="shared" si="4"/>
        <v>38626</v>
      </c>
      <c r="BU13" s="5">
        <f t="shared" si="4"/>
        <v>38657</v>
      </c>
      <c r="BV13" s="5">
        <f t="shared" si="4"/>
        <v>38687</v>
      </c>
      <c r="BW13" s="5">
        <f>DATE(2000,COLUMN(BV11)-1,1)</f>
        <v>38718</v>
      </c>
      <c r="BX13" s="5">
        <f>DATE(2000,COLUMN(BW11)-1,1)</f>
        <v>38749</v>
      </c>
      <c r="BY13" s="5">
        <f>DATE(2000,COLUMN(BX11)-1,1)</f>
        <v>38777</v>
      </c>
      <c r="BZ13" s="5">
        <f>DATE(2000,COLUMN(BY11)-1,1)</f>
        <v>38808</v>
      </c>
    </row>
    <row r="14" spans="1:78" ht="12.75">
      <c r="A14" s="3" t="s">
        <v>858</v>
      </c>
      <c r="B14" s="7">
        <f aca="true" t="shared" si="5" ref="B14:B25">SUM(C14:BY14)</f>
        <v>852</v>
      </c>
      <c r="C14" s="6"/>
      <c r="D14" s="6"/>
      <c r="E14" s="6"/>
      <c r="F14" s="6"/>
      <c r="G14" s="6">
        <v>12</v>
      </c>
      <c r="H14" s="6">
        <v>12</v>
      </c>
      <c r="I14" s="6">
        <v>12</v>
      </c>
      <c r="J14" s="6">
        <v>12</v>
      </c>
      <c r="K14" s="6">
        <v>12</v>
      </c>
      <c r="L14" s="6">
        <v>12</v>
      </c>
      <c r="M14" s="6">
        <v>12</v>
      </c>
      <c r="N14" s="6">
        <v>12</v>
      </c>
      <c r="O14" s="6">
        <v>12</v>
      </c>
      <c r="P14" s="6">
        <v>12</v>
      </c>
      <c r="Q14" s="6">
        <v>12</v>
      </c>
      <c r="R14" s="6">
        <v>12</v>
      </c>
      <c r="S14" s="6">
        <v>12</v>
      </c>
      <c r="T14" s="6">
        <v>12</v>
      </c>
      <c r="U14" s="6">
        <v>12</v>
      </c>
      <c r="V14" s="6">
        <v>12</v>
      </c>
      <c r="W14" s="6">
        <v>12</v>
      </c>
      <c r="X14" s="6">
        <v>12</v>
      </c>
      <c r="Y14" s="6">
        <v>12</v>
      </c>
      <c r="Z14" s="6">
        <v>12</v>
      </c>
      <c r="AA14" s="6">
        <v>12</v>
      </c>
      <c r="AB14" s="6">
        <v>12</v>
      </c>
      <c r="AC14" s="6">
        <v>12</v>
      </c>
      <c r="AD14" s="6">
        <v>12</v>
      </c>
      <c r="AE14" s="6">
        <v>12</v>
      </c>
      <c r="AF14" s="6">
        <v>12</v>
      </c>
      <c r="AG14" s="6">
        <v>12</v>
      </c>
      <c r="AH14" s="6">
        <v>12</v>
      </c>
      <c r="AI14" s="6">
        <v>12</v>
      </c>
      <c r="AJ14" s="6">
        <v>12</v>
      </c>
      <c r="AK14" s="6">
        <v>12</v>
      </c>
      <c r="AL14" s="6">
        <v>12</v>
      </c>
      <c r="AM14" s="6">
        <v>12</v>
      </c>
      <c r="AN14" s="6">
        <v>12</v>
      </c>
      <c r="AO14" s="6">
        <v>12</v>
      </c>
      <c r="AP14" s="6">
        <v>12</v>
      </c>
      <c r="AQ14" s="6">
        <v>12</v>
      </c>
      <c r="AR14" s="6">
        <v>12</v>
      </c>
      <c r="AS14" s="6">
        <v>12</v>
      </c>
      <c r="AT14" s="6">
        <v>12</v>
      </c>
      <c r="AU14" s="6">
        <v>12</v>
      </c>
      <c r="AV14" s="6">
        <v>12</v>
      </c>
      <c r="AW14" s="6">
        <v>12</v>
      </c>
      <c r="AX14" s="6">
        <v>12</v>
      </c>
      <c r="AY14" s="6">
        <v>12</v>
      </c>
      <c r="AZ14" s="6">
        <v>12</v>
      </c>
      <c r="BA14" s="6">
        <v>12</v>
      </c>
      <c r="BB14" s="6">
        <v>12</v>
      </c>
      <c r="BC14" s="6">
        <v>12</v>
      </c>
      <c r="BD14" s="6">
        <v>12</v>
      </c>
      <c r="BE14" s="6">
        <v>12</v>
      </c>
      <c r="BF14" s="6">
        <v>12</v>
      </c>
      <c r="BG14" s="6">
        <v>12</v>
      </c>
      <c r="BH14" s="6">
        <v>12</v>
      </c>
      <c r="BI14" s="6">
        <v>12</v>
      </c>
      <c r="BJ14" s="6">
        <v>12</v>
      </c>
      <c r="BK14" s="6">
        <v>12</v>
      </c>
      <c r="BL14" s="6">
        <v>12</v>
      </c>
      <c r="BM14" s="6">
        <v>12</v>
      </c>
      <c r="BN14" s="6">
        <v>12</v>
      </c>
      <c r="BO14" s="6">
        <v>12</v>
      </c>
      <c r="BP14" s="6">
        <v>12</v>
      </c>
      <c r="BQ14" s="6">
        <v>12</v>
      </c>
      <c r="BR14" s="6">
        <v>12</v>
      </c>
      <c r="BS14" s="6">
        <v>12</v>
      </c>
      <c r="BT14" s="6">
        <v>12</v>
      </c>
      <c r="BU14" s="6">
        <v>12</v>
      </c>
      <c r="BV14" s="6">
        <v>12</v>
      </c>
      <c r="BW14" s="6">
        <v>12</v>
      </c>
      <c r="BX14" s="6">
        <v>12</v>
      </c>
      <c r="BY14" s="6">
        <v>12</v>
      </c>
      <c r="BZ14" s="6">
        <v>12</v>
      </c>
    </row>
    <row r="15" spans="1:78" ht="12.75">
      <c r="A15" s="3" t="s">
        <v>708</v>
      </c>
      <c r="B15" s="8">
        <f t="shared" si="5"/>
        <v>724</v>
      </c>
      <c r="C15" s="6">
        <f>SUM(C16:C18)</f>
        <v>4</v>
      </c>
      <c r="D15" s="6">
        <f aca="true" t="shared" si="6" ref="D15:BO15">SUM(D16:D18)</f>
        <v>6</v>
      </c>
      <c r="E15" s="6">
        <f t="shared" si="6"/>
        <v>6</v>
      </c>
      <c r="F15" s="6">
        <f t="shared" si="6"/>
        <v>14</v>
      </c>
      <c r="G15" s="6">
        <f t="shared" si="6"/>
        <v>10</v>
      </c>
      <c r="H15" s="6">
        <f t="shared" si="6"/>
        <v>10</v>
      </c>
      <c r="I15" s="6">
        <f t="shared" si="6"/>
        <v>10</v>
      </c>
      <c r="J15" s="6">
        <f t="shared" si="6"/>
        <v>10</v>
      </c>
      <c r="K15" s="6">
        <f t="shared" si="6"/>
        <v>10</v>
      </c>
      <c r="L15" s="6">
        <f t="shared" si="6"/>
        <v>10</v>
      </c>
      <c r="M15" s="6">
        <f t="shared" si="6"/>
        <v>10</v>
      </c>
      <c r="N15" s="6">
        <f t="shared" si="6"/>
        <v>10</v>
      </c>
      <c r="O15" s="6">
        <f t="shared" si="6"/>
        <v>10</v>
      </c>
      <c r="P15" s="6">
        <f t="shared" si="6"/>
        <v>10</v>
      </c>
      <c r="Q15" s="6">
        <f t="shared" si="6"/>
        <v>10</v>
      </c>
      <c r="R15" s="6">
        <f t="shared" si="6"/>
        <v>10</v>
      </c>
      <c r="S15" s="6">
        <f t="shared" si="6"/>
        <v>10</v>
      </c>
      <c r="T15" s="6">
        <f t="shared" si="6"/>
        <v>10</v>
      </c>
      <c r="U15" s="6">
        <f t="shared" si="6"/>
        <v>10</v>
      </c>
      <c r="V15" s="6">
        <f t="shared" si="6"/>
        <v>10</v>
      </c>
      <c r="W15" s="6">
        <f t="shared" si="6"/>
        <v>10</v>
      </c>
      <c r="X15" s="6">
        <f t="shared" si="6"/>
        <v>10</v>
      </c>
      <c r="Y15" s="6">
        <f t="shared" si="6"/>
        <v>10</v>
      </c>
      <c r="Z15" s="6">
        <f t="shared" si="6"/>
        <v>10</v>
      </c>
      <c r="AA15" s="6">
        <f t="shared" si="6"/>
        <v>10</v>
      </c>
      <c r="AB15" s="6">
        <f t="shared" si="6"/>
        <v>10</v>
      </c>
      <c r="AC15" s="6">
        <f t="shared" si="6"/>
        <v>10</v>
      </c>
      <c r="AD15" s="6">
        <f t="shared" si="6"/>
        <v>10</v>
      </c>
      <c r="AE15" s="6">
        <f t="shared" si="6"/>
        <v>10</v>
      </c>
      <c r="AF15" s="6">
        <f t="shared" si="6"/>
        <v>10</v>
      </c>
      <c r="AG15" s="6">
        <f t="shared" si="6"/>
        <v>10</v>
      </c>
      <c r="AH15" s="6">
        <f t="shared" si="6"/>
        <v>10</v>
      </c>
      <c r="AI15" s="6">
        <f t="shared" si="6"/>
        <v>10</v>
      </c>
      <c r="AJ15" s="6">
        <f t="shared" si="6"/>
        <v>10</v>
      </c>
      <c r="AK15" s="6">
        <f t="shared" si="6"/>
        <v>10</v>
      </c>
      <c r="AL15" s="6">
        <f t="shared" si="6"/>
        <v>10</v>
      </c>
      <c r="AM15" s="6">
        <f t="shared" si="6"/>
        <v>10</v>
      </c>
      <c r="AN15" s="6">
        <f t="shared" si="6"/>
        <v>10</v>
      </c>
      <c r="AO15" s="6">
        <f t="shared" si="6"/>
        <v>10</v>
      </c>
      <c r="AP15" s="6">
        <f t="shared" si="6"/>
        <v>10</v>
      </c>
      <c r="AQ15" s="6">
        <f t="shared" si="6"/>
        <v>10</v>
      </c>
      <c r="AR15" s="6">
        <f t="shared" si="6"/>
        <v>10</v>
      </c>
      <c r="AS15" s="6">
        <f t="shared" si="6"/>
        <v>10</v>
      </c>
      <c r="AT15" s="6">
        <f t="shared" si="6"/>
        <v>10</v>
      </c>
      <c r="AU15" s="6">
        <f t="shared" si="6"/>
        <v>10</v>
      </c>
      <c r="AV15" s="6">
        <f t="shared" si="6"/>
        <v>10</v>
      </c>
      <c r="AW15" s="6">
        <f t="shared" si="6"/>
        <v>10</v>
      </c>
      <c r="AX15" s="6">
        <f t="shared" si="6"/>
        <v>10</v>
      </c>
      <c r="AY15" s="6">
        <f t="shared" si="6"/>
        <v>10</v>
      </c>
      <c r="AZ15" s="6">
        <f t="shared" si="6"/>
        <v>10</v>
      </c>
      <c r="BA15" s="6">
        <f t="shared" si="6"/>
        <v>10</v>
      </c>
      <c r="BB15" s="6">
        <f t="shared" si="6"/>
        <v>10</v>
      </c>
      <c r="BC15" s="6">
        <f t="shared" si="6"/>
        <v>10</v>
      </c>
      <c r="BD15" s="6">
        <f t="shared" si="6"/>
        <v>10</v>
      </c>
      <c r="BE15" s="6">
        <f t="shared" si="6"/>
        <v>10</v>
      </c>
      <c r="BF15" s="6">
        <f t="shared" si="6"/>
        <v>10</v>
      </c>
      <c r="BG15" s="6">
        <f t="shared" si="6"/>
        <v>10</v>
      </c>
      <c r="BH15" s="6">
        <f t="shared" si="6"/>
        <v>10</v>
      </c>
      <c r="BI15" s="6">
        <f t="shared" si="6"/>
        <v>10</v>
      </c>
      <c r="BJ15" s="6">
        <f t="shared" si="6"/>
        <v>10</v>
      </c>
      <c r="BK15" s="6">
        <f t="shared" si="6"/>
        <v>10</v>
      </c>
      <c r="BL15" s="6">
        <f t="shared" si="6"/>
        <v>10</v>
      </c>
      <c r="BM15" s="6">
        <f t="shared" si="6"/>
        <v>10</v>
      </c>
      <c r="BN15" s="6">
        <f t="shared" si="6"/>
        <v>10</v>
      </c>
      <c r="BO15" s="6">
        <f t="shared" si="6"/>
        <v>10</v>
      </c>
      <c r="BP15" s="6">
        <f aca="true" t="shared" si="7" ref="BP15:BY15">SUM(BP16:BP18)</f>
        <v>10</v>
      </c>
      <c r="BQ15" s="6">
        <f t="shared" si="7"/>
        <v>10</v>
      </c>
      <c r="BR15" s="6">
        <f t="shared" si="7"/>
        <v>10</v>
      </c>
      <c r="BS15" s="6">
        <f t="shared" si="7"/>
        <v>10</v>
      </c>
      <c r="BT15" s="6">
        <f t="shared" si="7"/>
        <v>10</v>
      </c>
      <c r="BU15" s="6">
        <f t="shared" si="7"/>
        <v>10</v>
      </c>
      <c r="BV15" s="6">
        <f t="shared" si="7"/>
        <v>10</v>
      </c>
      <c r="BW15" s="6">
        <f t="shared" si="7"/>
        <v>6</v>
      </c>
      <c r="BX15" s="6">
        <f t="shared" si="7"/>
        <v>4</v>
      </c>
      <c r="BY15" s="6">
        <f t="shared" si="7"/>
        <v>4</v>
      </c>
      <c r="BZ15" s="6">
        <f>SUM(BZ16:BZ18)</f>
        <v>4</v>
      </c>
    </row>
    <row r="16" spans="1:78" s="13" customFormat="1" ht="10.5">
      <c r="A16" s="10" t="s">
        <v>881</v>
      </c>
      <c r="B16" s="11">
        <f t="shared" si="5"/>
        <v>292</v>
      </c>
      <c r="C16" s="12"/>
      <c r="D16" s="12"/>
      <c r="E16" s="12"/>
      <c r="F16" s="12">
        <v>8</v>
      </c>
      <c r="G16" s="12">
        <v>4</v>
      </c>
      <c r="H16" s="12">
        <v>4</v>
      </c>
      <c r="I16" s="12">
        <v>4</v>
      </c>
      <c r="J16" s="12">
        <v>4</v>
      </c>
      <c r="K16" s="12">
        <v>4</v>
      </c>
      <c r="L16" s="12">
        <v>4</v>
      </c>
      <c r="M16" s="12">
        <v>4</v>
      </c>
      <c r="N16" s="12">
        <v>4</v>
      </c>
      <c r="O16" s="12">
        <v>4</v>
      </c>
      <c r="P16" s="12">
        <v>4</v>
      </c>
      <c r="Q16" s="12">
        <v>4</v>
      </c>
      <c r="R16" s="12">
        <v>4</v>
      </c>
      <c r="S16" s="12">
        <v>4</v>
      </c>
      <c r="T16" s="12">
        <v>4</v>
      </c>
      <c r="U16" s="12">
        <v>4</v>
      </c>
      <c r="V16" s="12">
        <v>4</v>
      </c>
      <c r="W16" s="12">
        <v>4</v>
      </c>
      <c r="X16" s="12">
        <v>4</v>
      </c>
      <c r="Y16" s="12">
        <v>4</v>
      </c>
      <c r="Z16" s="12">
        <v>4</v>
      </c>
      <c r="AA16" s="12">
        <v>4</v>
      </c>
      <c r="AB16" s="12">
        <v>4</v>
      </c>
      <c r="AC16" s="12">
        <v>4</v>
      </c>
      <c r="AD16" s="12">
        <v>4</v>
      </c>
      <c r="AE16" s="12">
        <v>4</v>
      </c>
      <c r="AF16" s="12">
        <v>4</v>
      </c>
      <c r="AG16" s="12">
        <v>4</v>
      </c>
      <c r="AH16" s="12">
        <v>4</v>
      </c>
      <c r="AI16" s="12">
        <v>4</v>
      </c>
      <c r="AJ16" s="12">
        <v>4</v>
      </c>
      <c r="AK16" s="12">
        <v>4</v>
      </c>
      <c r="AL16" s="12">
        <v>4</v>
      </c>
      <c r="AM16" s="12">
        <v>4</v>
      </c>
      <c r="AN16" s="12">
        <v>4</v>
      </c>
      <c r="AO16" s="12">
        <v>4</v>
      </c>
      <c r="AP16" s="12">
        <v>4</v>
      </c>
      <c r="AQ16" s="12">
        <v>4</v>
      </c>
      <c r="AR16" s="12">
        <v>4</v>
      </c>
      <c r="AS16" s="12">
        <v>4</v>
      </c>
      <c r="AT16" s="12">
        <v>4</v>
      </c>
      <c r="AU16" s="12">
        <v>4</v>
      </c>
      <c r="AV16" s="12">
        <v>4</v>
      </c>
      <c r="AW16" s="12">
        <v>4</v>
      </c>
      <c r="AX16" s="12">
        <v>4</v>
      </c>
      <c r="AY16" s="12">
        <v>4</v>
      </c>
      <c r="AZ16" s="12">
        <v>4</v>
      </c>
      <c r="BA16" s="12">
        <v>4</v>
      </c>
      <c r="BB16" s="12">
        <v>4</v>
      </c>
      <c r="BC16" s="12">
        <v>4</v>
      </c>
      <c r="BD16" s="12">
        <v>4</v>
      </c>
      <c r="BE16" s="12">
        <v>4</v>
      </c>
      <c r="BF16" s="12">
        <v>4</v>
      </c>
      <c r="BG16" s="12">
        <v>4</v>
      </c>
      <c r="BH16" s="12">
        <v>4</v>
      </c>
      <c r="BI16" s="12">
        <v>4</v>
      </c>
      <c r="BJ16" s="12">
        <v>4</v>
      </c>
      <c r="BK16" s="12">
        <v>4</v>
      </c>
      <c r="BL16" s="12">
        <v>4</v>
      </c>
      <c r="BM16" s="12">
        <v>4</v>
      </c>
      <c r="BN16" s="12">
        <v>4</v>
      </c>
      <c r="BO16" s="12">
        <v>4</v>
      </c>
      <c r="BP16" s="12">
        <v>4</v>
      </c>
      <c r="BQ16" s="12">
        <v>4</v>
      </c>
      <c r="BR16" s="12">
        <v>4</v>
      </c>
      <c r="BS16" s="12">
        <v>4</v>
      </c>
      <c r="BT16" s="12">
        <v>4</v>
      </c>
      <c r="BU16" s="12">
        <v>4</v>
      </c>
      <c r="BV16" s="12">
        <v>4</v>
      </c>
      <c r="BW16" s="12">
        <v>4</v>
      </c>
      <c r="BX16" s="12">
        <v>4</v>
      </c>
      <c r="BY16" s="12">
        <v>4</v>
      </c>
      <c r="BZ16" s="12">
        <v>4</v>
      </c>
    </row>
    <row r="17" spans="1:78" s="13" customFormat="1" ht="10.5">
      <c r="A17" s="10" t="s">
        <v>716</v>
      </c>
      <c r="B17" s="11">
        <f t="shared" si="5"/>
        <v>144</v>
      </c>
      <c r="C17" s="12">
        <v>0</v>
      </c>
      <c r="D17" s="12">
        <v>2</v>
      </c>
      <c r="E17" s="12">
        <v>2</v>
      </c>
      <c r="F17" s="12">
        <v>2</v>
      </c>
      <c r="G17" s="12">
        <v>2</v>
      </c>
      <c r="H17" s="12">
        <v>2</v>
      </c>
      <c r="I17" s="12">
        <v>2</v>
      </c>
      <c r="J17" s="12">
        <v>2</v>
      </c>
      <c r="K17" s="12">
        <v>2</v>
      </c>
      <c r="L17" s="12">
        <v>2</v>
      </c>
      <c r="M17" s="12">
        <v>2</v>
      </c>
      <c r="N17" s="12">
        <v>2</v>
      </c>
      <c r="O17" s="12">
        <v>2</v>
      </c>
      <c r="P17" s="12">
        <v>2</v>
      </c>
      <c r="Q17" s="12">
        <v>2</v>
      </c>
      <c r="R17" s="12">
        <v>2</v>
      </c>
      <c r="S17" s="12">
        <v>2</v>
      </c>
      <c r="T17" s="12">
        <v>2</v>
      </c>
      <c r="U17" s="12">
        <v>2</v>
      </c>
      <c r="V17" s="12">
        <v>2</v>
      </c>
      <c r="W17" s="12">
        <v>2</v>
      </c>
      <c r="X17" s="12">
        <v>2</v>
      </c>
      <c r="Y17" s="12">
        <v>2</v>
      </c>
      <c r="Z17" s="12">
        <v>2</v>
      </c>
      <c r="AA17" s="12">
        <v>2</v>
      </c>
      <c r="AB17" s="12">
        <v>2</v>
      </c>
      <c r="AC17" s="12">
        <v>2</v>
      </c>
      <c r="AD17" s="12">
        <v>2</v>
      </c>
      <c r="AE17" s="12">
        <v>2</v>
      </c>
      <c r="AF17" s="12">
        <v>2</v>
      </c>
      <c r="AG17" s="12">
        <v>2</v>
      </c>
      <c r="AH17" s="12">
        <v>2</v>
      </c>
      <c r="AI17" s="12">
        <v>2</v>
      </c>
      <c r="AJ17" s="12">
        <v>2</v>
      </c>
      <c r="AK17" s="12">
        <v>2</v>
      </c>
      <c r="AL17" s="12">
        <v>2</v>
      </c>
      <c r="AM17" s="12">
        <v>2</v>
      </c>
      <c r="AN17" s="12">
        <v>2</v>
      </c>
      <c r="AO17" s="12">
        <v>2</v>
      </c>
      <c r="AP17" s="12">
        <v>2</v>
      </c>
      <c r="AQ17" s="12">
        <v>2</v>
      </c>
      <c r="AR17" s="12">
        <v>2</v>
      </c>
      <c r="AS17" s="12">
        <v>2</v>
      </c>
      <c r="AT17" s="12">
        <v>2</v>
      </c>
      <c r="AU17" s="12">
        <v>2</v>
      </c>
      <c r="AV17" s="12">
        <v>2</v>
      </c>
      <c r="AW17" s="12">
        <v>2</v>
      </c>
      <c r="AX17" s="12">
        <v>2</v>
      </c>
      <c r="AY17" s="12">
        <v>2</v>
      </c>
      <c r="AZ17" s="12">
        <v>2</v>
      </c>
      <c r="BA17" s="12">
        <v>2</v>
      </c>
      <c r="BB17" s="12">
        <v>2</v>
      </c>
      <c r="BC17" s="12">
        <v>2</v>
      </c>
      <c r="BD17" s="12">
        <v>2</v>
      </c>
      <c r="BE17" s="12">
        <v>2</v>
      </c>
      <c r="BF17" s="12">
        <v>2</v>
      </c>
      <c r="BG17" s="12">
        <v>2</v>
      </c>
      <c r="BH17" s="12">
        <v>2</v>
      </c>
      <c r="BI17" s="12">
        <v>2</v>
      </c>
      <c r="BJ17" s="12">
        <v>2</v>
      </c>
      <c r="BK17" s="12">
        <v>2</v>
      </c>
      <c r="BL17" s="12">
        <v>2</v>
      </c>
      <c r="BM17" s="12">
        <v>2</v>
      </c>
      <c r="BN17" s="12">
        <v>2</v>
      </c>
      <c r="BO17" s="12">
        <v>2</v>
      </c>
      <c r="BP17" s="12">
        <v>2</v>
      </c>
      <c r="BQ17" s="12">
        <v>2</v>
      </c>
      <c r="BR17" s="12">
        <v>2</v>
      </c>
      <c r="BS17" s="12">
        <v>2</v>
      </c>
      <c r="BT17" s="12">
        <v>2</v>
      </c>
      <c r="BU17" s="12">
        <v>2</v>
      </c>
      <c r="BV17" s="12">
        <v>2</v>
      </c>
      <c r="BW17" s="12">
        <v>2</v>
      </c>
      <c r="BX17" s="12"/>
      <c r="BY17" s="12"/>
      <c r="BZ17" s="12"/>
    </row>
    <row r="18" spans="1:78" s="13" customFormat="1" ht="10.5">
      <c r="A18" s="10" t="s">
        <v>715</v>
      </c>
      <c r="B18" s="11">
        <f t="shared" si="5"/>
        <v>288</v>
      </c>
      <c r="C18" s="12">
        <v>4</v>
      </c>
      <c r="D18" s="12">
        <v>4</v>
      </c>
      <c r="E18" s="12">
        <v>4</v>
      </c>
      <c r="F18" s="12">
        <v>4</v>
      </c>
      <c r="G18" s="12">
        <v>4</v>
      </c>
      <c r="H18" s="12">
        <v>4</v>
      </c>
      <c r="I18" s="12">
        <v>4</v>
      </c>
      <c r="J18" s="12">
        <v>4</v>
      </c>
      <c r="K18" s="12">
        <v>4</v>
      </c>
      <c r="L18" s="12">
        <v>4</v>
      </c>
      <c r="M18" s="12">
        <v>4</v>
      </c>
      <c r="N18" s="12">
        <v>4</v>
      </c>
      <c r="O18" s="12">
        <v>4</v>
      </c>
      <c r="P18" s="12">
        <v>4</v>
      </c>
      <c r="Q18" s="12">
        <v>4</v>
      </c>
      <c r="R18" s="12">
        <v>4</v>
      </c>
      <c r="S18" s="12">
        <v>4</v>
      </c>
      <c r="T18" s="12">
        <v>4</v>
      </c>
      <c r="U18" s="12">
        <v>4</v>
      </c>
      <c r="V18" s="12">
        <v>4</v>
      </c>
      <c r="W18" s="12">
        <v>4</v>
      </c>
      <c r="X18" s="12">
        <v>4</v>
      </c>
      <c r="Y18" s="12">
        <v>4</v>
      </c>
      <c r="Z18" s="12">
        <v>4</v>
      </c>
      <c r="AA18" s="12">
        <v>4</v>
      </c>
      <c r="AB18" s="12">
        <v>4</v>
      </c>
      <c r="AC18" s="12">
        <v>4</v>
      </c>
      <c r="AD18" s="12">
        <v>4</v>
      </c>
      <c r="AE18" s="12">
        <v>4</v>
      </c>
      <c r="AF18" s="12">
        <v>4</v>
      </c>
      <c r="AG18" s="12">
        <v>4</v>
      </c>
      <c r="AH18" s="12">
        <v>4</v>
      </c>
      <c r="AI18" s="12">
        <v>4</v>
      </c>
      <c r="AJ18" s="12">
        <v>4</v>
      </c>
      <c r="AK18" s="12">
        <v>4</v>
      </c>
      <c r="AL18" s="12">
        <v>4</v>
      </c>
      <c r="AM18" s="12">
        <v>4</v>
      </c>
      <c r="AN18" s="12">
        <v>4</v>
      </c>
      <c r="AO18" s="12">
        <v>4</v>
      </c>
      <c r="AP18" s="12">
        <v>4</v>
      </c>
      <c r="AQ18" s="12">
        <v>4</v>
      </c>
      <c r="AR18" s="12">
        <v>4</v>
      </c>
      <c r="AS18" s="12">
        <v>4</v>
      </c>
      <c r="AT18" s="12">
        <v>4</v>
      </c>
      <c r="AU18" s="12">
        <v>4</v>
      </c>
      <c r="AV18" s="12">
        <v>4</v>
      </c>
      <c r="AW18" s="12">
        <v>4</v>
      </c>
      <c r="AX18" s="12">
        <v>4</v>
      </c>
      <c r="AY18" s="12">
        <v>4</v>
      </c>
      <c r="AZ18" s="12">
        <v>4</v>
      </c>
      <c r="BA18" s="12">
        <v>4</v>
      </c>
      <c r="BB18" s="12">
        <v>4</v>
      </c>
      <c r="BC18" s="12">
        <v>4</v>
      </c>
      <c r="BD18" s="12">
        <v>4</v>
      </c>
      <c r="BE18" s="12">
        <v>4</v>
      </c>
      <c r="BF18" s="12">
        <v>4</v>
      </c>
      <c r="BG18" s="12">
        <v>4</v>
      </c>
      <c r="BH18" s="12">
        <v>4</v>
      </c>
      <c r="BI18" s="12">
        <v>4</v>
      </c>
      <c r="BJ18" s="12">
        <v>4</v>
      </c>
      <c r="BK18" s="12">
        <v>4</v>
      </c>
      <c r="BL18" s="12">
        <v>4</v>
      </c>
      <c r="BM18" s="12">
        <v>4</v>
      </c>
      <c r="BN18" s="12">
        <v>4</v>
      </c>
      <c r="BO18" s="12">
        <v>4</v>
      </c>
      <c r="BP18" s="12">
        <v>4</v>
      </c>
      <c r="BQ18" s="12">
        <v>4</v>
      </c>
      <c r="BR18" s="12">
        <v>4</v>
      </c>
      <c r="BS18" s="12">
        <v>4</v>
      </c>
      <c r="BT18" s="12">
        <v>4</v>
      </c>
      <c r="BU18" s="12">
        <v>4</v>
      </c>
      <c r="BV18" s="12">
        <v>4</v>
      </c>
      <c r="BW18" s="12"/>
      <c r="BX18" s="12"/>
      <c r="BY18" s="12"/>
      <c r="BZ18" s="12"/>
    </row>
    <row r="19" spans="1:78" ht="12.75">
      <c r="A19" s="2" t="s">
        <v>709</v>
      </c>
      <c r="B19" s="8">
        <f t="shared" si="5"/>
        <v>128</v>
      </c>
      <c r="C19" s="6">
        <f>C14-C15</f>
        <v>-4</v>
      </c>
      <c r="D19" s="6">
        <f aca="true" t="shared" si="8" ref="D19:BO19">D14-D15</f>
        <v>-6</v>
      </c>
      <c r="E19" s="6">
        <f t="shared" si="8"/>
        <v>-6</v>
      </c>
      <c r="F19" s="6">
        <f t="shared" si="8"/>
        <v>-14</v>
      </c>
      <c r="G19" s="6">
        <f t="shared" si="8"/>
        <v>2</v>
      </c>
      <c r="H19" s="6">
        <f t="shared" si="8"/>
        <v>2</v>
      </c>
      <c r="I19" s="6">
        <f t="shared" si="8"/>
        <v>2</v>
      </c>
      <c r="J19" s="6">
        <f t="shared" si="8"/>
        <v>2</v>
      </c>
      <c r="K19" s="6">
        <f t="shared" si="8"/>
        <v>2</v>
      </c>
      <c r="L19" s="6">
        <f t="shared" si="8"/>
        <v>2</v>
      </c>
      <c r="M19" s="6">
        <f t="shared" si="8"/>
        <v>2</v>
      </c>
      <c r="N19" s="6">
        <f t="shared" si="8"/>
        <v>2</v>
      </c>
      <c r="O19" s="6">
        <f t="shared" si="8"/>
        <v>2</v>
      </c>
      <c r="P19" s="6">
        <f t="shared" si="8"/>
        <v>2</v>
      </c>
      <c r="Q19" s="6">
        <f t="shared" si="8"/>
        <v>2</v>
      </c>
      <c r="R19" s="6">
        <f t="shared" si="8"/>
        <v>2</v>
      </c>
      <c r="S19" s="6">
        <f t="shared" si="8"/>
        <v>2</v>
      </c>
      <c r="T19" s="6">
        <f t="shared" si="8"/>
        <v>2</v>
      </c>
      <c r="U19" s="6">
        <f t="shared" si="8"/>
        <v>2</v>
      </c>
      <c r="V19" s="6">
        <f t="shared" si="8"/>
        <v>2</v>
      </c>
      <c r="W19" s="6">
        <f t="shared" si="8"/>
        <v>2</v>
      </c>
      <c r="X19" s="6">
        <f t="shared" si="8"/>
        <v>2</v>
      </c>
      <c r="Y19" s="6">
        <f t="shared" si="8"/>
        <v>2</v>
      </c>
      <c r="Z19" s="6">
        <f t="shared" si="8"/>
        <v>2</v>
      </c>
      <c r="AA19" s="6">
        <f t="shared" si="8"/>
        <v>2</v>
      </c>
      <c r="AB19" s="6">
        <f t="shared" si="8"/>
        <v>2</v>
      </c>
      <c r="AC19" s="6">
        <f t="shared" si="8"/>
        <v>2</v>
      </c>
      <c r="AD19" s="6">
        <f t="shared" si="8"/>
        <v>2</v>
      </c>
      <c r="AE19" s="6">
        <f t="shared" si="8"/>
        <v>2</v>
      </c>
      <c r="AF19" s="6">
        <f t="shared" si="8"/>
        <v>2</v>
      </c>
      <c r="AG19" s="6">
        <f t="shared" si="8"/>
        <v>2</v>
      </c>
      <c r="AH19" s="6">
        <f t="shared" si="8"/>
        <v>2</v>
      </c>
      <c r="AI19" s="6">
        <f t="shared" si="8"/>
        <v>2</v>
      </c>
      <c r="AJ19" s="6">
        <f t="shared" si="8"/>
        <v>2</v>
      </c>
      <c r="AK19" s="6">
        <f t="shared" si="8"/>
        <v>2</v>
      </c>
      <c r="AL19" s="6">
        <f t="shared" si="8"/>
        <v>2</v>
      </c>
      <c r="AM19" s="6">
        <f t="shared" si="8"/>
        <v>2</v>
      </c>
      <c r="AN19" s="6">
        <f t="shared" si="8"/>
        <v>2</v>
      </c>
      <c r="AO19" s="6">
        <f t="shared" si="8"/>
        <v>2</v>
      </c>
      <c r="AP19" s="6">
        <f t="shared" si="8"/>
        <v>2</v>
      </c>
      <c r="AQ19" s="6">
        <f t="shared" si="8"/>
        <v>2</v>
      </c>
      <c r="AR19" s="6">
        <f t="shared" si="8"/>
        <v>2</v>
      </c>
      <c r="AS19" s="6">
        <f t="shared" si="8"/>
        <v>2</v>
      </c>
      <c r="AT19" s="6">
        <f t="shared" si="8"/>
        <v>2</v>
      </c>
      <c r="AU19" s="6">
        <f t="shared" si="8"/>
        <v>2</v>
      </c>
      <c r="AV19" s="6">
        <f t="shared" si="8"/>
        <v>2</v>
      </c>
      <c r="AW19" s="6">
        <f t="shared" si="8"/>
        <v>2</v>
      </c>
      <c r="AX19" s="6">
        <f t="shared" si="8"/>
        <v>2</v>
      </c>
      <c r="AY19" s="6">
        <f t="shared" si="8"/>
        <v>2</v>
      </c>
      <c r="AZ19" s="6">
        <f t="shared" si="8"/>
        <v>2</v>
      </c>
      <c r="BA19" s="6">
        <f t="shared" si="8"/>
        <v>2</v>
      </c>
      <c r="BB19" s="6">
        <f t="shared" si="8"/>
        <v>2</v>
      </c>
      <c r="BC19" s="6">
        <f t="shared" si="8"/>
        <v>2</v>
      </c>
      <c r="BD19" s="6">
        <f t="shared" si="8"/>
        <v>2</v>
      </c>
      <c r="BE19" s="6">
        <f t="shared" si="8"/>
        <v>2</v>
      </c>
      <c r="BF19" s="6">
        <f t="shared" si="8"/>
        <v>2</v>
      </c>
      <c r="BG19" s="6">
        <f t="shared" si="8"/>
        <v>2</v>
      </c>
      <c r="BH19" s="6">
        <f t="shared" si="8"/>
        <v>2</v>
      </c>
      <c r="BI19" s="6">
        <f t="shared" si="8"/>
        <v>2</v>
      </c>
      <c r="BJ19" s="6">
        <f t="shared" si="8"/>
        <v>2</v>
      </c>
      <c r="BK19" s="6">
        <f t="shared" si="8"/>
        <v>2</v>
      </c>
      <c r="BL19" s="6">
        <f t="shared" si="8"/>
        <v>2</v>
      </c>
      <c r="BM19" s="6">
        <f t="shared" si="8"/>
        <v>2</v>
      </c>
      <c r="BN19" s="6">
        <f t="shared" si="8"/>
        <v>2</v>
      </c>
      <c r="BO19" s="6">
        <f t="shared" si="8"/>
        <v>2</v>
      </c>
      <c r="BP19" s="6">
        <f aca="true" t="shared" si="9" ref="BP19:BY19">BP14-BP15</f>
        <v>2</v>
      </c>
      <c r="BQ19" s="6">
        <f t="shared" si="9"/>
        <v>2</v>
      </c>
      <c r="BR19" s="6">
        <f t="shared" si="9"/>
        <v>2</v>
      </c>
      <c r="BS19" s="6">
        <f t="shared" si="9"/>
        <v>2</v>
      </c>
      <c r="BT19" s="6">
        <f t="shared" si="9"/>
        <v>2</v>
      </c>
      <c r="BU19" s="6">
        <f t="shared" si="9"/>
        <v>2</v>
      </c>
      <c r="BV19" s="6">
        <f t="shared" si="9"/>
        <v>2</v>
      </c>
      <c r="BW19" s="6">
        <f t="shared" si="9"/>
        <v>6</v>
      </c>
      <c r="BX19" s="6">
        <f t="shared" si="9"/>
        <v>8</v>
      </c>
      <c r="BY19" s="6">
        <f t="shared" si="9"/>
        <v>8</v>
      </c>
      <c r="BZ19" s="6">
        <f>BZ14-BZ15</f>
        <v>8</v>
      </c>
    </row>
    <row r="20" spans="1:78" ht="12.75">
      <c r="A20" s="3" t="s">
        <v>710</v>
      </c>
      <c r="B20" s="8">
        <f t="shared" si="5"/>
        <v>-30</v>
      </c>
      <c r="C20" s="6">
        <v>-30</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row>
    <row r="21" spans="1:78" ht="12.75">
      <c r="A21" s="2" t="s">
        <v>711</v>
      </c>
      <c r="B21" s="8">
        <f t="shared" si="5"/>
        <v>98</v>
      </c>
      <c r="C21" s="6">
        <f>SUM(C19:C20)</f>
        <v>-34</v>
      </c>
      <c r="D21" s="6">
        <f aca="true" t="shared" si="10" ref="D21:BO21">SUM(D19:D20)</f>
        <v>-6</v>
      </c>
      <c r="E21" s="6">
        <f t="shared" si="10"/>
        <v>-6</v>
      </c>
      <c r="F21" s="6">
        <f t="shared" si="10"/>
        <v>-14</v>
      </c>
      <c r="G21" s="6">
        <f t="shared" si="10"/>
        <v>2</v>
      </c>
      <c r="H21" s="6">
        <f t="shared" si="10"/>
        <v>2</v>
      </c>
      <c r="I21" s="6">
        <f t="shared" si="10"/>
        <v>2</v>
      </c>
      <c r="J21" s="6">
        <f t="shared" si="10"/>
        <v>2</v>
      </c>
      <c r="K21" s="6">
        <f t="shared" si="10"/>
        <v>2</v>
      </c>
      <c r="L21" s="6">
        <f t="shared" si="10"/>
        <v>2</v>
      </c>
      <c r="M21" s="6">
        <f t="shared" si="10"/>
        <v>2</v>
      </c>
      <c r="N21" s="6">
        <f t="shared" si="10"/>
        <v>2</v>
      </c>
      <c r="O21" s="6">
        <f t="shared" si="10"/>
        <v>2</v>
      </c>
      <c r="P21" s="6">
        <f t="shared" si="10"/>
        <v>2</v>
      </c>
      <c r="Q21" s="6">
        <f t="shared" si="10"/>
        <v>2</v>
      </c>
      <c r="R21" s="6">
        <f t="shared" si="10"/>
        <v>2</v>
      </c>
      <c r="S21" s="6">
        <f t="shared" si="10"/>
        <v>2</v>
      </c>
      <c r="T21" s="6">
        <f t="shared" si="10"/>
        <v>2</v>
      </c>
      <c r="U21" s="6">
        <f t="shared" si="10"/>
        <v>2</v>
      </c>
      <c r="V21" s="6">
        <f t="shared" si="10"/>
        <v>2</v>
      </c>
      <c r="W21" s="6">
        <f t="shared" si="10"/>
        <v>2</v>
      </c>
      <c r="X21" s="6">
        <f t="shared" si="10"/>
        <v>2</v>
      </c>
      <c r="Y21" s="6">
        <f t="shared" si="10"/>
        <v>2</v>
      </c>
      <c r="Z21" s="6">
        <f t="shared" si="10"/>
        <v>2</v>
      </c>
      <c r="AA21" s="6">
        <f t="shared" si="10"/>
        <v>2</v>
      </c>
      <c r="AB21" s="6">
        <f t="shared" si="10"/>
        <v>2</v>
      </c>
      <c r="AC21" s="6">
        <f t="shared" si="10"/>
        <v>2</v>
      </c>
      <c r="AD21" s="6">
        <f t="shared" si="10"/>
        <v>2</v>
      </c>
      <c r="AE21" s="6">
        <f t="shared" si="10"/>
        <v>2</v>
      </c>
      <c r="AF21" s="6">
        <f t="shared" si="10"/>
        <v>2</v>
      </c>
      <c r="AG21" s="6">
        <f t="shared" si="10"/>
        <v>2</v>
      </c>
      <c r="AH21" s="6">
        <f t="shared" si="10"/>
        <v>2</v>
      </c>
      <c r="AI21" s="6">
        <f t="shared" si="10"/>
        <v>2</v>
      </c>
      <c r="AJ21" s="6">
        <f t="shared" si="10"/>
        <v>2</v>
      </c>
      <c r="AK21" s="6">
        <f t="shared" si="10"/>
        <v>2</v>
      </c>
      <c r="AL21" s="6">
        <f t="shared" si="10"/>
        <v>2</v>
      </c>
      <c r="AM21" s="6">
        <f t="shared" si="10"/>
        <v>2</v>
      </c>
      <c r="AN21" s="6">
        <f t="shared" si="10"/>
        <v>2</v>
      </c>
      <c r="AO21" s="6">
        <f t="shared" si="10"/>
        <v>2</v>
      </c>
      <c r="AP21" s="6">
        <f t="shared" si="10"/>
        <v>2</v>
      </c>
      <c r="AQ21" s="6">
        <f t="shared" si="10"/>
        <v>2</v>
      </c>
      <c r="AR21" s="6">
        <f t="shared" si="10"/>
        <v>2</v>
      </c>
      <c r="AS21" s="6">
        <f t="shared" si="10"/>
        <v>2</v>
      </c>
      <c r="AT21" s="6">
        <f t="shared" si="10"/>
        <v>2</v>
      </c>
      <c r="AU21" s="6">
        <f t="shared" si="10"/>
        <v>2</v>
      </c>
      <c r="AV21" s="6">
        <f t="shared" si="10"/>
        <v>2</v>
      </c>
      <c r="AW21" s="6">
        <f t="shared" si="10"/>
        <v>2</v>
      </c>
      <c r="AX21" s="6">
        <f t="shared" si="10"/>
        <v>2</v>
      </c>
      <c r="AY21" s="6">
        <f t="shared" si="10"/>
        <v>2</v>
      </c>
      <c r="AZ21" s="6">
        <f t="shared" si="10"/>
        <v>2</v>
      </c>
      <c r="BA21" s="6">
        <f t="shared" si="10"/>
        <v>2</v>
      </c>
      <c r="BB21" s="6">
        <f t="shared" si="10"/>
        <v>2</v>
      </c>
      <c r="BC21" s="6">
        <f t="shared" si="10"/>
        <v>2</v>
      </c>
      <c r="BD21" s="6">
        <f t="shared" si="10"/>
        <v>2</v>
      </c>
      <c r="BE21" s="6">
        <f t="shared" si="10"/>
        <v>2</v>
      </c>
      <c r="BF21" s="6">
        <f t="shared" si="10"/>
        <v>2</v>
      </c>
      <c r="BG21" s="6">
        <f t="shared" si="10"/>
        <v>2</v>
      </c>
      <c r="BH21" s="6">
        <f t="shared" si="10"/>
        <v>2</v>
      </c>
      <c r="BI21" s="6">
        <f t="shared" si="10"/>
        <v>2</v>
      </c>
      <c r="BJ21" s="6">
        <f t="shared" si="10"/>
        <v>2</v>
      </c>
      <c r="BK21" s="6">
        <f t="shared" si="10"/>
        <v>2</v>
      </c>
      <c r="BL21" s="6">
        <f t="shared" si="10"/>
        <v>2</v>
      </c>
      <c r="BM21" s="6">
        <f t="shared" si="10"/>
        <v>2</v>
      </c>
      <c r="BN21" s="6">
        <f t="shared" si="10"/>
        <v>2</v>
      </c>
      <c r="BO21" s="6">
        <f t="shared" si="10"/>
        <v>2</v>
      </c>
      <c r="BP21" s="6">
        <f aca="true" t="shared" si="11" ref="BP21:BZ21">SUM(BP19:BP20)</f>
        <v>2</v>
      </c>
      <c r="BQ21" s="6">
        <f t="shared" si="11"/>
        <v>2</v>
      </c>
      <c r="BR21" s="6">
        <f t="shared" si="11"/>
        <v>2</v>
      </c>
      <c r="BS21" s="6">
        <f t="shared" si="11"/>
        <v>2</v>
      </c>
      <c r="BT21" s="6">
        <f t="shared" si="11"/>
        <v>2</v>
      </c>
      <c r="BU21" s="6">
        <f t="shared" si="11"/>
        <v>2</v>
      </c>
      <c r="BV21" s="6">
        <f t="shared" si="11"/>
        <v>2</v>
      </c>
      <c r="BW21" s="6">
        <f t="shared" si="11"/>
        <v>6</v>
      </c>
      <c r="BX21" s="6">
        <f t="shared" si="11"/>
        <v>8</v>
      </c>
      <c r="BY21" s="6">
        <f t="shared" si="11"/>
        <v>8</v>
      </c>
      <c r="BZ21" s="6">
        <f t="shared" si="11"/>
        <v>8</v>
      </c>
    </row>
    <row r="22" spans="1:78" ht="12.75">
      <c r="A22" s="3" t="s">
        <v>712</v>
      </c>
      <c r="B22" s="8">
        <f t="shared" si="5"/>
        <v>5.5</v>
      </c>
      <c r="C22" s="6">
        <f>SUM(C23:C24)</f>
        <v>-18</v>
      </c>
      <c r="D22" s="6">
        <f aca="true" t="shared" si="12" ref="D22:BO22">SUM(D23:D24)</f>
        <v>0</v>
      </c>
      <c r="E22" s="6">
        <f t="shared" si="12"/>
        <v>0</v>
      </c>
      <c r="F22" s="6">
        <f t="shared" si="12"/>
        <v>0</v>
      </c>
      <c r="G22" s="6">
        <f t="shared" si="12"/>
        <v>0</v>
      </c>
      <c r="H22" s="6">
        <f t="shared" si="12"/>
        <v>1</v>
      </c>
      <c r="I22" s="6">
        <f t="shared" si="12"/>
        <v>2</v>
      </c>
      <c r="J22" s="6">
        <f t="shared" si="12"/>
        <v>0</v>
      </c>
      <c r="K22" s="6">
        <f t="shared" si="12"/>
        <v>0</v>
      </c>
      <c r="L22" s="6">
        <f t="shared" si="12"/>
        <v>0</v>
      </c>
      <c r="M22" s="6">
        <f t="shared" si="12"/>
        <v>0</v>
      </c>
      <c r="N22" s="6">
        <f t="shared" si="12"/>
        <v>0.9</v>
      </c>
      <c r="O22" s="6">
        <f t="shared" si="12"/>
        <v>2</v>
      </c>
      <c r="P22" s="6">
        <f t="shared" si="12"/>
        <v>0</v>
      </c>
      <c r="Q22" s="6">
        <f t="shared" si="12"/>
        <v>0</v>
      </c>
      <c r="R22" s="6">
        <f t="shared" si="12"/>
        <v>0</v>
      </c>
      <c r="S22" s="6">
        <f t="shared" si="12"/>
        <v>0</v>
      </c>
      <c r="T22" s="6">
        <f t="shared" si="12"/>
        <v>0.8</v>
      </c>
      <c r="U22" s="6">
        <f t="shared" si="12"/>
        <v>2</v>
      </c>
      <c r="V22" s="6">
        <f t="shared" si="12"/>
        <v>0</v>
      </c>
      <c r="W22" s="6">
        <f t="shared" si="12"/>
        <v>0</v>
      </c>
      <c r="X22" s="6">
        <f t="shared" si="12"/>
        <v>0</v>
      </c>
      <c r="Y22" s="6">
        <f t="shared" si="12"/>
        <v>0</v>
      </c>
      <c r="Z22" s="6">
        <f t="shared" si="12"/>
        <v>0.7</v>
      </c>
      <c r="AA22" s="6">
        <f t="shared" si="12"/>
        <v>2</v>
      </c>
      <c r="AB22" s="6">
        <f t="shared" si="12"/>
        <v>0</v>
      </c>
      <c r="AC22" s="6">
        <f t="shared" si="12"/>
        <v>0</v>
      </c>
      <c r="AD22" s="6">
        <f t="shared" si="12"/>
        <v>0</v>
      </c>
      <c r="AE22" s="6">
        <f t="shared" si="12"/>
        <v>0</v>
      </c>
      <c r="AF22" s="6">
        <f t="shared" si="12"/>
        <v>0.6</v>
      </c>
      <c r="AG22" s="6">
        <f t="shared" si="12"/>
        <v>2</v>
      </c>
      <c r="AH22" s="6">
        <f t="shared" si="12"/>
        <v>0</v>
      </c>
      <c r="AI22" s="6">
        <f t="shared" si="12"/>
        <v>0</v>
      </c>
      <c r="AJ22" s="6">
        <f t="shared" si="12"/>
        <v>0</v>
      </c>
      <c r="AK22" s="6">
        <f t="shared" si="12"/>
        <v>0</v>
      </c>
      <c r="AL22" s="6">
        <f t="shared" si="12"/>
        <v>0.5</v>
      </c>
      <c r="AM22" s="6">
        <f t="shared" si="12"/>
        <v>2</v>
      </c>
      <c r="AN22" s="6">
        <f t="shared" si="12"/>
        <v>0</v>
      </c>
      <c r="AO22" s="6">
        <f t="shared" si="12"/>
        <v>0</v>
      </c>
      <c r="AP22" s="6">
        <f t="shared" si="12"/>
        <v>0</v>
      </c>
      <c r="AQ22" s="6">
        <f t="shared" si="12"/>
        <v>0</v>
      </c>
      <c r="AR22" s="6">
        <f t="shared" si="12"/>
        <v>0.4</v>
      </c>
      <c r="AS22" s="6">
        <f t="shared" si="12"/>
        <v>2</v>
      </c>
      <c r="AT22" s="6">
        <f t="shared" si="12"/>
        <v>0</v>
      </c>
      <c r="AU22" s="6">
        <f t="shared" si="12"/>
        <v>0</v>
      </c>
      <c r="AV22" s="6">
        <f t="shared" si="12"/>
        <v>0</v>
      </c>
      <c r="AW22" s="6">
        <f t="shared" si="12"/>
        <v>0</v>
      </c>
      <c r="AX22" s="6">
        <f t="shared" si="12"/>
        <v>0.3</v>
      </c>
      <c r="AY22" s="6">
        <f t="shared" si="12"/>
        <v>2</v>
      </c>
      <c r="AZ22" s="6">
        <f t="shared" si="12"/>
        <v>0</v>
      </c>
      <c r="BA22" s="6">
        <f t="shared" si="12"/>
        <v>0</v>
      </c>
      <c r="BB22" s="6">
        <f t="shared" si="12"/>
        <v>0</v>
      </c>
      <c r="BC22" s="6">
        <f t="shared" si="12"/>
        <v>0</v>
      </c>
      <c r="BD22" s="6">
        <f t="shared" si="12"/>
        <v>0.2</v>
      </c>
      <c r="BE22" s="6">
        <f t="shared" si="12"/>
        <v>2</v>
      </c>
      <c r="BF22" s="6">
        <f t="shared" si="12"/>
        <v>0</v>
      </c>
      <c r="BG22" s="6">
        <f t="shared" si="12"/>
        <v>0</v>
      </c>
      <c r="BH22" s="6">
        <f t="shared" si="12"/>
        <v>0</v>
      </c>
      <c r="BI22" s="6">
        <f t="shared" si="12"/>
        <v>0</v>
      </c>
      <c r="BJ22" s="6">
        <f t="shared" si="12"/>
        <v>0.1</v>
      </c>
      <c r="BK22" s="6">
        <f t="shared" si="12"/>
        <v>0</v>
      </c>
      <c r="BL22" s="6">
        <f t="shared" si="12"/>
        <v>0</v>
      </c>
      <c r="BM22" s="6">
        <f t="shared" si="12"/>
        <v>0</v>
      </c>
      <c r="BN22" s="6">
        <f t="shared" si="12"/>
        <v>0</v>
      </c>
      <c r="BO22" s="6">
        <f t="shared" si="12"/>
        <v>0</v>
      </c>
      <c r="BP22" s="6">
        <f aca="true" t="shared" si="13" ref="BP22:BY22">SUM(BP23:BP24)</f>
        <v>0</v>
      </c>
      <c r="BQ22" s="6">
        <f t="shared" si="13"/>
        <v>0</v>
      </c>
      <c r="BR22" s="6">
        <f t="shared" si="13"/>
        <v>0</v>
      </c>
      <c r="BS22" s="6">
        <f t="shared" si="13"/>
        <v>0</v>
      </c>
      <c r="BT22" s="6">
        <f t="shared" si="13"/>
        <v>0</v>
      </c>
      <c r="BU22" s="6">
        <f t="shared" si="13"/>
        <v>0</v>
      </c>
      <c r="BV22" s="6">
        <f t="shared" si="13"/>
        <v>0</v>
      </c>
      <c r="BW22" s="6">
        <f t="shared" si="13"/>
        <v>0</v>
      </c>
      <c r="BX22" s="6">
        <f t="shared" si="13"/>
        <v>0</v>
      </c>
      <c r="BY22" s="6">
        <f t="shared" si="13"/>
        <v>0</v>
      </c>
      <c r="BZ22" s="6">
        <f>SUM(BZ23:BZ24)</f>
        <v>0</v>
      </c>
    </row>
    <row r="23" spans="1:78" s="13" customFormat="1" ht="10.5">
      <c r="A23" s="10" t="s">
        <v>718</v>
      </c>
      <c r="B23" s="11">
        <f t="shared" si="5"/>
        <v>0</v>
      </c>
      <c r="C23" s="12">
        <f>-20+2</f>
        <v>-18</v>
      </c>
      <c r="D23" s="12"/>
      <c r="E23" s="12"/>
      <c r="F23" s="12"/>
      <c r="G23" s="12"/>
      <c r="H23" s="12"/>
      <c r="I23" s="12">
        <v>2</v>
      </c>
      <c r="J23" s="12"/>
      <c r="K23" s="12"/>
      <c r="L23" s="12"/>
      <c r="M23" s="12"/>
      <c r="N23" s="12"/>
      <c r="O23" s="12">
        <v>2</v>
      </c>
      <c r="P23" s="12"/>
      <c r="Q23" s="12"/>
      <c r="R23" s="12"/>
      <c r="S23" s="12"/>
      <c r="T23" s="12"/>
      <c r="U23" s="12">
        <v>2</v>
      </c>
      <c r="V23" s="12"/>
      <c r="W23" s="12"/>
      <c r="X23" s="12"/>
      <c r="Y23" s="12"/>
      <c r="Z23" s="12"/>
      <c r="AA23" s="12">
        <v>2</v>
      </c>
      <c r="AB23" s="12"/>
      <c r="AC23" s="12"/>
      <c r="AD23" s="12"/>
      <c r="AE23" s="12"/>
      <c r="AF23" s="12"/>
      <c r="AG23" s="12">
        <v>2</v>
      </c>
      <c r="AH23" s="12"/>
      <c r="AI23" s="12"/>
      <c r="AJ23" s="12"/>
      <c r="AK23" s="12"/>
      <c r="AL23" s="12"/>
      <c r="AM23" s="12">
        <v>2</v>
      </c>
      <c r="AN23" s="12"/>
      <c r="AO23" s="12"/>
      <c r="AP23" s="12"/>
      <c r="AQ23" s="12"/>
      <c r="AR23" s="12"/>
      <c r="AS23" s="12">
        <v>2</v>
      </c>
      <c r="AT23" s="12"/>
      <c r="AU23" s="12"/>
      <c r="AV23" s="12"/>
      <c r="AW23" s="12"/>
      <c r="AX23" s="12"/>
      <c r="AY23" s="12">
        <v>2</v>
      </c>
      <c r="AZ23" s="12"/>
      <c r="BA23" s="12"/>
      <c r="BB23" s="12"/>
      <c r="BC23" s="12"/>
      <c r="BD23" s="12"/>
      <c r="BE23" s="12">
        <v>2</v>
      </c>
      <c r="BF23" s="12"/>
      <c r="BG23" s="12"/>
      <c r="BH23" s="12"/>
      <c r="BI23" s="12"/>
      <c r="BJ23" s="12"/>
      <c r="BK23" s="12"/>
      <c r="BL23" s="12"/>
      <c r="BM23" s="12"/>
      <c r="BN23" s="12"/>
      <c r="BO23" s="12"/>
      <c r="BP23" s="12"/>
      <c r="BQ23" s="12"/>
      <c r="BR23" s="12"/>
      <c r="BS23" s="12"/>
      <c r="BT23" s="12"/>
      <c r="BU23" s="12"/>
      <c r="BV23" s="12"/>
      <c r="BW23" s="12"/>
      <c r="BX23" s="12"/>
      <c r="BY23" s="12"/>
      <c r="BZ23" s="12"/>
    </row>
    <row r="24" spans="1:78" s="13" customFormat="1" ht="10.5">
      <c r="A24" s="10" t="s">
        <v>719</v>
      </c>
      <c r="B24" s="11">
        <f t="shared" si="5"/>
        <v>5.5</v>
      </c>
      <c r="C24" s="12"/>
      <c r="D24" s="12"/>
      <c r="E24" s="12"/>
      <c r="F24" s="12"/>
      <c r="G24" s="12"/>
      <c r="H24" s="12">
        <v>1</v>
      </c>
      <c r="I24" s="12"/>
      <c r="J24" s="12"/>
      <c r="K24" s="12"/>
      <c r="L24" s="12"/>
      <c r="M24" s="12"/>
      <c r="N24" s="12">
        <v>0.9</v>
      </c>
      <c r="O24" s="12"/>
      <c r="P24" s="12"/>
      <c r="Q24" s="12"/>
      <c r="R24" s="12"/>
      <c r="S24" s="12"/>
      <c r="T24" s="12">
        <v>0.8</v>
      </c>
      <c r="U24" s="12"/>
      <c r="V24" s="12"/>
      <c r="W24" s="12"/>
      <c r="X24" s="12"/>
      <c r="Y24" s="12"/>
      <c r="Z24" s="12">
        <v>0.7</v>
      </c>
      <c r="AA24" s="12"/>
      <c r="AB24" s="12"/>
      <c r="AC24" s="12"/>
      <c r="AD24" s="12"/>
      <c r="AE24" s="12"/>
      <c r="AF24" s="12">
        <v>0.6</v>
      </c>
      <c r="AG24" s="12"/>
      <c r="AH24" s="12"/>
      <c r="AI24" s="12"/>
      <c r="AJ24" s="12"/>
      <c r="AK24" s="12"/>
      <c r="AL24" s="12">
        <v>0.5</v>
      </c>
      <c r="AM24" s="12"/>
      <c r="AN24" s="12"/>
      <c r="AO24" s="12"/>
      <c r="AP24" s="12"/>
      <c r="AQ24" s="12"/>
      <c r="AR24" s="12">
        <v>0.4</v>
      </c>
      <c r="AS24" s="12"/>
      <c r="AT24" s="12"/>
      <c r="AU24" s="12"/>
      <c r="AV24" s="12"/>
      <c r="AW24" s="12"/>
      <c r="AX24" s="12">
        <v>0.3</v>
      </c>
      <c r="AY24" s="12"/>
      <c r="AZ24" s="12"/>
      <c r="BA24" s="12"/>
      <c r="BB24" s="12"/>
      <c r="BC24" s="12"/>
      <c r="BD24" s="12">
        <v>0.2</v>
      </c>
      <c r="BE24" s="12"/>
      <c r="BF24" s="12"/>
      <c r="BG24" s="12"/>
      <c r="BH24" s="12"/>
      <c r="BI24" s="12"/>
      <c r="BJ24" s="12">
        <v>0.1</v>
      </c>
      <c r="BK24" s="12"/>
      <c r="BL24" s="12"/>
      <c r="BM24" s="12"/>
      <c r="BN24" s="12"/>
      <c r="BO24" s="12"/>
      <c r="BP24" s="12"/>
      <c r="BQ24" s="12"/>
      <c r="BR24" s="12"/>
      <c r="BS24" s="12"/>
      <c r="BT24" s="12"/>
      <c r="BU24" s="12"/>
      <c r="BV24" s="12"/>
      <c r="BW24" s="12"/>
      <c r="BX24" s="12"/>
      <c r="BY24" s="12"/>
      <c r="BZ24" s="12"/>
    </row>
    <row r="25" spans="1:78" ht="12.75">
      <c r="A25" s="3" t="s">
        <v>713</v>
      </c>
      <c r="B25" s="9">
        <f t="shared" si="5"/>
        <v>92.5</v>
      </c>
      <c r="C25" s="6">
        <f>C21-C22</f>
        <v>-16</v>
      </c>
      <c r="D25" s="6">
        <f aca="true" t="shared" si="14" ref="D25:BO25">D21-D22</f>
        <v>-6</v>
      </c>
      <c r="E25" s="6">
        <f t="shared" si="14"/>
        <v>-6</v>
      </c>
      <c r="F25" s="6">
        <f t="shared" si="14"/>
        <v>-14</v>
      </c>
      <c r="G25" s="6">
        <f t="shared" si="14"/>
        <v>2</v>
      </c>
      <c r="H25" s="6">
        <f t="shared" si="14"/>
        <v>1</v>
      </c>
      <c r="I25" s="6">
        <f t="shared" si="14"/>
        <v>0</v>
      </c>
      <c r="J25" s="6">
        <f t="shared" si="14"/>
        <v>2</v>
      </c>
      <c r="K25" s="6">
        <f t="shared" si="14"/>
        <v>2</v>
      </c>
      <c r="L25" s="6">
        <f t="shared" si="14"/>
        <v>2</v>
      </c>
      <c r="M25" s="6">
        <f t="shared" si="14"/>
        <v>2</v>
      </c>
      <c r="N25" s="6">
        <f t="shared" si="14"/>
        <v>1.1</v>
      </c>
      <c r="O25" s="6">
        <f t="shared" si="14"/>
        <v>0</v>
      </c>
      <c r="P25" s="6">
        <f t="shared" si="14"/>
        <v>2</v>
      </c>
      <c r="Q25" s="6">
        <f t="shared" si="14"/>
        <v>2</v>
      </c>
      <c r="R25" s="6">
        <f t="shared" si="14"/>
        <v>2</v>
      </c>
      <c r="S25" s="6">
        <f t="shared" si="14"/>
        <v>2</v>
      </c>
      <c r="T25" s="6">
        <f t="shared" si="14"/>
        <v>1.2</v>
      </c>
      <c r="U25" s="6">
        <f t="shared" si="14"/>
        <v>0</v>
      </c>
      <c r="V25" s="6">
        <f t="shared" si="14"/>
        <v>2</v>
      </c>
      <c r="W25" s="6">
        <f t="shared" si="14"/>
        <v>2</v>
      </c>
      <c r="X25" s="6">
        <f t="shared" si="14"/>
        <v>2</v>
      </c>
      <c r="Y25" s="6">
        <f t="shared" si="14"/>
        <v>2</v>
      </c>
      <c r="Z25" s="6">
        <f t="shared" si="14"/>
        <v>1.3</v>
      </c>
      <c r="AA25" s="6">
        <f t="shared" si="14"/>
        <v>0</v>
      </c>
      <c r="AB25" s="6">
        <f t="shared" si="14"/>
        <v>2</v>
      </c>
      <c r="AC25" s="6">
        <f t="shared" si="14"/>
        <v>2</v>
      </c>
      <c r="AD25" s="6">
        <f t="shared" si="14"/>
        <v>2</v>
      </c>
      <c r="AE25" s="6">
        <f t="shared" si="14"/>
        <v>2</v>
      </c>
      <c r="AF25" s="6">
        <f t="shared" si="14"/>
        <v>1.4</v>
      </c>
      <c r="AG25" s="6">
        <f t="shared" si="14"/>
        <v>0</v>
      </c>
      <c r="AH25" s="6">
        <f t="shared" si="14"/>
        <v>2</v>
      </c>
      <c r="AI25" s="6">
        <f t="shared" si="14"/>
        <v>2</v>
      </c>
      <c r="AJ25" s="6">
        <f t="shared" si="14"/>
        <v>2</v>
      </c>
      <c r="AK25" s="6">
        <f t="shared" si="14"/>
        <v>2</v>
      </c>
      <c r="AL25" s="6">
        <f t="shared" si="14"/>
        <v>1.5</v>
      </c>
      <c r="AM25" s="6">
        <f t="shared" si="14"/>
        <v>0</v>
      </c>
      <c r="AN25" s="6">
        <f t="shared" si="14"/>
        <v>2</v>
      </c>
      <c r="AO25" s="6">
        <f t="shared" si="14"/>
        <v>2</v>
      </c>
      <c r="AP25" s="6">
        <f t="shared" si="14"/>
        <v>2</v>
      </c>
      <c r="AQ25" s="6">
        <f t="shared" si="14"/>
        <v>2</v>
      </c>
      <c r="AR25" s="6">
        <f t="shared" si="14"/>
        <v>1.6</v>
      </c>
      <c r="AS25" s="6">
        <f t="shared" si="14"/>
        <v>0</v>
      </c>
      <c r="AT25" s="6">
        <f t="shared" si="14"/>
        <v>2</v>
      </c>
      <c r="AU25" s="6">
        <f t="shared" si="14"/>
        <v>2</v>
      </c>
      <c r="AV25" s="6">
        <f t="shared" si="14"/>
        <v>2</v>
      </c>
      <c r="AW25" s="6">
        <f t="shared" si="14"/>
        <v>2</v>
      </c>
      <c r="AX25" s="6">
        <f t="shared" si="14"/>
        <v>1.7</v>
      </c>
      <c r="AY25" s="6">
        <f t="shared" si="14"/>
        <v>0</v>
      </c>
      <c r="AZ25" s="6">
        <f t="shared" si="14"/>
        <v>2</v>
      </c>
      <c r="BA25" s="6">
        <f t="shared" si="14"/>
        <v>2</v>
      </c>
      <c r="BB25" s="6">
        <f t="shared" si="14"/>
        <v>2</v>
      </c>
      <c r="BC25" s="6">
        <f t="shared" si="14"/>
        <v>2</v>
      </c>
      <c r="BD25" s="6">
        <f t="shared" si="14"/>
        <v>1.8</v>
      </c>
      <c r="BE25" s="6">
        <f t="shared" si="14"/>
        <v>0</v>
      </c>
      <c r="BF25" s="6">
        <f t="shared" si="14"/>
        <v>2</v>
      </c>
      <c r="BG25" s="6">
        <f t="shared" si="14"/>
        <v>2</v>
      </c>
      <c r="BH25" s="6">
        <f t="shared" si="14"/>
        <v>2</v>
      </c>
      <c r="BI25" s="6">
        <f t="shared" si="14"/>
        <v>2</v>
      </c>
      <c r="BJ25" s="6">
        <f t="shared" si="14"/>
        <v>1.9</v>
      </c>
      <c r="BK25" s="6">
        <f t="shared" si="14"/>
        <v>2</v>
      </c>
      <c r="BL25" s="6">
        <f t="shared" si="14"/>
        <v>2</v>
      </c>
      <c r="BM25" s="6">
        <f t="shared" si="14"/>
        <v>2</v>
      </c>
      <c r="BN25" s="6">
        <f t="shared" si="14"/>
        <v>2</v>
      </c>
      <c r="BO25" s="6">
        <f t="shared" si="14"/>
        <v>2</v>
      </c>
      <c r="BP25" s="6">
        <f aca="true" t="shared" si="15" ref="BP25:BY25">BP21-BP22</f>
        <v>2</v>
      </c>
      <c r="BQ25" s="6">
        <f t="shared" si="15"/>
        <v>2</v>
      </c>
      <c r="BR25" s="6">
        <f t="shared" si="15"/>
        <v>2</v>
      </c>
      <c r="BS25" s="6">
        <f t="shared" si="15"/>
        <v>2</v>
      </c>
      <c r="BT25" s="6">
        <f t="shared" si="15"/>
        <v>2</v>
      </c>
      <c r="BU25" s="6">
        <f t="shared" si="15"/>
        <v>2</v>
      </c>
      <c r="BV25" s="6">
        <f t="shared" si="15"/>
        <v>2</v>
      </c>
      <c r="BW25" s="6">
        <f t="shared" si="15"/>
        <v>6</v>
      </c>
      <c r="BX25" s="6">
        <f t="shared" si="15"/>
        <v>8</v>
      </c>
      <c r="BY25" s="6">
        <f t="shared" si="15"/>
        <v>8</v>
      </c>
      <c r="BZ25" s="6">
        <f>BZ21-BZ22</f>
        <v>8</v>
      </c>
    </row>
    <row r="27" spans="1:9" ht="12.75">
      <c r="A27" s="2" t="s">
        <v>720</v>
      </c>
      <c r="B27" s="2" t="s">
        <v>717</v>
      </c>
      <c r="C27" s="14">
        <v>1</v>
      </c>
      <c r="D27" s="14">
        <v>2</v>
      </c>
      <c r="E27" s="14">
        <v>3</v>
      </c>
      <c r="F27" s="14">
        <v>4</v>
      </c>
      <c r="G27" s="14">
        <v>5</v>
      </c>
      <c r="H27" s="14">
        <v>6</v>
      </c>
      <c r="I27" s="14">
        <v>7</v>
      </c>
    </row>
    <row r="28" spans="1:9" ht="12.75">
      <c r="A28" s="3" t="s">
        <v>858</v>
      </c>
      <c r="B28" s="17">
        <f aca="true" t="shared" si="16" ref="B28:B39">SUM(C28:I28)</f>
        <v>852</v>
      </c>
      <c r="C28" s="6">
        <f aca="true" t="shared" si="17" ref="C28:C39">SUMIF($C$12:$BY$12,C$27,$C14:$BY14)</f>
        <v>96</v>
      </c>
      <c r="D28" s="6">
        <f aca="true" t="shared" si="18" ref="D28:H29">SUMIF($C$12:$BY$12,D$27,$C14:$BY14)</f>
        <v>144</v>
      </c>
      <c r="E28" s="6">
        <f t="shared" si="18"/>
        <v>144</v>
      </c>
      <c r="F28" s="6">
        <f t="shared" si="18"/>
        <v>144</v>
      </c>
      <c r="G28" s="6">
        <f t="shared" si="18"/>
        <v>144</v>
      </c>
      <c r="H28" s="6">
        <f t="shared" si="18"/>
        <v>144</v>
      </c>
      <c r="I28" s="6">
        <f>SUMIF($C$12:$BY$12,I$27,$C14:$BY14)</f>
        <v>36</v>
      </c>
    </row>
    <row r="29" spans="1:9" ht="12.75">
      <c r="A29" s="3" t="s">
        <v>708</v>
      </c>
      <c r="B29" s="18">
        <f t="shared" si="16"/>
        <v>724</v>
      </c>
      <c r="C29" s="6">
        <f t="shared" si="17"/>
        <v>110</v>
      </c>
      <c r="D29" s="6">
        <f t="shared" si="18"/>
        <v>120</v>
      </c>
      <c r="E29" s="6">
        <f t="shared" si="18"/>
        <v>120</v>
      </c>
      <c r="F29" s="6">
        <f t="shared" si="18"/>
        <v>120</v>
      </c>
      <c r="G29" s="6">
        <f t="shared" si="18"/>
        <v>120</v>
      </c>
      <c r="H29" s="6">
        <f t="shared" si="18"/>
        <v>120</v>
      </c>
      <c r="I29" s="6">
        <f>SUMIF($C$12:$BY$12,I$27,$C15:$BY15)</f>
        <v>14</v>
      </c>
    </row>
    <row r="30" spans="1:78" s="13" customFormat="1" ht="10.5">
      <c r="A30" s="10" t="s">
        <v>881</v>
      </c>
      <c r="B30" s="11"/>
      <c r="C30" s="12">
        <f t="shared" si="17"/>
        <v>40</v>
      </c>
      <c r="D30" s="12">
        <f aca="true" t="shared" si="19" ref="D30:E32">SUMIF($C$12:$BY$12,D$27,$C16:$BY16)</f>
        <v>48</v>
      </c>
      <c r="E30" s="12">
        <f t="shared" si="19"/>
        <v>48</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row>
    <row r="31" spans="1:78" s="13" customFormat="1" ht="10.5">
      <c r="A31" s="10" t="s">
        <v>716</v>
      </c>
      <c r="B31" s="11"/>
      <c r="C31" s="12">
        <f t="shared" si="17"/>
        <v>22</v>
      </c>
      <c r="D31" s="12">
        <f t="shared" si="19"/>
        <v>24</v>
      </c>
      <c r="E31" s="12">
        <f t="shared" si="19"/>
        <v>24</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row>
    <row r="32" spans="1:78" s="13" customFormat="1" ht="10.5">
      <c r="A32" s="10" t="s">
        <v>715</v>
      </c>
      <c r="B32" s="11"/>
      <c r="C32" s="12">
        <f t="shared" si="17"/>
        <v>48</v>
      </c>
      <c r="D32" s="12">
        <f t="shared" si="19"/>
        <v>48</v>
      </c>
      <c r="E32" s="12">
        <f t="shared" si="19"/>
        <v>48</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row>
    <row r="33" spans="1:9" ht="12.75">
      <c r="A33" s="2" t="s">
        <v>709</v>
      </c>
      <c r="B33" s="18">
        <f t="shared" si="16"/>
        <v>128</v>
      </c>
      <c r="C33" s="6">
        <f t="shared" si="17"/>
        <v>-14</v>
      </c>
      <c r="D33" s="6">
        <f aca="true" t="shared" si="20" ref="D33:I36">SUMIF($C$12:$BY$12,D$27,$C19:$BY19)</f>
        <v>24</v>
      </c>
      <c r="E33" s="6">
        <f t="shared" si="20"/>
        <v>24</v>
      </c>
      <c r="F33" s="6">
        <f t="shared" si="20"/>
        <v>24</v>
      </c>
      <c r="G33" s="6">
        <f t="shared" si="20"/>
        <v>24</v>
      </c>
      <c r="H33" s="6">
        <f t="shared" si="20"/>
        <v>24</v>
      </c>
      <c r="I33" s="6">
        <f t="shared" si="20"/>
        <v>22</v>
      </c>
    </row>
    <row r="34" spans="1:9" ht="12.75">
      <c r="A34" s="3" t="s">
        <v>710</v>
      </c>
      <c r="B34" s="18">
        <f t="shared" si="16"/>
        <v>-30</v>
      </c>
      <c r="C34" s="6">
        <f t="shared" si="17"/>
        <v>-30</v>
      </c>
      <c r="D34" s="6">
        <f t="shared" si="20"/>
        <v>0</v>
      </c>
      <c r="E34" s="6">
        <f t="shared" si="20"/>
        <v>0</v>
      </c>
      <c r="F34" s="6">
        <f t="shared" si="20"/>
        <v>0</v>
      </c>
      <c r="G34" s="6">
        <f t="shared" si="20"/>
        <v>0</v>
      </c>
      <c r="H34" s="6">
        <f t="shared" si="20"/>
        <v>0</v>
      </c>
      <c r="I34" s="6">
        <f t="shared" si="20"/>
        <v>0</v>
      </c>
    </row>
    <row r="35" spans="1:9" ht="12.75">
      <c r="A35" s="2" t="s">
        <v>711</v>
      </c>
      <c r="B35" s="18">
        <f t="shared" si="16"/>
        <v>98</v>
      </c>
      <c r="C35" s="6">
        <f t="shared" si="17"/>
        <v>-44</v>
      </c>
      <c r="D35" s="6">
        <f t="shared" si="20"/>
        <v>24</v>
      </c>
      <c r="E35" s="6">
        <f t="shared" si="20"/>
        <v>24</v>
      </c>
      <c r="F35" s="6">
        <f t="shared" si="20"/>
        <v>24</v>
      </c>
      <c r="G35" s="6">
        <f t="shared" si="20"/>
        <v>24</v>
      </c>
      <c r="H35" s="6">
        <f t="shared" si="20"/>
        <v>24</v>
      </c>
      <c r="I35" s="6">
        <f t="shared" si="20"/>
        <v>22</v>
      </c>
    </row>
    <row r="36" spans="1:9" ht="12.75">
      <c r="A36" s="3" t="s">
        <v>712</v>
      </c>
      <c r="B36" s="18">
        <f t="shared" si="16"/>
        <v>5.5</v>
      </c>
      <c r="C36" s="6">
        <f t="shared" si="17"/>
        <v>-14.1</v>
      </c>
      <c r="D36" s="6">
        <f t="shared" si="20"/>
        <v>5.5</v>
      </c>
      <c r="E36" s="6">
        <f t="shared" si="20"/>
        <v>5.1</v>
      </c>
      <c r="F36" s="6">
        <f t="shared" si="20"/>
        <v>4.7</v>
      </c>
      <c r="G36" s="6">
        <f t="shared" si="20"/>
        <v>4.3</v>
      </c>
      <c r="H36" s="6">
        <f t="shared" si="20"/>
        <v>0</v>
      </c>
      <c r="I36" s="6">
        <f t="shared" si="20"/>
        <v>0</v>
      </c>
    </row>
    <row r="37" spans="1:78" s="13" customFormat="1" ht="10.5">
      <c r="A37" s="10" t="s">
        <v>718</v>
      </c>
      <c r="B37" s="11"/>
      <c r="C37" s="12">
        <f t="shared" si="17"/>
        <v>-16</v>
      </c>
      <c r="D37" s="12">
        <f aca="true" t="shared" si="21" ref="D37:E39">SUMIF($C$12:$BY$12,D$27,$C23:$BY23)</f>
        <v>4</v>
      </c>
      <c r="E37" s="12">
        <f t="shared" si="21"/>
        <v>4</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13" customFormat="1" ht="10.5">
      <c r="A38" s="10" t="s">
        <v>719</v>
      </c>
      <c r="B38" s="11"/>
      <c r="C38" s="12">
        <f t="shared" si="17"/>
        <v>1.9</v>
      </c>
      <c r="D38" s="12">
        <f t="shared" si="21"/>
        <v>1.5</v>
      </c>
      <c r="E38" s="12">
        <f t="shared" si="21"/>
        <v>1.1</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9" ht="12.75">
      <c r="A39" s="3" t="s">
        <v>713</v>
      </c>
      <c r="B39" s="19">
        <f t="shared" si="16"/>
        <v>92.5</v>
      </c>
      <c r="C39" s="6">
        <f t="shared" si="17"/>
        <v>-29.9</v>
      </c>
      <c r="D39" s="6">
        <f t="shared" si="21"/>
        <v>18.5</v>
      </c>
      <c r="E39" s="6">
        <f t="shared" si="21"/>
        <v>18.9</v>
      </c>
      <c r="F39" s="6">
        <f>SUMIF($C$12:$BY$12,F$27,$C25:$BY25)</f>
        <v>19.3</v>
      </c>
      <c r="G39" s="6">
        <f>SUMIF($C$12:$BY$12,G$27,$C25:$BY25)</f>
        <v>19.7</v>
      </c>
      <c r="H39" s="6">
        <f>SUMIF($C$12:$BY$12,H$27,$C25:$BY25)</f>
        <v>24</v>
      </c>
      <c r="I39" s="6">
        <f>SUMIF($C$12:$BY$12,I$27,$C25:$BY25)</f>
        <v>22</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90" r:id="rId1"/>
  <headerFooter alignWithMargins="0">
    <oddFooter>&amp;L&amp;"Verdana,Italique"&amp;9&amp;F - &amp;A&amp;C&amp;P / &amp;N&amp;R&amp;"Verdana,Italique"&amp;9&amp;D - &amp;T</oddFooter>
  </headerFooter>
</worksheet>
</file>

<file path=xl/worksheets/sheet10.xml><?xml version="1.0" encoding="utf-8"?>
<worksheet xmlns="http://schemas.openxmlformats.org/spreadsheetml/2006/main" xmlns:r="http://schemas.openxmlformats.org/officeDocument/2006/relationships">
  <sheetPr codeName="Feuil10">
    <pageSetUpPr fitToPage="1"/>
  </sheetPr>
  <dimension ref="A1:F92"/>
  <sheetViews>
    <sheetView showGridLines="0" zoomScale="75" zoomScaleNormal="75" workbookViewId="0" topLeftCell="A1">
      <selection activeCell="A1" sqref="A1"/>
    </sheetView>
  </sheetViews>
  <sheetFormatPr defaultColWidth="11.00390625" defaultRowHeight="12.75"/>
  <cols>
    <col min="1" max="1" width="32.00390625" style="0" bestFit="1" customWidth="1"/>
  </cols>
  <sheetData>
    <row r="1" spans="1:2" ht="14.25">
      <c r="A1" s="41" t="s">
        <v>1169</v>
      </c>
      <c r="B1" s="4" t="s">
        <v>1280</v>
      </c>
    </row>
    <row r="2" spans="1:2" ht="14.25">
      <c r="A2" s="41"/>
      <c r="B2" s="4"/>
    </row>
    <row r="3" spans="1:2" ht="12.75">
      <c r="A3" t="s">
        <v>906</v>
      </c>
      <c r="B3">
        <v>100</v>
      </c>
    </row>
    <row r="4" spans="1:2" ht="12.75">
      <c r="A4" t="s">
        <v>1189</v>
      </c>
      <c r="B4">
        <v>30</v>
      </c>
    </row>
    <row r="5" spans="1:2" ht="12.75">
      <c r="A5" t="s">
        <v>1268</v>
      </c>
      <c r="B5">
        <v>40</v>
      </c>
    </row>
    <row r="6" spans="1:2" ht="12.75">
      <c r="A6" t="s">
        <v>1269</v>
      </c>
      <c r="B6" s="78">
        <v>20</v>
      </c>
    </row>
    <row r="8" ht="12.75">
      <c r="A8" s="1" t="s">
        <v>1270</v>
      </c>
    </row>
    <row r="9" spans="1:4" ht="12.75">
      <c r="A9" t="s">
        <v>1271</v>
      </c>
      <c r="B9">
        <v>15</v>
      </c>
      <c r="C9" t="s">
        <v>1272</v>
      </c>
      <c r="D9" s="90" t="s">
        <v>1286</v>
      </c>
    </row>
    <row r="10" spans="1:4" ht="12.75">
      <c r="A10" t="s">
        <v>1273</v>
      </c>
      <c r="B10">
        <v>1</v>
      </c>
      <c r="C10" t="s">
        <v>1275</v>
      </c>
      <c r="D10">
        <v>30</v>
      </c>
    </row>
    <row r="11" spans="1:3" ht="12.75">
      <c r="A11" s="22" t="s">
        <v>1278</v>
      </c>
      <c r="B11" s="88">
        <v>1</v>
      </c>
      <c r="C11" s="13" t="s">
        <v>1275</v>
      </c>
    </row>
    <row r="12" spans="1:3" ht="12.75">
      <c r="A12" s="22" t="s">
        <v>1282</v>
      </c>
      <c r="B12" s="13">
        <v>15</v>
      </c>
      <c r="C12" s="13" t="s">
        <v>1272</v>
      </c>
    </row>
    <row r="13" spans="1:3" ht="12.75">
      <c r="A13" t="s">
        <v>1274</v>
      </c>
      <c r="B13">
        <v>15</v>
      </c>
      <c r="C13" t="s">
        <v>1272</v>
      </c>
    </row>
    <row r="15" ht="12.75">
      <c r="A15" s="1" t="s">
        <v>1276</v>
      </c>
    </row>
    <row r="16" spans="1:3" ht="12.75">
      <c r="A16" t="s">
        <v>928</v>
      </c>
      <c r="B16">
        <v>2</v>
      </c>
      <c r="C16" t="s">
        <v>1275</v>
      </c>
    </row>
    <row r="17" spans="1:3" ht="12.75">
      <c r="A17" t="s">
        <v>1277</v>
      </c>
      <c r="B17">
        <v>1</v>
      </c>
      <c r="C17" t="s">
        <v>1275</v>
      </c>
    </row>
    <row r="19" spans="2:4" ht="27">
      <c r="B19" s="86" t="s">
        <v>1283</v>
      </c>
      <c r="C19" s="94" t="s">
        <v>1284</v>
      </c>
      <c r="D19" s="86" t="s">
        <v>314</v>
      </c>
    </row>
    <row r="20" spans="1:4" ht="12.75">
      <c r="A20" t="s">
        <v>1285</v>
      </c>
      <c r="B20" s="25">
        <f>B4/B3</f>
        <v>0.3</v>
      </c>
      <c r="C20" s="87">
        <f>B9</f>
        <v>15</v>
      </c>
      <c r="D20" s="87">
        <f>B20*C20</f>
        <v>4.5</v>
      </c>
    </row>
    <row r="21" spans="1:2" ht="12.75">
      <c r="A21" t="s">
        <v>1281</v>
      </c>
      <c r="B21" s="25"/>
    </row>
    <row r="22" spans="1:4" ht="12.75">
      <c r="A22" s="22" t="s">
        <v>1278</v>
      </c>
      <c r="B22" s="91">
        <f>B4/B3</f>
        <v>0.3</v>
      </c>
      <c r="C22" s="13">
        <f>B11*Jours</f>
        <v>30</v>
      </c>
      <c r="D22" s="13">
        <f>B22*C22</f>
        <v>9</v>
      </c>
    </row>
    <row r="23" spans="1:4" ht="12.75">
      <c r="A23" s="22" t="s">
        <v>1282</v>
      </c>
      <c r="B23" s="91">
        <f>B5/B3</f>
        <v>0.4</v>
      </c>
      <c r="C23" s="13">
        <f>B12</f>
        <v>15</v>
      </c>
      <c r="D23" s="13">
        <f>B23*C23</f>
        <v>6</v>
      </c>
    </row>
    <row r="24" spans="1:4" ht="12.75">
      <c r="A24" t="s">
        <v>889</v>
      </c>
      <c r="B24" s="25">
        <f>(B4+B5+B6)/B3</f>
        <v>0.9</v>
      </c>
      <c r="C24">
        <f>B13</f>
        <v>15</v>
      </c>
      <c r="D24">
        <f>B24*C24</f>
        <v>13.5</v>
      </c>
    </row>
    <row r="25" spans="1:4" ht="12.75">
      <c r="A25" s="55" t="s">
        <v>1279</v>
      </c>
      <c r="B25" s="278">
        <f>B3/B3</f>
        <v>1</v>
      </c>
      <c r="C25" s="55">
        <f>B17*Jours</f>
        <v>30</v>
      </c>
      <c r="D25" s="55">
        <f>B25*C25</f>
        <v>30</v>
      </c>
    </row>
    <row r="26" spans="1:4" ht="12.75">
      <c r="A26" s="33" t="s">
        <v>1024</v>
      </c>
      <c r="B26" s="92">
        <f>-B4/B3</f>
        <v>-0.3</v>
      </c>
      <c r="C26" s="178">
        <f>B16*Jours</f>
        <v>60</v>
      </c>
      <c r="D26" s="178">
        <f>B26*C26</f>
        <v>-18</v>
      </c>
    </row>
    <row r="27" spans="1:4" ht="12.75">
      <c r="A27" s="89" t="s">
        <v>717</v>
      </c>
      <c r="D27" s="87">
        <f>SUM(D20:D26)</f>
        <v>45</v>
      </c>
    </row>
    <row r="29" ht="14.25">
      <c r="A29" s="41" t="s">
        <v>847</v>
      </c>
    </row>
    <row r="30" ht="14.25">
      <c r="A30" s="41"/>
    </row>
    <row r="31" spans="1:3" ht="12.75">
      <c r="A31" t="s">
        <v>1287</v>
      </c>
      <c r="B31" s="25">
        <v>0.25</v>
      </c>
      <c r="C31" t="s">
        <v>3</v>
      </c>
    </row>
    <row r="32" spans="1:2" ht="12.75">
      <c r="A32" t="s">
        <v>1288</v>
      </c>
      <c r="B32">
        <v>100</v>
      </c>
    </row>
    <row r="33" spans="1:2" ht="12.75">
      <c r="A33" t="s">
        <v>1289</v>
      </c>
      <c r="B33">
        <v>120</v>
      </c>
    </row>
    <row r="34" spans="1:3" ht="12.75">
      <c r="A34" t="s">
        <v>1290</v>
      </c>
      <c r="B34" s="47">
        <v>0.15</v>
      </c>
      <c r="C34" t="s">
        <v>3</v>
      </c>
    </row>
    <row r="36" spans="1:2" ht="25.5">
      <c r="A36" s="3" t="s">
        <v>1291</v>
      </c>
      <c r="B36">
        <f>B34*B33-B31*(B33-B32)</f>
        <v>13</v>
      </c>
    </row>
    <row r="38" ht="14.25">
      <c r="A38" s="41" t="s">
        <v>4</v>
      </c>
    </row>
    <row r="39" ht="14.25">
      <c r="A39" s="41"/>
    </row>
    <row r="40" spans="1:6" ht="12.75">
      <c r="A40" s="1" t="s">
        <v>1167</v>
      </c>
      <c r="B40" s="4">
        <v>1</v>
      </c>
      <c r="C40" s="4">
        <v>2</v>
      </c>
      <c r="D40" s="4">
        <v>3</v>
      </c>
      <c r="E40" s="4">
        <v>4</v>
      </c>
      <c r="F40" s="4">
        <v>5</v>
      </c>
    </row>
    <row r="41" spans="1:6" ht="12.75">
      <c r="A41" t="s">
        <v>1292</v>
      </c>
      <c r="B41" s="6">
        <v>6.1</v>
      </c>
      <c r="C41" s="6">
        <v>7.4</v>
      </c>
      <c r="D41" s="6">
        <v>9.1</v>
      </c>
      <c r="E41" s="6">
        <v>13</v>
      </c>
      <c r="F41" s="6">
        <v>15.4</v>
      </c>
    </row>
    <row r="42" spans="1:6" ht="12.75">
      <c r="A42" t="s">
        <v>1293</v>
      </c>
      <c r="B42" s="6">
        <v>6.4</v>
      </c>
      <c r="C42" s="6">
        <v>8.9</v>
      </c>
      <c r="D42" s="6">
        <v>10.5</v>
      </c>
      <c r="E42" s="6">
        <v>11.1</v>
      </c>
      <c r="F42" s="6">
        <v>11.6</v>
      </c>
    </row>
    <row r="43" spans="1:6" ht="12.75">
      <c r="A43" t="s">
        <v>1294</v>
      </c>
      <c r="B43" s="6">
        <v>2.1</v>
      </c>
      <c r="C43" s="6">
        <v>3.5</v>
      </c>
      <c r="D43" s="6">
        <v>3.5</v>
      </c>
      <c r="E43" s="6">
        <v>3.8</v>
      </c>
      <c r="F43" s="6">
        <v>3.4</v>
      </c>
    </row>
    <row r="45" ht="12.75">
      <c r="A45" s="1" t="s">
        <v>1295</v>
      </c>
    </row>
    <row r="46" spans="1:6" ht="12.75">
      <c r="A46" t="s">
        <v>1296</v>
      </c>
      <c r="B46" s="6">
        <v>32.8</v>
      </c>
      <c r="C46" s="6">
        <v>44.7</v>
      </c>
      <c r="D46" s="6">
        <v>49.4</v>
      </c>
      <c r="E46" s="6">
        <v>48.9</v>
      </c>
      <c r="F46" s="6">
        <v>50</v>
      </c>
    </row>
    <row r="47" spans="1:6" ht="12.75">
      <c r="A47" t="s">
        <v>1297</v>
      </c>
      <c r="B47" s="6">
        <v>38.9</v>
      </c>
      <c r="C47" s="6">
        <v>52.6</v>
      </c>
      <c r="D47" s="6">
        <v>58.1</v>
      </c>
      <c r="E47" s="6">
        <v>57.4</v>
      </c>
      <c r="F47" s="6">
        <v>57.2</v>
      </c>
    </row>
    <row r="48" spans="1:6" ht="12.75">
      <c r="A48" t="s">
        <v>1298</v>
      </c>
      <c r="B48" s="6">
        <v>12.5</v>
      </c>
      <c r="C48" s="6">
        <v>19.2</v>
      </c>
      <c r="D48" s="6">
        <v>19.6</v>
      </c>
      <c r="E48" s="6">
        <v>20.9</v>
      </c>
      <c r="F48" s="6">
        <v>20.4</v>
      </c>
    </row>
    <row r="50" ht="12.75">
      <c r="A50" s="1" t="s">
        <v>1191</v>
      </c>
    </row>
    <row r="51" spans="1:6" ht="12.75">
      <c r="A51" t="s">
        <v>969</v>
      </c>
      <c r="B51" s="6">
        <f>B41+B42-B43</f>
        <v>10.4</v>
      </c>
      <c r="C51" s="6">
        <f>C41+C42-C43</f>
        <v>12.8</v>
      </c>
      <c r="D51" s="6">
        <f>D41+D42-D43</f>
        <v>16.1</v>
      </c>
      <c r="E51" s="6">
        <f>E41+E42-E43</f>
        <v>20.3</v>
      </c>
      <c r="F51" s="6">
        <f>F41+F42-F43</f>
        <v>23.6</v>
      </c>
    </row>
    <row r="52" spans="1:6" ht="12.75">
      <c r="A52" t="s">
        <v>1300</v>
      </c>
      <c r="B52" s="120">
        <f>B51/B46*365</f>
        <v>115.73170731707319</v>
      </c>
      <c r="C52" s="120">
        <f>C51/C46*365</f>
        <v>104.51901565995526</v>
      </c>
      <c r="D52" s="120">
        <f>D51/D46*365</f>
        <v>118.95748987854252</v>
      </c>
      <c r="E52" s="120">
        <f>E51/E46*365</f>
        <v>151.5235173824131</v>
      </c>
      <c r="F52" s="120">
        <f>F51/F46*365</f>
        <v>172.28</v>
      </c>
    </row>
    <row r="53" spans="1:6" ht="12.75">
      <c r="A53" t="s">
        <v>1170</v>
      </c>
      <c r="B53" s="258">
        <f>B42/B47*365</f>
        <v>60.051413881748076</v>
      </c>
      <c r="C53" s="258">
        <f>C42/C47*365</f>
        <v>61.75855513307985</v>
      </c>
      <c r="D53" s="258">
        <f>D42/D47*365</f>
        <v>65.96385542168674</v>
      </c>
      <c r="E53" s="258">
        <f>E42/E47*365</f>
        <v>70.58362369337979</v>
      </c>
      <c r="F53" s="258">
        <f>F42/F47*365</f>
        <v>74.02097902097901</v>
      </c>
    </row>
    <row r="54" spans="1:6" ht="12.75">
      <c r="A54" t="s">
        <v>1171</v>
      </c>
      <c r="B54" s="258">
        <f>B41/B46*365</f>
        <v>67.8810975609756</v>
      </c>
      <c r="C54" s="258">
        <f>C41/C46*365</f>
        <v>60.42505592841163</v>
      </c>
      <c r="D54" s="258">
        <f>D41/D46*365</f>
        <v>67.23684210526315</v>
      </c>
      <c r="E54" s="258">
        <f>E41/E46*365</f>
        <v>97.03476482617586</v>
      </c>
      <c r="F54" s="258">
        <f>F41/F46*365</f>
        <v>112.42</v>
      </c>
    </row>
    <row r="55" spans="1:6" ht="12.75">
      <c r="A55" t="s">
        <v>1172</v>
      </c>
      <c r="B55" s="258">
        <f>B43/B48*365</f>
        <v>61.32</v>
      </c>
      <c r="C55" s="258">
        <f>C43/C48*365</f>
        <v>66.53645833333334</v>
      </c>
      <c r="D55" s="258">
        <f>D43/D48*365</f>
        <v>65.17857142857142</v>
      </c>
      <c r="E55" s="258">
        <f>E43/E48*365</f>
        <v>66.36363636363636</v>
      </c>
      <c r="F55" s="258">
        <f>F43/F48*365</f>
        <v>60.83333333333334</v>
      </c>
    </row>
    <row r="57" ht="14.25">
      <c r="A57" s="20" t="s">
        <v>1301</v>
      </c>
    </row>
    <row r="58" spans="1:3" ht="12.75">
      <c r="A58" t="s">
        <v>1302</v>
      </c>
      <c r="B58">
        <v>4</v>
      </c>
      <c r="C58" t="s">
        <v>1303</v>
      </c>
    </row>
    <row r="59" spans="1:3" ht="12.75">
      <c r="A59" t="s">
        <v>1304</v>
      </c>
      <c r="B59" s="47">
        <v>0.6</v>
      </c>
      <c r="C59" t="s">
        <v>1305</v>
      </c>
    </row>
    <row r="60" spans="1:3" ht="12.75">
      <c r="A60" t="s">
        <v>1306</v>
      </c>
      <c r="B60">
        <v>45</v>
      </c>
      <c r="C60" t="s">
        <v>1307</v>
      </c>
    </row>
    <row r="61" spans="1:3" ht="12.75">
      <c r="A61" t="s">
        <v>1308</v>
      </c>
      <c r="B61">
        <v>30</v>
      </c>
      <c r="C61" t="s">
        <v>1272</v>
      </c>
    </row>
    <row r="62" spans="1:3" ht="12.75">
      <c r="A62" t="s">
        <v>1309</v>
      </c>
      <c r="B62" s="47">
        <v>0.1</v>
      </c>
      <c r="C62" t="s">
        <v>1305</v>
      </c>
    </row>
    <row r="63" spans="1:5" ht="12.75">
      <c r="A63" t="s">
        <v>870</v>
      </c>
      <c r="B63" s="47">
        <v>0.5</v>
      </c>
      <c r="C63" t="s">
        <v>1312</v>
      </c>
      <c r="D63">
        <v>15</v>
      </c>
      <c r="E63" t="s">
        <v>1311</v>
      </c>
    </row>
    <row r="64" spans="1:5" ht="12.75">
      <c r="A64" t="s">
        <v>1310</v>
      </c>
      <c r="B64" s="95">
        <v>0.196</v>
      </c>
      <c r="C64" t="s">
        <v>1313</v>
      </c>
      <c r="D64">
        <v>25</v>
      </c>
      <c r="E64" t="s">
        <v>1311</v>
      </c>
    </row>
    <row r="66" spans="1:4" ht="27">
      <c r="A66" s="4" t="s">
        <v>969</v>
      </c>
      <c r="B66" s="86" t="s">
        <v>1283</v>
      </c>
      <c r="C66" s="94" t="s">
        <v>1284</v>
      </c>
      <c r="D66" s="86" t="s">
        <v>314</v>
      </c>
    </row>
    <row r="67" spans="1:4" ht="12.75">
      <c r="A67" t="s">
        <v>1024</v>
      </c>
      <c r="B67" s="170">
        <f>-B59*(1+TVA)</f>
        <v>-0.7175999999999999</v>
      </c>
      <c r="C67" s="6">
        <f>B61</f>
        <v>30</v>
      </c>
      <c r="D67" s="6">
        <f aca="true" t="shared" si="0" ref="D67:D72">B67*C67</f>
        <v>-21.528</v>
      </c>
    </row>
    <row r="68" spans="1:4" ht="12.75">
      <c r="A68" t="s">
        <v>6</v>
      </c>
      <c r="B68" s="96">
        <f>-B62</f>
        <v>-0.1</v>
      </c>
      <c r="C68" s="6">
        <v>15</v>
      </c>
      <c r="D68" s="6">
        <f t="shared" si="0"/>
        <v>-1.5</v>
      </c>
    </row>
    <row r="69" spans="1:4" ht="12.75">
      <c r="A69" t="s">
        <v>5</v>
      </c>
      <c r="B69" s="96">
        <f>-B62*B63</f>
        <v>-0.05</v>
      </c>
      <c r="C69" s="6">
        <f>15+D63</f>
        <v>30</v>
      </c>
      <c r="D69" s="6">
        <f t="shared" si="0"/>
        <v>-1.5</v>
      </c>
    </row>
    <row r="70" spans="1:4" ht="12.75">
      <c r="A70" t="s">
        <v>921</v>
      </c>
      <c r="B70" s="96">
        <v>0.6</v>
      </c>
      <c r="C70" s="6">
        <f>360/B58</f>
        <v>90</v>
      </c>
      <c r="D70" s="6">
        <f t="shared" si="0"/>
        <v>54</v>
      </c>
    </row>
    <row r="71" spans="1:4" ht="12.75">
      <c r="A71" t="s">
        <v>1573</v>
      </c>
      <c r="B71" s="170">
        <f>(1+TVA)</f>
        <v>1.196</v>
      </c>
      <c r="C71" s="6">
        <f>B60+15</f>
        <v>60</v>
      </c>
      <c r="D71" s="6">
        <f t="shared" si="0"/>
        <v>71.75999999999999</v>
      </c>
    </row>
    <row r="72" spans="1:4" ht="12.75">
      <c r="A72" t="s">
        <v>1314</v>
      </c>
      <c r="B72" s="96">
        <f>-TVA+B59*TVA</f>
        <v>-0.07840000000000001</v>
      </c>
      <c r="C72" s="6">
        <f>15+D64</f>
        <v>40</v>
      </c>
      <c r="D72" s="6">
        <f t="shared" si="0"/>
        <v>-3.1360000000000006</v>
      </c>
    </row>
    <row r="73" spans="1:4" ht="12.75">
      <c r="A73" s="89" t="s">
        <v>717</v>
      </c>
      <c r="D73" s="198">
        <f>SUM(D67:D72)</f>
        <v>98.096</v>
      </c>
    </row>
    <row r="76" ht="14.25">
      <c r="A76" s="20" t="s">
        <v>1315</v>
      </c>
    </row>
    <row r="78" spans="1:3" ht="12.75">
      <c r="A78" t="s">
        <v>1299</v>
      </c>
      <c r="B78">
        <v>15</v>
      </c>
      <c r="C78" t="s">
        <v>1303</v>
      </c>
    </row>
    <row r="79" spans="1:3" ht="12.75">
      <c r="A79" t="s">
        <v>1317</v>
      </c>
      <c r="B79">
        <v>90</v>
      </c>
      <c r="C79" t="s">
        <v>1272</v>
      </c>
    </row>
    <row r="80" spans="1:3" ht="12.75">
      <c r="A80" t="s">
        <v>1316</v>
      </c>
      <c r="B80">
        <v>10</v>
      </c>
      <c r="C80" t="s">
        <v>1272</v>
      </c>
    </row>
    <row r="81" spans="1:2" ht="12.75">
      <c r="A81" t="s">
        <v>1173</v>
      </c>
      <c r="B81" s="47">
        <v>0.75</v>
      </c>
    </row>
    <row r="82" ht="12.75">
      <c r="A82" t="s">
        <v>1318</v>
      </c>
    </row>
    <row r="84" spans="1:4" ht="27">
      <c r="A84" s="4" t="s">
        <v>969</v>
      </c>
      <c r="B84" s="86" t="s">
        <v>1283</v>
      </c>
      <c r="C84" s="94" t="s">
        <v>1284</v>
      </c>
      <c r="D84" s="86" t="s">
        <v>314</v>
      </c>
    </row>
    <row r="85" spans="1:4" ht="12.75">
      <c r="A85" t="s">
        <v>921</v>
      </c>
      <c r="B85" s="259">
        <v>0.75</v>
      </c>
      <c r="C85" s="6">
        <f>365/B78</f>
        <v>24.333333333333332</v>
      </c>
      <c r="D85" s="6">
        <f>B85*C85</f>
        <v>18.25</v>
      </c>
    </row>
    <row r="86" spans="1:4" ht="12.75">
      <c r="A86" t="s">
        <v>1573</v>
      </c>
      <c r="B86" s="47">
        <v>1</v>
      </c>
      <c r="C86" s="6">
        <f>B80</f>
        <v>10</v>
      </c>
      <c r="D86" s="6">
        <f>B86*C86</f>
        <v>10</v>
      </c>
    </row>
    <row r="87" spans="1:4" ht="12.75">
      <c r="A87" t="s">
        <v>1024</v>
      </c>
      <c r="B87" s="259">
        <v>0.75</v>
      </c>
      <c r="C87" s="6">
        <f>B79</f>
        <v>90</v>
      </c>
      <c r="D87" s="6">
        <f>B87*C87</f>
        <v>67.5</v>
      </c>
    </row>
    <row r="88" spans="1:5" ht="12.75">
      <c r="A88" s="89" t="s">
        <v>717</v>
      </c>
      <c r="D88" s="198">
        <f>D86+D85-D87</f>
        <v>-39.25</v>
      </c>
      <c r="E88" t="s">
        <v>28</v>
      </c>
    </row>
    <row r="92" ht="14.25">
      <c r="A92" s="41" t="s">
        <v>57</v>
      </c>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1.xml><?xml version="1.0" encoding="utf-8"?>
<worksheet xmlns="http://schemas.openxmlformats.org/spreadsheetml/2006/main" xmlns:r="http://schemas.openxmlformats.org/officeDocument/2006/relationships">
  <sheetPr codeName="Feuil11">
    <pageSetUpPr fitToPage="1"/>
  </sheetPr>
  <dimension ref="A1:F62"/>
  <sheetViews>
    <sheetView showGridLines="0" zoomScale="75" zoomScaleNormal="75" workbookViewId="0" topLeftCell="A1">
      <selection activeCell="A1" sqref="A1"/>
    </sheetView>
  </sheetViews>
  <sheetFormatPr defaultColWidth="11.00390625" defaultRowHeight="12.75"/>
  <cols>
    <col min="1" max="1" width="29.25390625" style="0" bestFit="1" customWidth="1"/>
  </cols>
  <sheetData>
    <row r="1" ht="14.25">
      <c r="A1" s="20" t="s">
        <v>968</v>
      </c>
    </row>
    <row r="2" spans="2:6" ht="12.75">
      <c r="B2" s="4">
        <v>1</v>
      </c>
      <c r="C2" s="4">
        <v>2</v>
      </c>
      <c r="D2" s="4">
        <v>3</v>
      </c>
      <c r="E2" s="4">
        <v>4</v>
      </c>
      <c r="F2" s="4">
        <v>5</v>
      </c>
    </row>
    <row r="3" spans="1:6" ht="12.75">
      <c r="A3" t="s">
        <v>1319</v>
      </c>
      <c r="B3" s="80">
        <v>100</v>
      </c>
      <c r="C3" s="80">
        <v>110</v>
      </c>
      <c r="D3" s="80">
        <v>120</v>
      </c>
      <c r="E3" s="80">
        <v>130</v>
      </c>
      <c r="F3" s="80">
        <v>140</v>
      </c>
    </row>
    <row r="4" spans="1:6" ht="12.75">
      <c r="A4" t="s">
        <v>1320</v>
      </c>
      <c r="B4" s="80">
        <v>200</v>
      </c>
      <c r="C4" s="80">
        <v>225</v>
      </c>
      <c r="D4" s="80">
        <v>250</v>
      </c>
      <c r="E4" s="80">
        <v>280</v>
      </c>
      <c r="F4" s="80">
        <v>315</v>
      </c>
    </row>
    <row r="5" spans="1:6" ht="12.75">
      <c r="A5" t="s">
        <v>933</v>
      </c>
      <c r="B5" s="80" t="s">
        <v>1321</v>
      </c>
      <c r="C5" s="80">
        <v>40</v>
      </c>
      <c r="D5" s="80">
        <v>44</v>
      </c>
      <c r="E5" s="80">
        <v>48</v>
      </c>
      <c r="F5" s="80">
        <v>52</v>
      </c>
    </row>
    <row r="6" spans="1:6" ht="12.75">
      <c r="A6" t="s">
        <v>730</v>
      </c>
      <c r="B6" s="80" t="s">
        <v>1321</v>
      </c>
      <c r="C6" s="80">
        <v>10</v>
      </c>
      <c r="D6" s="80">
        <v>11</v>
      </c>
      <c r="E6" s="80">
        <v>12</v>
      </c>
      <c r="F6" s="80">
        <v>13</v>
      </c>
    </row>
    <row r="7" spans="1:6" ht="12.75">
      <c r="A7" t="s">
        <v>910</v>
      </c>
      <c r="B7" s="80" t="s">
        <v>1321</v>
      </c>
      <c r="C7" s="80">
        <v>15</v>
      </c>
      <c r="D7" s="80">
        <v>17</v>
      </c>
      <c r="E7" s="80">
        <v>19</v>
      </c>
      <c r="F7" s="80">
        <v>22</v>
      </c>
    </row>
    <row r="8" spans="1:6" ht="12.75">
      <c r="A8" t="s">
        <v>770</v>
      </c>
      <c r="B8" s="80" t="s">
        <v>1321</v>
      </c>
      <c r="C8" s="80">
        <v>7.5</v>
      </c>
      <c r="D8" s="80">
        <v>8</v>
      </c>
      <c r="E8" s="80">
        <v>8</v>
      </c>
      <c r="F8" s="80">
        <v>8.5</v>
      </c>
    </row>
    <row r="9" spans="1:6" ht="12.75">
      <c r="A9" t="s">
        <v>772</v>
      </c>
      <c r="B9" s="80">
        <v>5</v>
      </c>
      <c r="C9" s="80">
        <v>5</v>
      </c>
      <c r="D9" s="80">
        <v>5</v>
      </c>
      <c r="E9" s="80">
        <v>6</v>
      </c>
      <c r="F9" s="80">
        <v>6</v>
      </c>
    </row>
    <row r="11" spans="1:6" ht="12.75">
      <c r="A11" s="1" t="s">
        <v>1322</v>
      </c>
      <c r="C11" s="4">
        <f>C2</f>
        <v>2</v>
      </c>
      <c r="D11" s="4">
        <f>D2</f>
        <v>3</v>
      </c>
      <c r="E11" s="4">
        <f>E2</f>
        <v>4</v>
      </c>
      <c r="F11" s="4">
        <f>F2</f>
        <v>5</v>
      </c>
    </row>
    <row r="12" spans="1:6" s="78" customFormat="1" ht="12.75">
      <c r="A12" s="78" t="s">
        <v>891</v>
      </c>
      <c r="C12" s="80">
        <f>C5-C7-C8</f>
        <v>17.5</v>
      </c>
      <c r="D12" s="80">
        <f>D5-D7-D8</f>
        <v>19</v>
      </c>
      <c r="E12" s="80">
        <f>E5-E7-E8</f>
        <v>21</v>
      </c>
      <c r="F12" s="80">
        <f>F5-F7-F8</f>
        <v>21.5</v>
      </c>
    </row>
    <row r="13" spans="1:6" s="78" customFormat="1" ht="12.75">
      <c r="A13" s="48" t="s">
        <v>7</v>
      </c>
      <c r="B13" s="48"/>
      <c r="C13" s="84">
        <f>C4-B4</f>
        <v>25</v>
      </c>
      <c r="D13" s="84">
        <f>D4-C4</f>
        <v>25</v>
      </c>
      <c r="E13" s="84">
        <f>E4-D4</f>
        <v>30</v>
      </c>
      <c r="F13" s="84">
        <f>F4-E4</f>
        <v>35</v>
      </c>
    </row>
    <row r="14" spans="1:6" ht="25.5">
      <c r="A14" s="3" t="s">
        <v>1323</v>
      </c>
      <c r="B14" s="80"/>
      <c r="C14" s="80">
        <f>C12-C13</f>
        <v>-7.5</v>
      </c>
      <c r="D14" s="80">
        <f>D12-D13</f>
        <v>-6</v>
      </c>
      <c r="E14" s="80">
        <f>E12-E13</f>
        <v>-9</v>
      </c>
      <c r="F14" s="80">
        <f>F12-F13</f>
        <v>-13.5</v>
      </c>
    </row>
    <row r="15" spans="1:6" ht="12.75">
      <c r="A15" t="s">
        <v>1324</v>
      </c>
      <c r="B15" s="80"/>
      <c r="C15" s="80">
        <f>C3-B3+C6</f>
        <v>20</v>
      </c>
      <c r="D15" s="80">
        <f>D3-C3+D6</f>
        <v>21</v>
      </c>
      <c r="E15" s="80">
        <f>E3-D3+E6</f>
        <v>22</v>
      </c>
      <c r="F15" s="80">
        <f>F3-E3+F6</f>
        <v>23</v>
      </c>
    </row>
    <row r="16" spans="1:6" ht="12.75">
      <c r="A16" t="s">
        <v>1325</v>
      </c>
      <c r="B16" s="80"/>
      <c r="C16" s="80"/>
      <c r="D16" s="80"/>
      <c r="E16" s="80"/>
      <c r="F16" s="80"/>
    </row>
    <row r="17" spans="1:6" ht="12.75">
      <c r="A17" t="s">
        <v>1186</v>
      </c>
      <c r="B17" s="80"/>
      <c r="C17" s="80">
        <f>B9</f>
        <v>5</v>
      </c>
      <c r="D17" s="80">
        <f>C9</f>
        <v>5</v>
      </c>
      <c r="E17" s="80">
        <f>D9</f>
        <v>5</v>
      </c>
      <c r="F17" s="80">
        <f>E9</f>
        <v>6</v>
      </c>
    </row>
    <row r="18" spans="2:6" ht="12.75">
      <c r="B18" s="80"/>
      <c r="C18" s="80"/>
      <c r="D18" s="80"/>
      <c r="E18" s="80"/>
      <c r="F18" s="80"/>
    </row>
    <row r="19" spans="1:6" ht="25.5">
      <c r="A19" s="3" t="s">
        <v>1326</v>
      </c>
      <c r="B19" s="80"/>
      <c r="C19" s="80">
        <f>C14-C15+C16-C17</f>
        <v>-32.5</v>
      </c>
      <c r="D19" s="80">
        <f>D14-D15+D16-D17</f>
        <v>-32</v>
      </c>
      <c r="E19" s="80">
        <f>E14-E15+E16-E17</f>
        <v>-36</v>
      </c>
      <c r="F19" s="80">
        <f>F14-F15+F16-F17</f>
        <v>-42.5</v>
      </c>
    </row>
    <row r="20" spans="1:6" ht="12.75">
      <c r="A20" s="3"/>
      <c r="B20" s="80"/>
      <c r="C20" s="80"/>
      <c r="D20" s="80"/>
      <c r="E20" s="80"/>
      <c r="F20" s="80"/>
    </row>
    <row r="21" spans="1:6" ht="14.25">
      <c r="A21" s="41" t="s">
        <v>970</v>
      </c>
      <c r="B21" s="80"/>
      <c r="C21" s="80"/>
      <c r="D21" s="80"/>
      <c r="E21" s="80"/>
      <c r="F21" s="80"/>
    </row>
    <row r="22" spans="1:6" ht="12.75">
      <c r="A22" s="3"/>
      <c r="B22" s="80"/>
      <c r="C22" s="80"/>
      <c r="D22" s="80"/>
      <c r="E22" s="80"/>
      <c r="F22" s="80"/>
    </row>
    <row r="23" spans="1:6" ht="12.75">
      <c r="A23" s="3"/>
      <c r="B23" s="80"/>
      <c r="C23" s="80"/>
      <c r="D23" s="80"/>
      <c r="E23" s="80"/>
      <c r="F23" s="80"/>
    </row>
    <row r="24" spans="1:6" ht="12.75">
      <c r="A24" s="3"/>
      <c r="B24" s="80"/>
      <c r="C24" s="80"/>
      <c r="D24" s="80"/>
      <c r="E24" s="80"/>
      <c r="F24" s="80"/>
    </row>
    <row r="25" spans="1:6" ht="12.75">
      <c r="A25" s="3"/>
      <c r="B25" s="80"/>
      <c r="C25" s="80"/>
      <c r="D25" s="80"/>
      <c r="E25" s="80"/>
      <c r="F25" s="80"/>
    </row>
    <row r="26" spans="1:6" ht="12.75">
      <c r="A26" s="3"/>
      <c r="B26" s="80"/>
      <c r="C26" s="80"/>
      <c r="D26" s="80"/>
      <c r="E26" s="80"/>
      <c r="F26" s="80"/>
    </row>
    <row r="27" spans="1:6" ht="12.75">
      <c r="A27" s="3"/>
      <c r="B27" s="80"/>
      <c r="C27" s="80"/>
      <c r="D27" s="80"/>
      <c r="E27" s="80"/>
      <c r="F27" s="80"/>
    </row>
    <row r="28" spans="1:6" ht="12.75">
      <c r="A28" s="3"/>
      <c r="B28" s="80"/>
      <c r="C28" s="80"/>
      <c r="D28" s="80"/>
      <c r="E28" s="80"/>
      <c r="F28" s="80"/>
    </row>
    <row r="29" spans="1:6" ht="12.75">
      <c r="A29" s="3"/>
      <c r="B29" s="80"/>
      <c r="C29" s="80"/>
      <c r="D29" s="80"/>
      <c r="E29" s="80"/>
      <c r="F29" s="80"/>
    </row>
    <row r="30" spans="1:6" ht="12.75">
      <c r="A30" s="3"/>
      <c r="B30" s="80"/>
      <c r="C30" s="80"/>
      <c r="D30" s="80"/>
      <c r="E30" s="80"/>
      <c r="F30" s="80"/>
    </row>
    <row r="31" spans="1:6" ht="12.75">
      <c r="A31" s="3"/>
      <c r="B31" s="80"/>
      <c r="C31" s="80"/>
      <c r="D31" s="80"/>
      <c r="E31" s="80"/>
      <c r="F31" s="80"/>
    </row>
    <row r="32" spans="1:6" ht="12.75">
      <c r="A32" s="3"/>
      <c r="B32" s="80"/>
      <c r="C32" s="80"/>
      <c r="D32" s="80"/>
      <c r="E32" s="80"/>
      <c r="F32" s="80"/>
    </row>
    <row r="33" spans="1:6" ht="12.75">
      <c r="A33" s="3"/>
      <c r="B33" s="80"/>
      <c r="C33" s="80"/>
      <c r="D33" s="80"/>
      <c r="E33" s="80"/>
      <c r="F33" s="80"/>
    </row>
    <row r="34" spans="1:6" ht="12.75">
      <c r="A34" s="3"/>
      <c r="B34" s="80"/>
      <c r="C34" s="80"/>
      <c r="D34" s="80"/>
      <c r="E34" s="80"/>
      <c r="F34" s="80"/>
    </row>
    <row r="35" spans="1:6" ht="12.75">
      <c r="A35" s="3"/>
      <c r="B35" s="80"/>
      <c r="C35" s="80"/>
      <c r="D35" s="80"/>
      <c r="E35" s="80"/>
      <c r="F35" s="80"/>
    </row>
    <row r="36" spans="1:6" ht="12.75">
      <c r="A36" s="3"/>
      <c r="B36" s="80"/>
      <c r="C36" s="80"/>
      <c r="D36" s="80"/>
      <c r="E36" s="80"/>
      <c r="F36" s="80"/>
    </row>
    <row r="37" spans="1:6" ht="14.25">
      <c r="A37" s="41" t="s">
        <v>1337</v>
      </c>
      <c r="B37" s="80"/>
      <c r="C37" s="80"/>
      <c r="D37" s="80"/>
      <c r="E37" s="80"/>
      <c r="F37" s="80"/>
    </row>
    <row r="38" spans="1:6" ht="12.75">
      <c r="A38" s="3"/>
      <c r="B38" s="80"/>
      <c r="C38" s="80"/>
      <c r="D38" s="80"/>
      <c r="E38" s="80"/>
      <c r="F38" s="80"/>
    </row>
    <row r="39" spans="1:6" ht="12.75">
      <c r="A39" s="3"/>
      <c r="B39" s="80"/>
      <c r="C39" s="80"/>
      <c r="D39" s="80"/>
      <c r="E39" s="80"/>
      <c r="F39" s="80"/>
    </row>
    <row r="40" spans="1:6" ht="12.75">
      <c r="A40" s="3"/>
      <c r="B40" s="80"/>
      <c r="C40" s="80"/>
      <c r="D40" s="80"/>
      <c r="E40" s="80"/>
      <c r="F40" s="80"/>
    </row>
    <row r="41" spans="1:6" ht="12.75">
      <c r="A41" s="3"/>
      <c r="B41" s="80"/>
      <c r="C41" s="80"/>
      <c r="D41" s="80"/>
      <c r="E41" s="80"/>
      <c r="F41" s="80"/>
    </row>
    <row r="42" spans="1:6" ht="12.75">
      <c r="A42" s="3"/>
      <c r="B42" s="80"/>
      <c r="C42" s="80"/>
      <c r="D42" s="80"/>
      <c r="E42" s="80"/>
      <c r="F42" s="80"/>
    </row>
    <row r="44" ht="14.25">
      <c r="A44" s="20"/>
    </row>
    <row r="45" spans="2:3" ht="12.75">
      <c r="B45" s="4"/>
      <c r="C45" s="4"/>
    </row>
    <row r="46" ht="12.75">
      <c r="A46" s="3"/>
    </row>
    <row r="47" ht="12.75">
      <c r="A47" s="3"/>
    </row>
    <row r="48" ht="14.25">
      <c r="A48" s="41" t="s">
        <v>1301</v>
      </c>
    </row>
    <row r="49" ht="12.75">
      <c r="A49" s="3"/>
    </row>
    <row r="50" ht="12.75">
      <c r="A50" s="3"/>
    </row>
    <row r="51" ht="12.75">
      <c r="A51" s="3"/>
    </row>
    <row r="52" ht="12.75">
      <c r="A52" s="3"/>
    </row>
    <row r="53" ht="12.75">
      <c r="A53" s="3"/>
    </row>
    <row r="55" ht="14.25">
      <c r="A55" s="20"/>
    </row>
    <row r="57" ht="12.75">
      <c r="A57" s="3"/>
    </row>
    <row r="58" ht="12.75">
      <c r="A58" s="3"/>
    </row>
    <row r="60" ht="14.25">
      <c r="A60" s="41" t="s">
        <v>1315</v>
      </c>
    </row>
    <row r="62" spans="1:3" ht="12.75">
      <c r="A62" s="3"/>
      <c r="B62" s="93"/>
      <c r="C62" s="93"/>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2.xml><?xml version="1.0" encoding="utf-8"?>
<worksheet xmlns="http://schemas.openxmlformats.org/spreadsheetml/2006/main" xmlns:r="http://schemas.openxmlformats.org/officeDocument/2006/relationships">
  <sheetPr codeName="Feuil12">
    <pageSetUpPr fitToPage="1"/>
  </sheetPr>
  <dimension ref="A1:F105"/>
  <sheetViews>
    <sheetView showGridLines="0" zoomScale="75" zoomScaleNormal="75" workbookViewId="0" topLeftCell="A1">
      <selection activeCell="A1" sqref="A1"/>
    </sheetView>
  </sheetViews>
  <sheetFormatPr defaultColWidth="11.00390625" defaultRowHeight="12.75"/>
  <cols>
    <col min="1" max="1" width="44.625" style="0" bestFit="1" customWidth="1"/>
    <col min="4" max="4" width="25.375" style="0" bestFit="1" customWidth="1"/>
  </cols>
  <sheetData>
    <row r="1" ht="14.25">
      <c r="A1" s="41" t="s">
        <v>968</v>
      </c>
    </row>
    <row r="3" ht="12.75">
      <c r="A3" t="s">
        <v>10</v>
      </c>
    </row>
    <row r="5" ht="14.25">
      <c r="A5" s="20" t="s">
        <v>970</v>
      </c>
    </row>
    <row r="7" spans="1:2" ht="12.75">
      <c r="A7" t="s">
        <v>1328</v>
      </c>
      <c r="B7" s="47">
        <v>0.03</v>
      </c>
    </row>
    <row r="8" spans="1:2" ht="12.75">
      <c r="A8" t="s">
        <v>1329</v>
      </c>
      <c r="B8" s="47">
        <v>0.05</v>
      </c>
    </row>
    <row r="9" spans="1:2" ht="12.75">
      <c r="A9" t="s">
        <v>1330</v>
      </c>
      <c r="B9" s="47">
        <v>0.4</v>
      </c>
    </row>
    <row r="10" spans="1:2" ht="12.75">
      <c r="A10" t="s">
        <v>1331</v>
      </c>
      <c r="B10" s="80">
        <v>1000</v>
      </c>
    </row>
    <row r="12" spans="1:2" ht="12.75">
      <c r="A12" t="s">
        <v>1334</v>
      </c>
      <c r="B12" s="47">
        <v>0.2</v>
      </c>
    </row>
    <row r="13" ht="12.75">
      <c r="B13" s="47"/>
    </row>
    <row r="14" ht="12.75">
      <c r="A14" s="1" t="s">
        <v>1332</v>
      </c>
    </row>
    <row r="15" spans="1:2" ht="12.75">
      <c r="A15" s="97" t="s">
        <v>1336</v>
      </c>
      <c r="B15" s="98">
        <v>250</v>
      </c>
    </row>
    <row r="17" spans="1:2" ht="12.75">
      <c r="A17" t="s">
        <v>935</v>
      </c>
      <c r="B17" s="80">
        <f>B10</f>
        <v>1000</v>
      </c>
    </row>
    <row r="18" spans="1:2" ht="12.75">
      <c r="A18" t="s">
        <v>936</v>
      </c>
      <c r="B18" s="80">
        <f>B17-B19</f>
        <v>750</v>
      </c>
    </row>
    <row r="19" spans="1:2" ht="12.75">
      <c r="A19" t="s">
        <v>926</v>
      </c>
      <c r="B19" s="80">
        <f>B15</f>
        <v>250</v>
      </c>
    </row>
    <row r="20" spans="1:2" ht="12.75">
      <c r="A20" t="s">
        <v>906</v>
      </c>
      <c r="B20" s="80">
        <f>B12*B19/B7</f>
        <v>1666.6666666666667</v>
      </c>
    </row>
    <row r="21" spans="1:2" ht="12.75">
      <c r="A21" t="s">
        <v>766</v>
      </c>
      <c r="B21" s="80">
        <f>SUM(B22:B24)</f>
        <v>120.83333333333334</v>
      </c>
    </row>
    <row r="22" spans="1:2" ht="12.75">
      <c r="A22" t="s">
        <v>910</v>
      </c>
      <c r="B22" s="80">
        <f>B18*B8</f>
        <v>37.5</v>
      </c>
    </row>
    <row r="23" spans="1:2" ht="12.75">
      <c r="A23" t="s">
        <v>1019</v>
      </c>
      <c r="B23" s="80">
        <f>B24/(1-B9)*B9</f>
        <v>33.333333333333336</v>
      </c>
    </row>
    <row r="24" spans="1:2" ht="12.75">
      <c r="A24" t="s">
        <v>806</v>
      </c>
      <c r="B24" s="80">
        <f>B20*B7</f>
        <v>50</v>
      </c>
    </row>
    <row r="26" spans="1:5" ht="18">
      <c r="A26" s="20" t="s">
        <v>1337</v>
      </c>
      <c r="C26" s="260"/>
      <c r="D26" s="260"/>
      <c r="E26" s="260"/>
    </row>
    <row r="27" spans="1:6" ht="12.75">
      <c r="A27" s="4" t="s">
        <v>1280</v>
      </c>
      <c r="B27" s="4">
        <v>1</v>
      </c>
      <c r="C27" s="4">
        <v>2</v>
      </c>
      <c r="D27" s="4">
        <v>3</v>
      </c>
      <c r="E27" s="4">
        <v>4</v>
      </c>
      <c r="F27" s="4">
        <v>5</v>
      </c>
    </row>
    <row r="28" spans="1:6" ht="12.75">
      <c r="A28" t="s">
        <v>926</v>
      </c>
      <c r="B28" s="80">
        <v>100</v>
      </c>
      <c r="C28" s="80">
        <v>115</v>
      </c>
      <c r="D28" s="80">
        <v>320</v>
      </c>
      <c r="E28" s="80">
        <v>300</v>
      </c>
      <c r="F28" s="80">
        <v>240</v>
      </c>
    </row>
    <row r="29" spans="1:6" ht="12.75">
      <c r="A29" t="s">
        <v>936</v>
      </c>
      <c r="B29" s="80">
        <v>123</v>
      </c>
      <c r="C29" s="80">
        <v>180</v>
      </c>
      <c r="D29" s="80">
        <v>540</v>
      </c>
      <c r="E29" s="80">
        <v>640</v>
      </c>
      <c r="F29" s="80">
        <v>680</v>
      </c>
    </row>
    <row r="30" spans="1:6" ht="12.75">
      <c r="A30" t="s">
        <v>1338</v>
      </c>
      <c r="B30" s="80">
        <v>11</v>
      </c>
      <c r="C30" s="80">
        <v>18.5</v>
      </c>
      <c r="D30" s="80">
        <v>29</v>
      </c>
      <c r="E30" s="80">
        <v>63</v>
      </c>
      <c r="F30" s="80">
        <v>83</v>
      </c>
    </row>
    <row r="31" spans="1:6" ht="12.75">
      <c r="A31" t="s">
        <v>806</v>
      </c>
      <c r="B31" s="80">
        <v>14</v>
      </c>
      <c r="C31" s="80">
        <v>16</v>
      </c>
      <c r="D31" s="80">
        <v>-20</v>
      </c>
      <c r="E31" s="80">
        <v>-60</v>
      </c>
      <c r="F31" s="80">
        <v>-40</v>
      </c>
    </row>
    <row r="33" spans="1:6" ht="12.75">
      <c r="A33" t="s">
        <v>1339</v>
      </c>
      <c r="B33" s="47">
        <v>0.35</v>
      </c>
      <c r="C33" s="47">
        <f>B33</f>
        <v>0.35</v>
      </c>
      <c r="D33" s="47">
        <f>C33</f>
        <v>0.35</v>
      </c>
      <c r="E33" s="47">
        <f>D33</f>
        <v>0.35</v>
      </c>
      <c r="F33" s="47">
        <f>E33</f>
        <v>0.35</v>
      </c>
    </row>
    <row r="35" spans="1:6" ht="12.75">
      <c r="A35" t="s">
        <v>911</v>
      </c>
      <c r="B35" s="87">
        <f>IF(B31&gt;0,B31*B33/(1-B33),0)</f>
        <v>7.538461538461537</v>
      </c>
      <c r="C35" s="87">
        <f>IF(C31&gt;0,C31*C33/(1-C33),0)</f>
        <v>8.615384615384615</v>
      </c>
      <c r="D35">
        <f>IF(D31&gt;0,D31*D33/(1-D33),0)</f>
        <v>0</v>
      </c>
      <c r="E35">
        <f>IF(E31&gt;0,E31*E33/(1-E33),0)</f>
        <v>0</v>
      </c>
      <c r="F35">
        <f>IF(F31&gt;0,F31*F33/(1-F33),0)</f>
        <v>0</v>
      </c>
    </row>
    <row r="36" spans="1:6" ht="12.75">
      <c r="A36" t="s">
        <v>766</v>
      </c>
      <c r="B36" s="87">
        <f>B31+B30+B35</f>
        <v>32.53846153846154</v>
      </c>
      <c r="C36" s="87">
        <f>C31+C30+C35</f>
        <v>43.11538461538461</v>
      </c>
      <c r="D36" s="87">
        <f>D31+D30+D35</f>
        <v>9</v>
      </c>
      <c r="E36" s="87">
        <f>E31+E30+E35</f>
        <v>3</v>
      </c>
      <c r="F36" s="87">
        <f>F31+F30+F35</f>
        <v>43</v>
      </c>
    </row>
    <row r="38" spans="1:6" ht="12.75">
      <c r="A38" t="s">
        <v>1340</v>
      </c>
      <c r="B38" s="95">
        <f>B36*(1-B33)/(B28+B29)</f>
        <v>0.09484304932735427</v>
      </c>
      <c r="C38" s="95">
        <f>C36*(1-C33)/(C28+C29)</f>
        <v>0.095</v>
      </c>
      <c r="D38" s="95">
        <f>D36*(1-D33)/(D28+D29)</f>
        <v>0.006802325581395349</v>
      </c>
      <c r="E38" s="95">
        <f>E36*(1-E33)/(E28+E29)</f>
        <v>0.002074468085106383</v>
      </c>
      <c r="F38" s="95">
        <f>F36*(1-F33)/(F28+F29)</f>
        <v>0.030380434782608694</v>
      </c>
    </row>
    <row r="39" spans="1:6" ht="12.75">
      <c r="A39" t="s">
        <v>1341</v>
      </c>
      <c r="B39" s="95">
        <f>IF(B30&lt;B36,B30/B29*(1-B33),B36/B29*(1-B33)+(B30-B36)/B29)</f>
        <v>0.058130081300813014</v>
      </c>
      <c r="C39" s="95">
        <f>IF(C30&lt;C36,C30/C29*(1-C33),C36/C29*(1-C33)+(C30-C36)/C29)</f>
        <v>0.06680555555555555</v>
      </c>
      <c r="D39" s="95">
        <f>IF(D30&lt;D36,D30/D29*(1-D33),D36/D29*(1-D33)+(D30-D36)/D29)</f>
        <v>0.04787037037037037</v>
      </c>
      <c r="E39" s="95">
        <f>IF(E30&lt;E36,E30/E29*(1-E33),E36/E29*(1-E33)+(E30-E36)/E29)</f>
        <v>0.096796875</v>
      </c>
      <c r="F39" s="95">
        <f>IF(F30&lt;F36,F30/F29*(1-F33),F36/F29*(1-F33)+(F30-F36)/F29)</f>
        <v>0.09992647058823528</v>
      </c>
    </row>
    <row r="40" spans="1:6" ht="12.75">
      <c r="A40" s="33" t="s">
        <v>1342</v>
      </c>
      <c r="B40" s="101">
        <f>B29/B28</f>
        <v>1.23</v>
      </c>
      <c r="C40" s="101">
        <f>C29/C28</f>
        <v>1.565217391304348</v>
      </c>
      <c r="D40" s="101">
        <f>D29/D28</f>
        <v>1.6875</v>
      </c>
      <c r="E40" s="101">
        <f>E29/E28</f>
        <v>2.1333333333333333</v>
      </c>
      <c r="F40" s="101">
        <f>F29/F28</f>
        <v>2.8333333333333335</v>
      </c>
    </row>
    <row r="41" spans="1:6" ht="12.75">
      <c r="A41" s="1" t="s">
        <v>1335</v>
      </c>
      <c r="B41" s="100">
        <f>(B38-B39)*B40</f>
        <v>0.04515695067264574</v>
      </c>
      <c r="C41" s="100">
        <f>(C38-C39)*C40</f>
        <v>0.04413043478260871</v>
      </c>
      <c r="D41" s="100">
        <f>(D38-D39)*D40</f>
        <v>-0.06930232558139535</v>
      </c>
      <c r="E41" s="100">
        <f>(E38-E39)*E40</f>
        <v>-0.20207446808510637</v>
      </c>
      <c r="F41" s="100">
        <f>(F38-F39)*F40</f>
        <v>-0.19704710144927534</v>
      </c>
    </row>
    <row r="42" spans="2:6" ht="12.75">
      <c r="B42" s="99"/>
      <c r="C42" s="99"/>
      <c r="D42" s="99"/>
      <c r="E42" s="99"/>
      <c r="F42" s="99"/>
    </row>
    <row r="43" spans="1:6" ht="12.75">
      <c r="A43" t="s">
        <v>1343</v>
      </c>
      <c r="B43" s="95">
        <f>B38+B41</f>
        <v>0.14</v>
      </c>
      <c r="C43" s="95">
        <f>C38+C41</f>
        <v>0.13913043478260873</v>
      </c>
      <c r="D43" s="95">
        <f>D38+D41</f>
        <v>-0.0625</v>
      </c>
      <c r="E43" s="95">
        <f>E38+E41</f>
        <v>-0.19999999999999998</v>
      </c>
      <c r="F43" s="95">
        <f>F38+F41</f>
        <v>-0.16666666666666666</v>
      </c>
    </row>
    <row r="45" spans="1:2" ht="18">
      <c r="A45" s="41" t="s">
        <v>8</v>
      </c>
      <c r="B45" s="260"/>
    </row>
    <row r="46" spans="1:2" ht="12.75">
      <c r="A46" s="1" t="s">
        <v>1371</v>
      </c>
      <c r="B46" s="4">
        <v>2004</v>
      </c>
    </row>
    <row r="47" spans="1:2" ht="12.75">
      <c r="A47" s="59" t="s">
        <v>727</v>
      </c>
      <c r="B47" s="394">
        <v>6521</v>
      </c>
    </row>
    <row r="48" spans="1:2" ht="12.75">
      <c r="A48" t="s">
        <v>1344</v>
      </c>
      <c r="B48" s="388">
        <v>-3420</v>
      </c>
    </row>
    <row r="49" spans="1:2" ht="12.75">
      <c r="A49" t="s">
        <v>715</v>
      </c>
      <c r="B49" s="388">
        <v>-2376</v>
      </c>
    </row>
    <row r="50" spans="1:2" ht="12.75">
      <c r="A50" s="57" t="s">
        <v>933</v>
      </c>
      <c r="B50" s="380">
        <f>SUM(B47:B49)</f>
        <v>725</v>
      </c>
    </row>
    <row r="51" spans="1:3" ht="12.75">
      <c r="A51" s="33" t="s">
        <v>1014</v>
      </c>
      <c r="B51" s="392">
        <v>102</v>
      </c>
      <c r="C51" s="392"/>
    </row>
    <row r="52" spans="1:2" ht="12.75">
      <c r="A52" s="1" t="s">
        <v>766</v>
      </c>
      <c r="B52" s="396">
        <f>B50-B51</f>
        <v>623</v>
      </c>
    </row>
    <row r="53" spans="1:2" ht="12.75">
      <c r="A53" s="102" t="s">
        <v>1181</v>
      </c>
      <c r="B53" s="395">
        <f>-57</f>
        <v>-57</v>
      </c>
    </row>
    <row r="54" spans="1:2" ht="12.75">
      <c r="A54" s="102" t="s">
        <v>805</v>
      </c>
      <c r="B54" s="396">
        <f>B52+B53</f>
        <v>566</v>
      </c>
    </row>
    <row r="55" spans="1:2" ht="12.75">
      <c r="A55" s="33" t="s">
        <v>1345</v>
      </c>
      <c r="B55" s="392">
        <v>197</v>
      </c>
    </row>
    <row r="56" spans="1:2" ht="12.75">
      <c r="A56" s="102" t="s">
        <v>1346</v>
      </c>
      <c r="B56" s="396">
        <f>B54-B55</f>
        <v>369</v>
      </c>
    </row>
    <row r="57" spans="1:2" ht="12.75">
      <c r="A57" t="s">
        <v>1347</v>
      </c>
      <c r="B57" s="379">
        <v>46</v>
      </c>
    </row>
    <row r="58" spans="1:2" ht="12.75">
      <c r="A58" s="33" t="s">
        <v>1348</v>
      </c>
      <c r="B58" s="392">
        <v>9</v>
      </c>
    </row>
    <row r="59" spans="1:2" ht="12.75">
      <c r="A59" s="1" t="s">
        <v>1022</v>
      </c>
      <c r="B59" s="397">
        <f>B56-B57-B58</f>
        <v>314</v>
      </c>
    </row>
    <row r="60" ht="12.75">
      <c r="B60" s="388"/>
    </row>
    <row r="61" spans="1:2" ht="12.75">
      <c r="A61" s="59" t="s">
        <v>1083</v>
      </c>
      <c r="B61" s="393"/>
    </row>
    <row r="62" spans="1:2" ht="12.75">
      <c r="A62" t="s">
        <v>1349</v>
      </c>
      <c r="B62" s="388">
        <v>572</v>
      </c>
    </row>
    <row r="63" spans="1:2" ht="12.75">
      <c r="A63" t="s">
        <v>9</v>
      </c>
      <c r="B63" s="388">
        <v>728</v>
      </c>
    </row>
    <row r="64" spans="1:2" ht="12.75">
      <c r="A64" t="s">
        <v>1361</v>
      </c>
      <c r="B64" s="388">
        <v>93</v>
      </c>
    </row>
    <row r="65" spans="1:2" ht="12.75">
      <c r="A65" s="59" t="s">
        <v>1362</v>
      </c>
      <c r="B65" s="396">
        <f>SUM(B62:B64)</f>
        <v>1393</v>
      </c>
    </row>
    <row r="66" spans="1:2" ht="12.75">
      <c r="A66" t="s">
        <v>1363</v>
      </c>
      <c r="B66" s="388">
        <v>1155</v>
      </c>
    </row>
    <row r="67" spans="1:2" ht="12.75">
      <c r="A67" t="s">
        <v>1364</v>
      </c>
      <c r="B67" s="388">
        <v>1046</v>
      </c>
    </row>
    <row r="68" spans="1:2" ht="12.75">
      <c r="A68" t="s">
        <v>1365</v>
      </c>
      <c r="B68" s="388">
        <v>378</v>
      </c>
    </row>
    <row r="69" spans="1:2" ht="12.75">
      <c r="A69" t="s">
        <v>1031</v>
      </c>
      <c r="B69" s="388">
        <v>592</v>
      </c>
    </row>
    <row r="70" spans="1:2" ht="12.75">
      <c r="A70" s="33" t="s">
        <v>1366</v>
      </c>
      <c r="B70" s="388">
        <v>909</v>
      </c>
    </row>
    <row r="71" spans="1:2" ht="12.75">
      <c r="A71" s="59" t="s">
        <v>934</v>
      </c>
      <c r="B71" s="391">
        <f>B66+B67+B68-B69-B70</f>
        <v>1078</v>
      </c>
    </row>
    <row r="72" spans="1:2" ht="12.75">
      <c r="A72" s="102" t="s">
        <v>1367</v>
      </c>
      <c r="B72" s="391">
        <v>1628</v>
      </c>
    </row>
    <row r="73" spans="1:2" ht="12.75">
      <c r="A73" s="59" t="s">
        <v>967</v>
      </c>
      <c r="B73" s="391">
        <v>29</v>
      </c>
    </row>
    <row r="74" spans="1:2" ht="12.75">
      <c r="A74" s="59" t="s">
        <v>1368</v>
      </c>
      <c r="B74" s="391">
        <v>220</v>
      </c>
    </row>
    <row r="75" spans="1:2" ht="12.75">
      <c r="A75" t="s">
        <v>1369</v>
      </c>
      <c r="B75" s="388">
        <v>863</v>
      </c>
    </row>
    <row r="76" spans="1:2" ht="12.75">
      <c r="A76" t="s">
        <v>1174</v>
      </c>
      <c r="B76" s="388">
        <v>186</v>
      </c>
    </row>
    <row r="77" spans="1:2" ht="12.75">
      <c r="A77" t="s">
        <v>1370</v>
      </c>
      <c r="B77" s="388">
        <v>259</v>
      </c>
    </row>
    <row r="78" spans="1:2" ht="12.75">
      <c r="A78" s="33" t="s">
        <v>1168</v>
      </c>
      <c r="B78" s="393">
        <v>196</v>
      </c>
    </row>
    <row r="79" spans="1:2" ht="12.75">
      <c r="A79" s="1" t="s">
        <v>936</v>
      </c>
      <c r="B79" s="388">
        <f>B75+B76-B77-B78</f>
        <v>594</v>
      </c>
    </row>
    <row r="80" ht="12.75">
      <c r="B80" s="388"/>
    </row>
    <row r="82" ht="12.75">
      <c r="A82" s="31"/>
    </row>
    <row r="83" ht="12.75">
      <c r="A83" s="31"/>
    </row>
    <row r="84" spans="1:2" ht="12.75">
      <c r="A84" t="s">
        <v>1084</v>
      </c>
      <c r="B84" s="388">
        <f>B65-B62+888+B71</f>
        <v>2787</v>
      </c>
    </row>
    <row r="85" spans="1:2" ht="12.75">
      <c r="A85" t="s">
        <v>1085</v>
      </c>
      <c r="B85" s="388">
        <f>B52</f>
        <v>623</v>
      </c>
    </row>
    <row r="86" spans="1:2" ht="12.75">
      <c r="A86" t="s">
        <v>1086</v>
      </c>
      <c r="B86" s="388">
        <f>B85*35%</f>
        <v>218.04999999999998</v>
      </c>
    </row>
    <row r="87" spans="1:2" ht="12.75">
      <c r="A87" s="1" t="s">
        <v>1579</v>
      </c>
      <c r="B87" s="159">
        <f>(B85-B86)/B84</f>
        <v>0.1452996053103696</v>
      </c>
    </row>
    <row r="88" spans="1:2" ht="12.75">
      <c r="A88" s="89"/>
      <c r="B88" s="103"/>
    </row>
    <row r="90" spans="1:2" ht="12.75">
      <c r="A90" t="s">
        <v>1087</v>
      </c>
      <c r="B90" s="120">
        <f>B72-B62+888</f>
        <v>1944</v>
      </c>
    </row>
    <row r="91" spans="1:2" ht="12.75">
      <c r="A91" t="s">
        <v>1088</v>
      </c>
      <c r="B91" s="379">
        <f>B59</f>
        <v>314</v>
      </c>
    </row>
    <row r="92" spans="1:2" s="1" customFormat="1" ht="12.75">
      <c r="A92" s="1" t="s">
        <v>1089</v>
      </c>
      <c r="B92" s="159">
        <f>B91/B90</f>
        <v>0.16152263374485595</v>
      </c>
    </row>
    <row r="93" spans="1:2" ht="12.75">
      <c r="A93" s="1"/>
      <c r="B93" s="159"/>
    </row>
    <row r="94" spans="1:4" ht="12.75">
      <c r="A94" s="1"/>
      <c r="B94" s="159"/>
      <c r="D94" t="s">
        <v>28</v>
      </c>
    </row>
    <row r="95" spans="2:4" ht="12.75">
      <c r="B95" s="80"/>
      <c r="D95" t="s">
        <v>28</v>
      </c>
    </row>
    <row r="96" ht="12.75">
      <c r="B96" s="80"/>
    </row>
    <row r="97" spans="1:2" ht="12.75">
      <c r="A97" s="105"/>
      <c r="B97" s="80"/>
    </row>
    <row r="102" spans="4:5" ht="12.75">
      <c r="D102" t="s">
        <v>28</v>
      </c>
      <c r="E102" t="s">
        <v>28</v>
      </c>
    </row>
    <row r="103" spans="4:6" ht="12.75">
      <c r="D103" t="s">
        <v>28</v>
      </c>
      <c r="F103" t="s">
        <v>28</v>
      </c>
    </row>
    <row r="104" spans="4:6" ht="12.75">
      <c r="D104" t="s">
        <v>28</v>
      </c>
      <c r="F104" t="s">
        <v>28</v>
      </c>
    </row>
    <row r="105" spans="4:6" ht="12.75">
      <c r="D105" t="s">
        <v>28</v>
      </c>
      <c r="F105" s="95" t="s">
        <v>28</v>
      </c>
    </row>
  </sheetData>
  <printOptions/>
  <pageMargins left="0.7874015748031497" right="0.7874015748031497" top="0.984251968503937" bottom="0.984251968503937" header="0.5118110236220472" footer="0.5118110236220472"/>
  <pageSetup fitToHeight="6" fitToWidth="1" horizontalDpi="200" verticalDpi="200" orientation="landscape" paperSize="9" r:id="rId4"/>
  <headerFooter alignWithMargins="0">
    <oddFooter>&amp;L&amp;"Verdana,Italique"&amp;9&amp;F - &amp;A&amp;C&amp;P / &amp;N&amp;R&amp;"Verdana,Italique"&amp;9&amp;D - &amp;T</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D24"/>
  <sheetViews>
    <sheetView showGridLines="0" zoomScale="75" zoomScaleNormal="75" workbookViewId="0" topLeftCell="A1">
      <selection activeCell="A1" sqref="A1"/>
    </sheetView>
  </sheetViews>
  <sheetFormatPr defaultColWidth="11.00390625" defaultRowHeight="12.75"/>
  <cols>
    <col min="1" max="1" width="33.00390625" style="0" bestFit="1" customWidth="1"/>
  </cols>
  <sheetData>
    <row r="1" ht="14.25">
      <c r="A1" s="41" t="s">
        <v>1021</v>
      </c>
    </row>
    <row r="3" spans="1:4" s="1" customFormat="1" ht="12.75">
      <c r="A3" s="102" t="s">
        <v>1090</v>
      </c>
      <c r="B3" s="74" t="s">
        <v>1201</v>
      </c>
      <c r="C3" s="74" t="s">
        <v>1202</v>
      </c>
      <c r="D3" s="74" t="s">
        <v>944</v>
      </c>
    </row>
    <row r="4" spans="1:4" ht="12.75">
      <c r="A4" t="s">
        <v>920</v>
      </c>
      <c r="B4" s="388">
        <v>247</v>
      </c>
      <c r="C4" s="388">
        <v>206</v>
      </c>
      <c r="D4" s="388">
        <v>3322</v>
      </c>
    </row>
    <row r="5" spans="1:4" ht="12.75">
      <c r="A5" t="s">
        <v>914</v>
      </c>
      <c r="B5" s="388">
        <v>12695</v>
      </c>
      <c r="C5" s="388">
        <v>376</v>
      </c>
      <c r="D5" s="388">
        <v>9527</v>
      </c>
    </row>
    <row r="6" spans="1:4" ht="12.75">
      <c r="A6" t="s">
        <v>1320</v>
      </c>
      <c r="B6" s="388">
        <v>-1787</v>
      </c>
      <c r="C6" s="388">
        <v>247</v>
      </c>
      <c r="D6" s="388">
        <v>3381</v>
      </c>
    </row>
    <row r="7" spans="1:4" ht="12.75">
      <c r="A7" t="s">
        <v>926</v>
      </c>
      <c r="B7" s="388">
        <v>5284</v>
      </c>
      <c r="C7" s="388">
        <v>1062</v>
      </c>
      <c r="D7" s="388">
        <v>5204</v>
      </c>
    </row>
    <row r="8" spans="1:4" ht="12.75">
      <c r="A8" t="s">
        <v>1091</v>
      </c>
      <c r="B8" s="388">
        <v>5825</v>
      </c>
      <c r="C8" s="388">
        <v>-129</v>
      </c>
      <c r="D8" s="388">
        <v>20445</v>
      </c>
    </row>
    <row r="9" spans="1:4" ht="12.75">
      <c r="A9" t="s">
        <v>906</v>
      </c>
      <c r="B9" s="388">
        <v>19429</v>
      </c>
      <c r="C9" s="388">
        <v>1386</v>
      </c>
      <c r="D9" s="388">
        <v>46703</v>
      </c>
    </row>
    <row r="10" spans="1:4" ht="12.75">
      <c r="A10" t="s">
        <v>933</v>
      </c>
      <c r="B10" s="388">
        <v>2538</v>
      </c>
      <c r="C10" s="388">
        <v>288</v>
      </c>
      <c r="D10" s="388">
        <v>2807</v>
      </c>
    </row>
    <row r="11" spans="1:4" ht="12.75">
      <c r="A11" s="33" t="s">
        <v>766</v>
      </c>
      <c r="B11" s="393">
        <v>707</v>
      </c>
      <c r="C11" s="393">
        <v>202</v>
      </c>
      <c r="D11" s="393">
        <v>277</v>
      </c>
    </row>
    <row r="14" ht="12.75">
      <c r="A14" s="1" t="s">
        <v>1094</v>
      </c>
    </row>
    <row r="15" spans="1:2" ht="12.75">
      <c r="A15" t="s">
        <v>1093</v>
      </c>
      <c r="B15" s="398">
        <f>B8/B10</f>
        <v>2.2951142631993697</v>
      </c>
    </row>
    <row r="16" spans="1:2" ht="12.75">
      <c r="A16" t="s">
        <v>1095</v>
      </c>
      <c r="B16" s="99">
        <f>B11/(B7+B8)</f>
        <v>0.06364209199747953</v>
      </c>
    </row>
    <row r="18" ht="12.75">
      <c r="A18" s="1" t="s">
        <v>1096</v>
      </c>
    </row>
    <row r="19" spans="1:2" ht="12.75">
      <c r="A19" t="s">
        <v>1093</v>
      </c>
      <c r="B19" s="398" t="s">
        <v>1397</v>
      </c>
    </row>
    <row r="20" spans="1:2" ht="12.75">
      <c r="A20" t="s">
        <v>1095</v>
      </c>
      <c r="B20" s="99">
        <f>C11/(C8+C7)</f>
        <v>0.2165058949624866</v>
      </c>
    </row>
    <row r="22" ht="12.75">
      <c r="A22" s="1" t="s">
        <v>1092</v>
      </c>
    </row>
    <row r="23" spans="1:2" ht="12.75">
      <c r="A23" t="s">
        <v>1093</v>
      </c>
      <c r="B23" s="398">
        <f>D8/D10</f>
        <v>7.283576772354827</v>
      </c>
    </row>
    <row r="24" spans="1:2" ht="12.75">
      <c r="A24" t="s">
        <v>1095</v>
      </c>
      <c r="B24" s="99">
        <f>D11/(D7+D8)</f>
        <v>0.010799641311552107</v>
      </c>
    </row>
  </sheetData>
  <conditionalFormatting sqref="B15 B19 B23">
    <cfRule type="expression" priority="1" dxfId="0" stopIfTrue="1">
      <formula>$A15=0</formula>
    </cfRule>
  </conditionalFormatting>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Feuil14">
    <pageSetUpPr fitToPage="1"/>
  </sheetPr>
  <dimension ref="A1:K252"/>
  <sheetViews>
    <sheetView showGridLines="0" zoomScale="75" zoomScaleNormal="75" workbookViewId="0" topLeftCell="A1">
      <selection activeCell="A1" sqref="A1"/>
    </sheetView>
  </sheetViews>
  <sheetFormatPr defaultColWidth="11.00390625" defaultRowHeight="12.75"/>
  <cols>
    <col min="1" max="1" width="34.125" style="0" customWidth="1"/>
    <col min="2" max="2" width="11.50390625" style="0" bestFit="1" customWidth="1"/>
  </cols>
  <sheetData>
    <row r="1" spans="1:4" ht="14.25">
      <c r="A1" s="107" t="s">
        <v>1374</v>
      </c>
      <c r="D1">
        <v>6.55957</v>
      </c>
    </row>
    <row r="2" ht="14.25">
      <c r="A2" s="107"/>
    </row>
    <row r="3" spans="1:6" ht="12.75">
      <c r="A3" s="74" t="s">
        <v>949</v>
      </c>
      <c r="B3" s="74">
        <v>1985</v>
      </c>
      <c r="C3" s="74">
        <v>1986</v>
      </c>
      <c r="D3" s="74">
        <v>1987</v>
      </c>
      <c r="E3" s="74">
        <v>1988</v>
      </c>
      <c r="F3" s="74">
        <v>1989</v>
      </c>
    </row>
    <row r="4" spans="1:6" ht="12.75">
      <c r="A4" s="3" t="s">
        <v>906</v>
      </c>
      <c r="B4" s="23">
        <v>15.3</v>
      </c>
      <c r="C4" s="23">
        <v>16</v>
      </c>
      <c r="D4" s="23">
        <v>18</v>
      </c>
      <c r="E4" s="23">
        <v>21.1</v>
      </c>
      <c r="F4" s="23">
        <v>23.4</v>
      </c>
    </row>
    <row r="5" spans="1:6" ht="12.75">
      <c r="A5" s="34" t="s">
        <v>1375</v>
      </c>
      <c r="B5" s="23"/>
      <c r="C5" s="23"/>
      <c r="D5" s="23"/>
      <c r="E5" s="23"/>
      <c r="F5" s="23"/>
    </row>
    <row r="6" spans="1:6" ht="25.5">
      <c r="A6" s="402" t="s">
        <v>1378</v>
      </c>
      <c r="B6" s="64">
        <v>-10.1</v>
      </c>
      <c r="C6" s="64">
        <v>-10.6</v>
      </c>
      <c r="D6" s="64">
        <v>-11.8</v>
      </c>
      <c r="E6" s="64">
        <v>-13.6</v>
      </c>
      <c r="F6" s="64">
        <v>-15.5</v>
      </c>
    </row>
    <row r="7" spans="1:6" ht="12.75">
      <c r="A7" s="114" t="s">
        <v>1379</v>
      </c>
      <c r="B7" s="69">
        <f>SUM(B4:B6)</f>
        <v>5.200000000000001</v>
      </c>
      <c r="C7" s="69">
        <f>SUM(C4:C6)</f>
        <v>5.4</v>
      </c>
      <c r="D7" s="69">
        <f>SUM(D4:D6)</f>
        <v>6.199999999999999</v>
      </c>
      <c r="E7" s="69">
        <f>SUM(E4:E6)</f>
        <v>7.500000000000002</v>
      </c>
      <c r="F7" s="69">
        <f>SUM(F4:F6)</f>
        <v>7.899999999999999</v>
      </c>
    </row>
    <row r="8" spans="1:6" ht="12.75">
      <c r="A8" s="402" t="s">
        <v>1380</v>
      </c>
      <c r="B8" s="64">
        <v>-4</v>
      </c>
      <c r="C8" s="64">
        <v>-3.9</v>
      </c>
      <c r="D8" s="64">
        <v>-3.9</v>
      </c>
      <c r="E8" s="64">
        <v>-4.1</v>
      </c>
      <c r="F8" s="64">
        <v>-4.4</v>
      </c>
    </row>
    <row r="9" spans="1:6" ht="12.75">
      <c r="A9" s="402" t="s">
        <v>1381</v>
      </c>
      <c r="B9" s="64">
        <v>0.2</v>
      </c>
      <c r="C9" s="64">
        <v>0.3</v>
      </c>
      <c r="D9" s="64">
        <v>0.4</v>
      </c>
      <c r="E9" s="64">
        <v>0.1</v>
      </c>
      <c r="F9" s="64">
        <v>0.4</v>
      </c>
    </row>
    <row r="10" spans="1:6" ht="12.75">
      <c r="A10" s="114" t="s">
        <v>933</v>
      </c>
      <c r="B10" s="69">
        <f>SUM(B7:B9)</f>
        <v>1.400000000000001</v>
      </c>
      <c r="C10" s="69">
        <f>SUM(C7:C9)</f>
        <v>1.8000000000000005</v>
      </c>
      <c r="D10" s="69">
        <f>SUM(D7:D9)</f>
        <v>2.6999999999999993</v>
      </c>
      <c r="E10" s="69">
        <f>SUM(E7:E9)</f>
        <v>3.500000000000002</v>
      </c>
      <c r="F10" s="69">
        <f>SUM(F7:F9)</f>
        <v>3.899999999999998</v>
      </c>
    </row>
    <row r="11" spans="1:6" ht="12.75">
      <c r="A11" s="402" t="s">
        <v>1350</v>
      </c>
      <c r="B11" s="64">
        <v>-0.6</v>
      </c>
      <c r="C11" s="64">
        <v>-0.7</v>
      </c>
      <c r="D11" s="64">
        <v>-0.9</v>
      </c>
      <c r="E11" s="64">
        <v>-1</v>
      </c>
      <c r="F11" s="64">
        <v>-1.2</v>
      </c>
    </row>
    <row r="12" spans="1:6" ht="12.75">
      <c r="A12" s="114" t="s">
        <v>766</v>
      </c>
      <c r="B12" s="69">
        <f>SUM(B10:B11)</f>
        <v>0.800000000000001</v>
      </c>
      <c r="C12" s="69">
        <f>SUM(C10:C11)</f>
        <v>1.1000000000000005</v>
      </c>
      <c r="D12" s="69">
        <f>SUM(D10:D11)</f>
        <v>1.7999999999999994</v>
      </c>
      <c r="E12" s="69">
        <f>SUM(E10:E11)</f>
        <v>2.500000000000002</v>
      </c>
      <c r="F12" s="69">
        <f>SUM(F10:F11)</f>
        <v>2.6999999999999984</v>
      </c>
    </row>
    <row r="13" spans="1:6" ht="12.75">
      <c r="A13" s="201" t="s">
        <v>1181</v>
      </c>
      <c r="B13" s="64">
        <v>-0.7</v>
      </c>
      <c r="C13" s="64">
        <v>-0.5</v>
      </c>
      <c r="D13" s="64">
        <v>-0.4</v>
      </c>
      <c r="E13" s="64">
        <v>-0.2</v>
      </c>
      <c r="F13" s="64">
        <v>-0.1</v>
      </c>
    </row>
    <row r="14" spans="1:6" ht="12.75">
      <c r="A14" s="201" t="s">
        <v>805</v>
      </c>
      <c r="B14" s="64">
        <f>SUM(B12:B13)</f>
        <v>0.10000000000000109</v>
      </c>
      <c r="C14" s="64">
        <f>SUM(C12:C13)</f>
        <v>0.6000000000000005</v>
      </c>
      <c r="D14" s="64">
        <f>SUM(D12:D13)</f>
        <v>1.3999999999999995</v>
      </c>
      <c r="E14" s="64">
        <f>SUM(E12:E13)</f>
        <v>2.300000000000002</v>
      </c>
      <c r="F14" s="64">
        <f>SUM(F12:F13)</f>
        <v>2.5999999999999983</v>
      </c>
    </row>
    <row r="15" spans="1:6" ht="12.75">
      <c r="A15" s="201" t="s">
        <v>1345</v>
      </c>
      <c r="B15" s="64">
        <v>0</v>
      </c>
      <c r="C15" s="64">
        <v>0.2</v>
      </c>
      <c r="D15" s="64">
        <v>0.5</v>
      </c>
      <c r="E15" s="64">
        <v>0.9</v>
      </c>
      <c r="F15" s="64">
        <v>1</v>
      </c>
    </row>
    <row r="16" spans="1:6" ht="12.75">
      <c r="A16" s="32" t="s">
        <v>806</v>
      </c>
      <c r="B16" s="65">
        <f>B14-B15</f>
        <v>0.10000000000000109</v>
      </c>
      <c r="C16" s="65">
        <f>C14-C15</f>
        <v>0.4000000000000005</v>
      </c>
      <c r="D16" s="65">
        <f>D14-D15</f>
        <v>0.8999999999999995</v>
      </c>
      <c r="E16" s="65">
        <f>E14-E15</f>
        <v>1.4000000000000021</v>
      </c>
      <c r="F16" s="65">
        <f>F14-F15</f>
        <v>1.5999999999999983</v>
      </c>
    </row>
    <row r="17" spans="1:6" ht="12.75">
      <c r="A17" s="114"/>
      <c r="B17" s="69"/>
      <c r="C17" s="69"/>
      <c r="D17" s="69"/>
      <c r="E17" s="69"/>
      <c r="F17" s="69"/>
    </row>
    <row r="18" spans="1:6" s="13" customFormat="1" ht="10.5">
      <c r="A18" s="406" t="s">
        <v>1217</v>
      </c>
      <c r="B18" s="407">
        <v>0.5</v>
      </c>
      <c r="C18" s="407">
        <v>0.37</v>
      </c>
      <c r="D18" s="407">
        <v>0.39</v>
      </c>
      <c r="E18" s="407">
        <v>0.38</v>
      </c>
      <c r="F18" s="407">
        <v>0.38</v>
      </c>
    </row>
    <row r="21" spans="1:6" ht="25.5">
      <c r="A21" s="405" t="s">
        <v>1382</v>
      </c>
      <c r="B21" s="74">
        <v>1985</v>
      </c>
      <c r="C21" s="74">
        <v>1986</v>
      </c>
      <c r="D21" s="74">
        <v>1987</v>
      </c>
      <c r="E21" s="74">
        <v>1988</v>
      </c>
      <c r="F21" s="74">
        <v>1989</v>
      </c>
    </row>
    <row r="22" spans="1:6" ht="12.75">
      <c r="A22" t="s">
        <v>914</v>
      </c>
      <c r="B22" s="23">
        <v>4</v>
      </c>
      <c r="C22" s="23">
        <v>4.5</v>
      </c>
      <c r="D22" s="23">
        <v>5.1</v>
      </c>
      <c r="E22" s="23">
        <v>6.1</v>
      </c>
      <c r="F22" s="23">
        <v>6.9</v>
      </c>
    </row>
    <row r="23" spans="1:6" ht="12.75">
      <c r="A23" t="s">
        <v>1383</v>
      </c>
      <c r="B23" s="23">
        <v>1.2</v>
      </c>
      <c r="C23" s="23">
        <v>1.3</v>
      </c>
      <c r="D23" s="23">
        <v>1.1</v>
      </c>
      <c r="E23" s="23">
        <v>1.3</v>
      </c>
      <c r="F23" s="23">
        <v>1.3</v>
      </c>
    </row>
    <row r="24" spans="1:6" ht="12.75">
      <c r="A24" t="s">
        <v>921</v>
      </c>
      <c r="B24" s="23">
        <v>2.7</v>
      </c>
      <c r="C24" s="23">
        <v>2.7</v>
      </c>
      <c r="D24" s="23">
        <v>2.7</v>
      </c>
      <c r="E24" s="23">
        <v>2.6</v>
      </c>
      <c r="F24" s="23">
        <v>3</v>
      </c>
    </row>
    <row r="25" spans="1:6" ht="12.75">
      <c r="A25" t="s">
        <v>1277</v>
      </c>
      <c r="B25" s="23">
        <v>1.6</v>
      </c>
      <c r="C25" s="23">
        <v>1.4</v>
      </c>
      <c r="D25" s="23">
        <v>1.4</v>
      </c>
      <c r="E25" s="23">
        <v>1.6</v>
      </c>
      <c r="F25" s="23">
        <v>1.7</v>
      </c>
    </row>
    <row r="26" spans="1:6" ht="12.75">
      <c r="A26" t="s">
        <v>1384</v>
      </c>
      <c r="B26" s="23">
        <v>0.7</v>
      </c>
      <c r="C26" s="23">
        <v>0.7</v>
      </c>
      <c r="D26" s="23">
        <v>0.8</v>
      </c>
      <c r="E26" s="23">
        <v>0.7</v>
      </c>
      <c r="F26" s="23">
        <v>0.9</v>
      </c>
    </row>
    <row r="27" spans="1:6" ht="12.75">
      <c r="A27" t="s">
        <v>1023</v>
      </c>
      <c r="B27" s="23">
        <v>0.3</v>
      </c>
      <c r="C27" s="23">
        <v>0.2</v>
      </c>
      <c r="D27" s="23">
        <v>0.4</v>
      </c>
      <c r="E27" s="23">
        <v>2.5</v>
      </c>
      <c r="F27" s="23">
        <v>2.2</v>
      </c>
    </row>
    <row r="28" spans="1:6" ht="12.75">
      <c r="A28" t="s">
        <v>923</v>
      </c>
      <c r="B28" s="23">
        <v>0.3</v>
      </c>
      <c r="C28" s="23">
        <v>0.2</v>
      </c>
      <c r="D28" s="23">
        <v>0.2</v>
      </c>
      <c r="E28" s="23">
        <v>0.2</v>
      </c>
      <c r="F28" s="23">
        <v>0.3</v>
      </c>
    </row>
    <row r="29" spans="1:6" ht="12.75">
      <c r="A29" s="109" t="s">
        <v>1373</v>
      </c>
      <c r="B29" s="66">
        <f>SUM(B22:B28)</f>
        <v>10.8</v>
      </c>
      <c r="C29" s="66">
        <f>SUM(C22:C28)</f>
        <v>10.999999999999998</v>
      </c>
      <c r="D29" s="66">
        <f>SUM(D22:D28)</f>
        <v>11.7</v>
      </c>
      <c r="E29" s="66">
        <f>SUM(E22:E28)</f>
        <v>14.999999999999998</v>
      </c>
      <c r="F29" s="66">
        <f>SUM(F22:F28)</f>
        <v>16.3</v>
      </c>
    </row>
    <row r="30" spans="2:6" ht="12.75">
      <c r="B30" s="23"/>
      <c r="C30" s="23"/>
      <c r="D30" s="23"/>
      <c r="E30" s="23"/>
      <c r="F30" s="23"/>
    </row>
    <row r="31" spans="1:6" ht="12.75">
      <c r="A31" t="s">
        <v>926</v>
      </c>
      <c r="B31" s="23">
        <v>1.1</v>
      </c>
      <c r="C31" s="23">
        <v>1.7</v>
      </c>
      <c r="D31" s="23">
        <v>3.2</v>
      </c>
      <c r="E31" s="23">
        <v>4.7</v>
      </c>
      <c r="F31" s="23">
        <v>6</v>
      </c>
    </row>
    <row r="32" spans="1:6" ht="12.75">
      <c r="A32" t="s">
        <v>961</v>
      </c>
      <c r="B32" s="23">
        <v>3.6</v>
      </c>
      <c r="C32" s="23">
        <v>3.5</v>
      </c>
      <c r="D32" s="23">
        <v>2.6</v>
      </c>
      <c r="E32" s="23">
        <v>2.5</v>
      </c>
      <c r="F32" s="23">
        <v>1.5</v>
      </c>
    </row>
    <row r="33" spans="1:6" ht="12.75">
      <c r="A33" t="s">
        <v>962</v>
      </c>
      <c r="B33" s="23">
        <v>0.3</v>
      </c>
      <c r="C33" s="23">
        <v>0.3</v>
      </c>
      <c r="D33" s="23">
        <v>0.4</v>
      </c>
      <c r="E33" s="23">
        <v>0.7</v>
      </c>
      <c r="F33" s="23">
        <v>1</v>
      </c>
    </row>
    <row r="34" spans="1:6" ht="12.75">
      <c r="A34" t="s">
        <v>928</v>
      </c>
      <c r="B34" s="23">
        <v>2.4</v>
      </c>
      <c r="C34" s="23">
        <v>2.5</v>
      </c>
      <c r="D34" s="23">
        <v>2.8</v>
      </c>
      <c r="E34" s="23">
        <v>3.2</v>
      </c>
      <c r="F34" s="23">
        <v>3.7</v>
      </c>
    </row>
    <row r="35" spans="1:6" ht="12.75">
      <c r="A35" t="s">
        <v>1385</v>
      </c>
      <c r="B35" s="23">
        <v>1.6</v>
      </c>
      <c r="C35" s="23">
        <v>1.6</v>
      </c>
      <c r="D35" s="23">
        <v>1.8</v>
      </c>
      <c r="E35" s="23">
        <v>2.6</v>
      </c>
      <c r="F35" s="23">
        <v>2.5</v>
      </c>
    </row>
    <row r="36" spans="1:6" ht="12.75">
      <c r="A36" t="s">
        <v>1174</v>
      </c>
      <c r="B36" s="23">
        <v>1.8</v>
      </c>
      <c r="C36" s="23">
        <v>1.4</v>
      </c>
      <c r="D36" s="23">
        <v>0.9</v>
      </c>
      <c r="E36" s="23">
        <v>1.3</v>
      </c>
      <c r="F36" s="23">
        <v>1.6</v>
      </c>
    </row>
    <row r="37" spans="1:6" ht="12.75">
      <c r="A37" s="109" t="s">
        <v>931</v>
      </c>
      <c r="B37" s="66">
        <f>SUM(B31:B36)</f>
        <v>10.8</v>
      </c>
      <c r="C37" s="66">
        <f>SUM(C31:C36)</f>
        <v>11</v>
      </c>
      <c r="D37" s="66">
        <f>SUM(D31:D36)</f>
        <v>11.700000000000001</v>
      </c>
      <c r="E37" s="66">
        <f>SUM(E31:E36)</f>
        <v>15.000000000000002</v>
      </c>
      <c r="F37" s="66">
        <f>SUM(F31:F36)</f>
        <v>16.3</v>
      </c>
    </row>
    <row r="40" spans="1:6" ht="12.75">
      <c r="A40" s="405" t="s">
        <v>1322</v>
      </c>
      <c r="B40" s="74">
        <v>1985</v>
      </c>
      <c r="C40" s="74">
        <v>1986</v>
      </c>
      <c r="D40" s="74">
        <v>1987</v>
      </c>
      <c r="E40" s="74">
        <v>1988</v>
      </c>
      <c r="F40" s="74">
        <v>1989</v>
      </c>
    </row>
    <row r="41" spans="1:6" ht="12.75">
      <c r="A41" s="3" t="s">
        <v>806</v>
      </c>
      <c r="B41" s="23">
        <f>B16</f>
        <v>0.10000000000000109</v>
      </c>
      <c r="C41" s="23">
        <f>C16</f>
        <v>0.4000000000000005</v>
      </c>
      <c r="D41" s="23">
        <f>D16</f>
        <v>0.8999999999999995</v>
      </c>
      <c r="E41" s="23">
        <f>E16</f>
        <v>1.4000000000000021</v>
      </c>
      <c r="F41" s="23">
        <f>F16</f>
        <v>1.5999999999999983</v>
      </c>
    </row>
    <row r="42" spans="1:6" ht="38.25">
      <c r="A42" s="34" t="s">
        <v>1386</v>
      </c>
      <c r="B42" s="23">
        <f>-B11</f>
        <v>0.6</v>
      </c>
      <c r="C42" s="23">
        <f>-C11</f>
        <v>0.7</v>
      </c>
      <c r="D42" s="23">
        <f>-D11</f>
        <v>0.9</v>
      </c>
      <c r="E42" s="23">
        <f>-E11</f>
        <v>1</v>
      </c>
      <c r="F42" s="23">
        <f>-F11</f>
        <v>1.2</v>
      </c>
    </row>
    <row r="43" spans="1:6" ht="12.75">
      <c r="A43" s="3" t="s">
        <v>891</v>
      </c>
      <c r="B43" s="23">
        <f>SUM(B41:B42)</f>
        <v>0.7000000000000011</v>
      </c>
      <c r="C43" s="23">
        <f>SUM(C41:C42)</f>
        <v>1.1000000000000005</v>
      </c>
      <c r="D43" s="23">
        <f>SUM(D41:D42)</f>
        <v>1.7999999999999994</v>
      </c>
      <c r="E43" s="23">
        <f>SUM(E41:E42)</f>
        <v>2.400000000000002</v>
      </c>
      <c r="F43" s="23">
        <f>SUM(F41:F42)</f>
        <v>2.799999999999998</v>
      </c>
    </row>
    <row r="44" spans="1:6" ht="38.25">
      <c r="A44" s="34" t="s">
        <v>1387</v>
      </c>
      <c r="B44" s="23">
        <v>-0.3</v>
      </c>
      <c r="C44" s="23">
        <f>C24+C25+C26-C34-C35-(B24+B25+B26-B34-B35)</f>
        <v>-0.30000000000000115</v>
      </c>
      <c r="D44" s="23">
        <f>D24+D25+D26-D34-D35-(C24+C25+C26-C34-C35)</f>
        <v>-0.40000000000000013</v>
      </c>
      <c r="E44" s="23">
        <f>E24+E25+E26-E34-E35-(D24+D25+D26-D34-D35)</f>
        <v>-1.1999999999999995</v>
      </c>
      <c r="F44" s="23">
        <f>F24+F25+F26-F34-F35-(E24+E25+E26-E34-E35)</f>
        <v>0.30000000000000027</v>
      </c>
    </row>
    <row r="45" spans="1:6" ht="25.5">
      <c r="A45" s="108" t="s">
        <v>895</v>
      </c>
      <c r="B45" s="66">
        <f>B43-B44</f>
        <v>1.000000000000001</v>
      </c>
      <c r="C45" s="66">
        <f>C43-C44</f>
        <v>1.4000000000000017</v>
      </c>
      <c r="D45" s="66">
        <f>D43-D44</f>
        <v>2.1999999999999993</v>
      </c>
      <c r="E45" s="66">
        <f>E43-E44</f>
        <v>3.6000000000000014</v>
      </c>
      <c r="F45" s="66">
        <f>F43-F44</f>
        <v>2.499999999999998</v>
      </c>
    </row>
    <row r="46" spans="1:6" ht="25.5">
      <c r="A46" s="3" t="s">
        <v>1388</v>
      </c>
      <c r="B46" s="23">
        <v>1.1</v>
      </c>
      <c r="C46" s="23">
        <v>1.4</v>
      </c>
      <c r="D46" s="23">
        <v>1.5</v>
      </c>
      <c r="E46" s="23">
        <v>2.3</v>
      </c>
      <c r="F46" s="23">
        <v>2.3</v>
      </c>
    </row>
    <row r="47" spans="1:6" ht="25.5">
      <c r="A47" s="34" t="s">
        <v>1389</v>
      </c>
      <c r="B47" s="23">
        <v>0.1</v>
      </c>
      <c r="C47" s="23">
        <v>0.1</v>
      </c>
      <c r="D47" s="23">
        <v>0.2</v>
      </c>
      <c r="E47" s="23">
        <v>0.2</v>
      </c>
      <c r="F47" s="23">
        <v>0.2</v>
      </c>
    </row>
    <row r="48" spans="1:6" ht="12.75">
      <c r="A48" s="108" t="s">
        <v>1390</v>
      </c>
      <c r="B48" s="66">
        <f>B46-B47</f>
        <v>1</v>
      </c>
      <c r="C48" s="66">
        <f>C46-C47</f>
        <v>1.2999999999999998</v>
      </c>
      <c r="D48" s="66">
        <f>D46-D47</f>
        <v>1.3</v>
      </c>
      <c r="E48" s="66">
        <f>E46-E47</f>
        <v>2.0999999999999996</v>
      </c>
      <c r="F48" s="66">
        <f>F46-F47</f>
        <v>2.0999999999999996</v>
      </c>
    </row>
    <row r="49" spans="1:6" ht="12.75">
      <c r="A49" s="3" t="s">
        <v>1351</v>
      </c>
      <c r="B49" s="23">
        <f>B45-B48</f>
        <v>0</v>
      </c>
      <c r="C49" s="23">
        <f>C45-C48</f>
        <v>0.10000000000000187</v>
      </c>
      <c r="D49" s="23">
        <v>0.8</v>
      </c>
      <c r="E49" s="23">
        <f>E45-E48</f>
        <v>1.5000000000000018</v>
      </c>
      <c r="F49" s="23">
        <f>F45-F48</f>
        <v>0.39999999999999813</v>
      </c>
    </row>
    <row r="50" spans="1:6" ht="12.75">
      <c r="A50" s="34" t="s">
        <v>880</v>
      </c>
      <c r="B50" s="23">
        <v>0</v>
      </c>
      <c r="C50" s="23">
        <v>0</v>
      </c>
      <c r="D50" s="23">
        <v>0</v>
      </c>
      <c r="E50" s="23">
        <v>0</v>
      </c>
      <c r="F50" s="23">
        <v>0.2</v>
      </c>
    </row>
    <row r="51" spans="1:6" ht="25.5">
      <c r="A51" s="34" t="s">
        <v>1563</v>
      </c>
      <c r="B51" s="23">
        <v>0.1</v>
      </c>
      <c r="C51" s="23">
        <v>0.2</v>
      </c>
      <c r="D51" s="23">
        <v>0.8</v>
      </c>
      <c r="E51" s="23">
        <v>0</v>
      </c>
      <c r="F51" s="23">
        <v>0</v>
      </c>
    </row>
    <row r="52" spans="1:6" ht="12.75">
      <c r="A52" s="108" t="s">
        <v>873</v>
      </c>
      <c r="B52" s="66">
        <f>B49-B50+B51</f>
        <v>0.1</v>
      </c>
      <c r="C52" s="66">
        <f>C49-C50+C51</f>
        <v>0.3000000000000019</v>
      </c>
      <c r="D52" s="66">
        <f>D49-D50+D51</f>
        <v>1.6</v>
      </c>
      <c r="E52" s="66">
        <f>E49-E50+E51</f>
        <v>1.5000000000000018</v>
      </c>
      <c r="F52" s="66">
        <f>F49-F50+F51</f>
        <v>0.19999999999999812</v>
      </c>
    </row>
    <row r="55" spans="1:6" ht="12.75">
      <c r="A55" s="1" t="s">
        <v>13</v>
      </c>
      <c r="B55" s="33"/>
      <c r="C55" s="33"/>
      <c r="D55" s="33"/>
      <c r="E55" s="33"/>
      <c r="F55" s="33"/>
    </row>
    <row r="56" spans="1:6" ht="25.5">
      <c r="A56" s="56" t="s">
        <v>1183</v>
      </c>
      <c r="B56" s="23">
        <f>B22+B23</f>
        <v>5.2</v>
      </c>
      <c r="C56" s="23">
        <f>C22+C23</f>
        <v>5.8</v>
      </c>
      <c r="D56" s="23">
        <f>D22+D23</f>
        <v>6.199999999999999</v>
      </c>
      <c r="E56" s="23">
        <f>E22+E23</f>
        <v>7.3999999999999995</v>
      </c>
      <c r="F56" s="23">
        <f>F22+F23</f>
        <v>8.200000000000001</v>
      </c>
    </row>
    <row r="57" spans="1:6" ht="12.75">
      <c r="A57" s="60" t="s">
        <v>1025</v>
      </c>
      <c r="B57" s="23"/>
      <c r="C57" s="23"/>
      <c r="D57" s="23"/>
      <c r="E57" s="23"/>
      <c r="F57" s="23"/>
    </row>
    <row r="58" spans="1:6" ht="12.75">
      <c r="A58" s="61" t="s">
        <v>1026</v>
      </c>
      <c r="B58" s="23"/>
      <c r="C58" s="23"/>
      <c r="D58" s="23"/>
      <c r="E58" s="23"/>
      <c r="F58" s="23"/>
    </row>
    <row r="59" spans="1:6" ht="12.75">
      <c r="A59" s="58" t="s">
        <v>1027</v>
      </c>
      <c r="B59" s="66">
        <f>SUM(B56:B58)</f>
        <v>5.2</v>
      </c>
      <c r="C59" s="66">
        <f>SUM(C56:C58)</f>
        <v>5.8</v>
      </c>
      <c r="D59" s="66">
        <f>SUM(D56:D58)</f>
        <v>6.199999999999999</v>
      </c>
      <c r="E59" s="66">
        <f>SUM(E56:E58)</f>
        <v>7.3999999999999995</v>
      </c>
      <c r="F59" s="66">
        <f>SUM(F56:F58)</f>
        <v>8.200000000000001</v>
      </c>
    </row>
    <row r="60" spans="1:6" ht="12.75">
      <c r="A60" s="56" t="s">
        <v>921</v>
      </c>
      <c r="B60" s="23">
        <f aca="true" t="shared" si="0" ref="B60:F61">B24</f>
        <v>2.7</v>
      </c>
      <c r="C60" s="23">
        <f t="shared" si="0"/>
        <v>2.7</v>
      </c>
      <c r="D60" s="23">
        <f t="shared" si="0"/>
        <v>2.7</v>
      </c>
      <c r="E60" s="23">
        <f t="shared" si="0"/>
        <v>2.6</v>
      </c>
      <c r="F60" s="23">
        <f t="shared" si="0"/>
        <v>3</v>
      </c>
    </row>
    <row r="61" spans="1:6" ht="25.5">
      <c r="A61" s="60" t="s">
        <v>1028</v>
      </c>
      <c r="B61" s="23">
        <f t="shared" si="0"/>
        <v>1.6</v>
      </c>
      <c r="C61" s="23">
        <f t="shared" si="0"/>
        <v>1.4</v>
      </c>
      <c r="D61" s="23">
        <f t="shared" si="0"/>
        <v>1.4</v>
      </c>
      <c r="E61" s="23">
        <f t="shared" si="0"/>
        <v>1.6</v>
      </c>
      <c r="F61" s="23">
        <f t="shared" si="0"/>
        <v>1.7</v>
      </c>
    </row>
    <row r="62" spans="1:6" ht="25.5">
      <c r="A62" s="61" t="s">
        <v>1029</v>
      </c>
      <c r="B62" s="23"/>
      <c r="C62" s="23"/>
      <c r="D62" s="23"/>
      <c r="E62" s="23"/>
      <c r="F62" s="23"/>
    </row>
    <row r="63" spans="1:6" ht="12.75">
      <c r="A63" s="62" t="s">
        <v>1030</v>
      </c>
      <c r="B63" s="66">
        <f>SUM(B60:B62)</f>
        <v>4.300000000000001</v>
      </c>
      <c r="C63" s="66">
        <f>SUM(C60:C62)</f>
        <v>4.1</v>
      </c>
      <c r="D63" s="66">
        <f>SUM(D60:D62)</f>
        <v>4.1</v>
      </c>
      <c r="E63" s="66">
        <f>SUM(E60:E62)</f>
        <v>4.2</v>
      </c>
      <c r="F63" s="66">
        <f>SUM(F60:F62)</f>
        <v>4.7</v>
      </c>
    </row>
    <row r="64" spans="1:6" ht="12.75">
      <c r="A64" s="56" t="s">
        <v>1031</v>
      </c>
      <c r="B64" s="23">
        <f>B34</f>
        <v>2.4</v>
      </c>
      <c r="C64" s="23">
        <f>C34</f>
        <v>2.5</v>
      </c>
      <c r="D64" s="23">
        <f>D34</f>
        <v>2.8</v>
      </c>
      <c r="E64" s="23">
        <f>E34</f>
        <v>3.2</v>
      </c>
      <c r="F64" s="23">
        <f>F34</f>
        <v>3.7</v>
      </c>
    </row>
    <row r="65" spans="1:6" ht="12.75">
      <c r="A65" s="60" t="s">
        <v>1032</v>
      </c>
      <c r="B65" s="23"/>
      <c r="C65" s="23"/>
      <c r="D65" s="23"/>
      <c r="E65" s="23"/>
      <c r="F65" s="23"/>
    </row>
    <row r="66" spans="1:6" ht="12.75">
      <c r="A66" s="60" t="s">
        <v>963</v>
      </c>
      <c r="B66" s="23">
        <f>B33</f>
        <v>0.3</v>
      </c>
      <c r="C66" s="23">
        <f>C33</f>
        <v>0.3</v>
      </c>
      <c r="D66" s="23">
        <f>D33</f>
        <v>0.4</v>
      </c>
      <c r="E66" s="23">
        <f>E33</f>
        <v>0.7</v>
      </c>
      <c r="F66" s="23">
        <f>F33</f>
        <v>1</v>
      </c>
    </row>
    <row r="67" spans="1:6" ht="25.5">
      <c r="A67" s="68" t="s">
        <v>1034</v>
      </c>
      <c r="B67" s="23">
        <f>SUM(B64:B66)</f>
        <v>2.6999999999999997</v>
      </c>
      <c r="C67" s="23">
        <f>SUM(C64:C66)</f>
        <v>2.8</v>
      </c>
      <c r="D67" s="23">
        <f>SUM(D64:D66)</f>
        <v>3.1999999999999997</v>
      </c>
      <c r="E67" s="23">
        <f>SUM(E64:E66)</f>
        <v>3.9000000000000004</v>
      </c>
      <c r="F67" s="23">
        <f>SUM(F64:F66)</f>
        <v>4.7</v>
      </c>
    </row>
    <row r="68" spans="1:6" ht="25.5">
      <c r="A68" s="58" t="s">
        <v>1035</v>
      </c>
      <c r="B68" s="66">
        <f>B63-B67</f>
        <v>1.600000000000001</v>
      </c>
      <c r="C68" s="66">
        <f>C63-C67</f>
        <v>1.2999999999999998</v>
      </c>
      <c r="D68" s="66">
        <f>D63-D67</f>
        <v>0.8999999999999999</v>
      </c>
      <c r="E68" s="66">
        <f>E63-E67</f>
        <v>0.2999999999999998</v>
      </c>
      <c r="F68" s="66">
        <f>F63-F67</f>
        <v>0</v>
      </c>
    </row>
    <row r="69" spans="1:6" ht="12.75">
      <c r="A69" s="56" t="s">
        <v>1036</v>
      </c>
      <c r="B69" s="23">
        <f>B26</f>
        <v>0.7</v>
      </c>
      <c r="C69" s="23">
        <f>C26</f>
        <v>0.7</v>
      </c>
      <c r="D69" s="23">
        <f>D26</f>
        <v>0.8</v>
      </c>
      <c r="E69" s="23">
        <f>E26</f>
        <v>0.7</v>
      </c>
      <c r="F69" s="23">
        <f>F26</f>
        <v>0.9</v>
      </c>
    </row>
    <row r="70" spans="1:6" ht="12.75">
      <c r="A70" s="60" t="s">
        <v>1148</v>
      </c>
      <c r="B70" s="23">
        <f>B35</f>
        <v>1.6</v>
      </c>
      <c r="C70" s="23">
        <f>C35</f>
        <v>1.6</v>
      </c>
      <c r="D70" s="23">
        <f>D35</f>
        <v>1.8</v>
      </c>
      <c r="E70" s="23">
        <f>E35</f>
        <v>2.6</v>
      </c>
      <c r="F70" s="23">
        <f>F35</f>
        <v>2.5</v>
      </c>
    </row>
    <row r="71" spans="1:6" ht="12.75">
      <c r="A71" s="68" t="s">
        <v>1149</v>
      </c>
      <c r="B71" s="40">
        <f>B69-B70</f>
        <v>-0.9000000000000001</v>
      </c>
      <c r="C71" s="40">
        <f>C69-C70</f>
        <v>-0.9000000000000001</v>
      </c>
      <c r="D71" s="40">
        <f>D69-D70</f>
        <v>-1</v>
      </c>
      <c r="E71" s="40">
        <f>E69-E70</f>
        <v>-1.9000000000000001</v>
      </c>
      <c r="F71" s="40">
        <f>F69-F70</f>
        <v>-1.6</v>
      </c>
    </row>
    <row r="72" spans="1:6" ht="25.5">
      <c r="A72" s="58" t="s">
        <v>960</v>
      </c>
      <c r="B72" s="66">
        <f>B68+B71</f>
        <v>0.7000000000000008</v>
      </c>
      <c r="C72" s="66">
        <f>C68+C71</f>
        <v>0.3999999999999997</v>
      </c>
      <c r="D72" s="66">
        <f>D68+D71</f>
        <v>-0.10000000000000009</v>
      </c>
      <c r="E72" s="66">
        <f>E68+E71</f>
        <v>-1.6000000000000003</v>
      </c>
      <c r="F72" s="66">
        <f>F68+F71</f>
        <v>-1.6</v>
      </c>
    </row>
    <row r="73" spans="1:6" ht="12.75">
      <c r="A73" s="58" t="s">
        <v>1150</v>
      </c>
      <c r="B73" s="66">
        <f>B59+B72</f>
        <v>5.900000000000001</v>
      </c>
      <c r="C73" s="66">
        <f>C59+C72</f>
        <v>6.199999999999999</v>
      </c>
      <c r="D73" s="66">
        <f>D59+D72</f>
        <v>6.1</v>
      </c>
      <c r="E73" s="66">
        <f>E59+E72</f>
        <v>5.799999999999999</v>
      </c>
      <c r="F73" s="66">
        <f>F59+F72</f>
        <v>6.600000000000001</v>
      </c>
    </row>
    <row r="74" spans="1:6" ht="12.75">
      <c r="A74" s="56" t="s">
        <v>1184</v>
      </c>
      <c r="B74" s="23">
        <f>B31</f>
        <v>1.1</v>
      </c>
      <c r="C74" s="23">
        <f>C31</f>
        <v>1.7</v>
      </c>
      <c r="D74" s="23">
        <f>D31</f>
        <v>3.2</v>
      </c>
      <c r="E74" s="23">
        <f>E31</f>
        <v>4.7</v>
      </c>
      <c r="F74" s="23">
        <f>F31</f>
        <v>6</v>
      </c>
    </row>
    <row r="75" spans="1:6" ht="12.75">
      <c r="A75" s="60" t="s">
        <v>1151</v>
      </c>
      <c r="B75" s="23"/>
      <c r="C75" s="23"/>
      <c r="D75" s="23"/>
      <c r="E75" s="23"/>
      <c r="F75" s="23"/>
    </row>
    <row r="76" spans="1:6" ht="12.75">
      <c r="A76" s="60" t="s">
        <v>810</v>
      </c>
      <c r="B76" s="23">
        <f>B50</f>
        <v>0</v>
      </c>
      <c r="C76" s="23">
        <f>C50</f>
        <v>0</v>
      </c>
      <c r="D76" s="23">
        <f>D50</f>
        <v>0</v>
      </c>
      <c r="E76" s="23">
        <f>E50</f>
        <v>0</v>
      </c>
      <c r="F76" s="23">
        <f>F50</f>
        <v>0.2</v>
      </c>
    </row>
    <row r="77" spans="1:6" ht="25.5">
      <c r="A77" s="60" t="s">
        <v>1165</v>
      </c>
      <c r="B77" s="23"/>
      <c r="C77" s="23"/>
      <c r="D77" s="23"/>
      <c r="E77" s="23"/>
      <c r="F77" s="23"/>
    </row>
    <row r="78" spans="1:6" ht="12.75">
      <c r="A78" s="60" t="s">
        <v>1152</v>
      </c>
      <c r="B78" s="23"/>
      <c r="C78" s="23"/>
      <c r="D78" s="23"/>
      <c r="E78" s="23"/>
      <c r="F78" s="23"/>
    </row>
    <row r="79" spans="1:6" ht="12.75">
      <c r="A79" s="60" t="s">
        <v>1153</v>
      </c>
      <c r="B79" s="23"/>
      <c r="C79" s="23"/>
      <c r="D79" s="23"/>
      <c r="E79" s="23"/>
      <c r="F79" s="23"/>
    </row>
    <row r="80" spans="1:6" ht="25.5">
      <c r="A80" s="60" t="s">
        <v>1155</v>
      </c>
      <c r="B80" s="23"/>
      <c r="C80" s="23"/>
      <c r="D80" s="23"/>
      <c r="E80" s="23"/>
      <c r="F80" s="23"/>
    </row>
    <row r="81" spans="1:6" ht="25.5">
      <c r="A81" s="63" t="s">
        <v>1154</v>
      </c>
      <c r="B81" s="40">
        <f>SUM(B74:B75,B77:B80)</f>
        <v>1.1</v>
      </c>
      <c r="C81" s="40">
        <f>SUM(C74:C75,C77:C80)</f>
        <v>1.7</v>
      </c>
      <c r="D81" s="40">
        <f>SUM(D74:D75,D77:D80)</f>
        <v>3.2</v>
      </c>
      <c r="E81" s="40">
        <f>SUM(E74:E75,E77:E80)</f>
        <v>4.7</v>
      </c>
      <c r="F81" s="40">
        <f>SUM(F74:F75,F77:F80)</f>
        <v>6</v>
      </c>
    </row>
    <row r="82" spans="1:6" ht="12.75">
      <c r="A82" s="60" t="s">
        <v>1164</v>
      </c>
      <c r="B82" s="23"/>
      <c r="C82" s="23"/>
      <c r="D82" s="23"/>
      <c r="E82" s="23"/>
      <c r="F82" s="23"/>
    </row>
    <row r="83" spans="1:6" ht="25.5">
      <c r="A83" s="58" t="s">
        <v>1156</v>
      </c>
      <c r="B83" s="66">
        <f>SUM(B81:B82)</f>
        <v>1.1</v>
      </c>
      <c r="C83" s="66">
        <f>SUM(C81:C82)</f>
        <v>1.7</v>
      </c>
      <c r="D83" s="66">
        <f>SUM(D81:D82)</f>
        <v>3.2</v>
      </c>
      <c r="E83" s="66">
        <f>SUM(E81:E82)</f>
        <v>4.7</v>
      </c>
      <c r="F83" s="66">
        <f>SUM(F81:F82)</f>
        <v>6</v>
      </c>
    </row>
    <row r="84" spans="1:6" ht="25.5">
      <c r="A84" s="58" t="s">
        <v>1157</v>
      </c>
      <c r="B84" s="66"/>
      <c r="C84" s="66"/>
      <c r="D84" s="66"/>
      <c r="E84" s="66"/>
      <c r="F84" s="66"/>
    </row>
    <row r="85" spans="1:6" ht="25.5">
      <c r="A85" s="56" t="s">
        <v>1166</v>
      </c>
      <c r="B85" s="23">
        <f>B32</f>
        <v>3.6</v>
      </c>
      <c r="C85" s="23">
        <f>C32</f>
        <v>3.5</v>
      </c>
      <c r="D85" s="23">
        <f>D32</f>
        <v>2.6</v>
      </c>
      <c r="E85" s="23">
        <f>E32</f>
        <v>2.5</v>
      </c>
      <c r="F85" s="23">
        <f>F32</f>
        <v>1.5</v>
      </c>
    </row>
    <row r="86" spans="1:6" ht="12.75">
      <c r="A86" s="60" t="s">
        <v>1158</v>
      </c>
      <c r="B86" s="23"/>
      <c r="C86" s="23"/>
      <c r="D86" s="23"/>
      <c r="E86" s="23"/>
      <c r="F86" s="23"/>
    </row>
    <row r="87" spans="1:6" ht="25.5">
      <c r="A87" s="60" t="s">
        <v>1159</v>
      </c>
      <c r="B87" s="23">
        <f>B36</f>
        <v>1.8</v>
      </c>
      <c r="C87" s="23">
        <f>C36</f>
        <v>1.4</v>
      </c>
      <c r="D87" s="23">
        <f>D36</f>
        <v>0.9</v>
      </c>
      <c r="E87" s="23">
        <f>E36</f>
        <v>1.3</v>
      </c>
      <c r="F87" s="23">
        <f>F36</f>
        <v>1.6</v>
      </c>
    </row>
    <row r="88" spans="1:6" ht="12.75">
      <c r="A88" s="60" t="s">
        <v>1160</v>
      </c>
      <c r="B88" s="23">
        <f aca="true" t="shared" si="1" ref="B88:F89">-B27</f>
        <v>-0.3</v>
      </c>
      <c r="C88" s="23">
        <f t="shared" si="1"/>
        <v>-0.2</v>
      </c>
      <c r="D88" s="23">
        <f t="shared" si="1"/>
        <v>-0.4</v>
      </c>
      <c r="E88" s="23">
        <f t="shared" si="1"/>
        <v>-2.5</v>
      </c>
      <c r="F88" s="23">
        <f t="shared" si="1"/>
        <v>-2.2</v>
      </c>
    </row>
    <row r="89" spans="1:6" ht="12.75">
      <c r="A89" s="60" t="s">
        <v>849</v>
      </c>
      <c r="B89" s="23">
        <f t="shared" si="1"/>
        <v>-0.3</v>
      </c>
      <c r="C89" s="23">
        <f t="shared" si="1"/>
        <v>-0.2</v>
      </c>
      <c r="D89" s="23">
        <f t="shared" si="1"/>
        <v>-0.2</v>
      </c>
      <c r="E89" s="23">
        <f t="shared" si="1"/>
        <v>-0.2</v>
      </c>
      <c r="F89" s="23">
        <f t="shared" si="1"/>
        <v>-0.3</v>
      </c>
    </row>
    <row r="90" spans="1:6" ht="12.75">
      <c r="A90" s="68" t="s">
        <v>857</v>
      </c>
      <c r="B90" s="40">
        <f>SUM(B85:B89)</f>
        <v>4.800000000000001</v>
      </c>
      <c r="C90" s="40">
        <f>SUM(C85:C89)</f>
        <v>4.5</v>
      </c>
      <c r="D90" s="40">
        <f>SUM(D85:D89)</f>
        <v>2.9</v>
      </c>
      <c r="E90" s="40">
        <f>SUM(E85:E89)</f>
        <v>1.0999999999999999</v>
      </c>
      <c r="F90" s="40">
        <f>SUM(F85:F89)</f>
        <v>0.5999999999999999</v>
      </c>
    </row>
    <row r="91" spans="1:6" ht="38.25">
      <c r="A91" s="58" t="s">
        <v>1163</v>
      </c>
      <c r="B91" s="66">
        <f>B83+B84+B90</f>
        <v>5.9</v>
      </c>
      <c r="C91" s="66">
        <f>C83+C84+C90</f>
        <v>6.2</v>
      </c>
      <c r="D91" s="66">
        <f>D83+D84+D90</f>
        <v>6.1</v>
      </c>
      <c r="E91" s="66">
        <f>E83+E84+E90</f>
        <v>5.8</v>
      </c>
      <c r="F91" s="66">
        <f>F83+F84+F90</f>
        <v>6.6</v>
      </c>
    </row>
    <row r="93" spans="1:6" ht="12.75">
      <c r="A93" t="s">
        <v>1564</v>
      </c>
      <c r="B93" s="6">
        <v>1</v>
      </c>
      <c r="C93" s="6">
        <f>(C3-$B$3)*($F$93-$B$93)/($F$3-$B$3)+$B$93</f>
        <v>1.0314999999999999</v>
      </c>
      <c r="D93" s="6">
        <f>(D3-$B$3)*($F$93-$B$93)/($F$3-$B$3)+$B$93</f>
        <v>1.063</v>
      </c>
      <c r="E93" s="6">
        <f>(E3-$B$3)*($F$93-$B$93)/($F$3-$B$3)+$B$93</f>
        <v>1.0945</v>
      </c>
      <c r="F93" s="6">
        <v>1.126</v>
      </c>
    </row>
    <row r="94" ht="12.75">
      <c r="A94" s="1" t="s">
        <v>14</v>
      </c>
    </row>
    <row r="95" ht="12.75">
      <c r="A95" s="1"/>
    </row>
    <row r="96" ht="12.75">
      <c r="A96" s="78" t="s">
        <v>1355</v>
      </c>
    </row>
    <row r="97" spans="1:6" s="286" customFormat="1" ht="11.25">
      <c r="A97" s="285" t="s">
        <v>1352</v>
      </c>
      <c r="C97" s="287">
        <f>C4/B4-1</f>
        <v>0.045751633986928164</v>
      </c>
      <c r="D97" s="287">
        <f>D4/C4-1</f>
        <v>0.125</v>
      </c>
      <c r="E97" s="287">
        <f>E4/D4-1</f>
        <v>0.17222222222222228</v>
      </c>
      <c r="F97" s="287">
        <f>F4/E4-1</f>
        <v>0.1090047393364928</v>
      </c>
    </row>
    <row r="98" spans="1:7" s="286" customFormat="1" ht="11.25">
      <c r="A98" s="285" t="s">
        <v>1353</v>
      </c>
      <c r="C98" s="287"/>
      <c r="D98" s="287"/>
      <c r="E98" s="287"/>
      <c r="F98" s="287">
        <f>F4/B4-1</f>
        <v>0.5294117647058822</v>
      </c>
      <c r="G98" s="287"/>
    </row>
    <row r="99" spans="1:7" s="286" customFormat="1" ht="11.25">
      <c r="A99" s="285" t="s">
        <v>1354</v>
      </c>
      <c r="C99" s="287"/>
      <c r="D99" s="287"/>
      <c r="E99" s="287"/>
      <c r="F99" s="287">
        <f>F98-12.6%</f>
        <v>0.40341176470588225</v>
      </c>
      <c r="G99" s="287"/>
    </row>
    <row r="100" spans="1:7" s="286" customFormat="1" ht="11.25">
      <c r="A100" s="285" t="s">
        <v>1356</v>
      </c>
      <c r="C100" s="287"/>
      <c r="D100" s="287"/>
      <c r="E100" s="287"/>
      <c r="F100" s="287">
        <f>(1+F99)^0.25-1</f>
        <v>0.08841941045262613</v>
      </c>
      <c r="G100" s="287"/>
    </row>
    <row r="101" spans="1:7" s="280" customFormat="1" ht="11.25">
      <c r="A101" s="279"/>
      <c r="C101" s="281"/>
      <c r="D101" s="281"/>
      <c r="E101" s="281"/>
      <c r="F101" s="281"/>
      <c r="G101" s="281"/>
    </row>
    <row r="102" spans="1:6" ht="12.75">
      <c r="A102" t="s">
        <v>1576</v>
      </c>
      <c r="B102" s="99">
        <f>B12/B4</f>
        <v>0.05228758169934647</v>
      </c>
      <c r="C102" s="99">
        <f>C12/C4</f>
        <v>0.06875000000000003</v>
      </c>
      <c r="D102" s="99">
        <f>D12/D4</f>
        <v>0.09999999999999996</v>
      </c>
      <c r="E102" s="99">
        <f>E12/E4</f>
        <v>0.11848341232227498</v>
      </c>
      <c r="F102" s="99">
        <f>F12/F4</f>
        <v>0.11538461538461532</v>
      </c>
    </row>
    <row r="103" spans="1:6" ht="12.75">
      <c r="A103" t="s">
        <v>1577</v>
      </c>
      <c r="B103" s="99">
        <f>B16/B4</f>
        <v>0.006535947712418371</v>
      </c>
      <c r="C103" s="99">
        <f>C16/C4</f>
        <v>0.025000000000000033</v>
      </c>
      <c r="D103" s="99">
        <f>D16/D4</f>
        <v>0.04999999999999997</v>
      </c>
      <c r="E103" s="99">
        <f>E16/E4</f>
        <v>0.06635071090047404</v>
      </c>
      <c r="F103" s="99">
        <f>F16/F4</f>
        <v>0.06837606837606831</v>
      </c>
    </row>
    <row r="105" spans="1:6" ht="12.75">
      <c r="A105" t="s">
        <v>1357</v>
      </c>
      <c r="B105" s="47">
        <f>-B8/B4</f>
        <v>0.26143790849673204</v>
      </c>
      <c r="C105" s="47">
        <f>-C8/C4</f>
        <v>0.24375</v>
      </c>
      <c r="D105" s="47">
        <f>-D8/D4</f>
        <v>0.21666666666666667</v>
      </c>
      <c r="E105" s="47">
        <f>-E8/E4</f>
        <v>0.19431279620853079</v>
      </c>
      <c r="F105" s="47">
        <f>-F8/F4</f>
        <v>0.18803418803418806</v>
      </c>
    </row>
    <row r="106" spans="1:6" ht="12.75">
      <c r="A106" t="s">
        <v>1568</v>
      </c>
      <c r="B106" s="96">
        <f>-B13/B10</f>
        <v>0.4999999999999996</v>
      </c>
      <c r="C106" s="96">
        <f>-C13/C10</f>
        <v>0.2777777777777777</v>
      </c>
      <c r="D106" s="96">
        <f>-D13/D10</f>
        <v>0.1481481481481482</v>
      </c>
      <c r="E106" s="96">
        <f>-E13/E10</f>
        <v>0.057142857142857106</v>
      </c>
      <c r="F106" s="96">
        <f>-F13/F10</f>
        <v>0.025641025641025654</v>
      </c>
    </row>
    <row r="107" spans="1:6" ht="12.75">
      <c r="A107" t="s">
        <v>1588</v>
      </c>
      <c r="B107" s="96">
        <f>B16/B83</f>
        <v>0.0909090909090919</v>
      </c>
      <c r="C107" s="96">
        <f>C16/C83</f>
        <v>0.23529411764705913</v>
      </c>
      <c r="D107" s="96">
        <f>D16/D83</f>
        <v>0.28124999999999983</v>
      </c>
      <c r="E107" s="96">
        <f>E16/E83</f>
        <v>0.29787234042553234</v>
      </c>
      <c r="F107" s="96">
        <f>F16/F83</f>
        <v>0.2666666666666664</v>
      </c>
    </row>
    <row r="108" spans="2:6" ht="12.75">
      <c r="B108" s="96"/>
      <c r="C108" s="96"/>
      <c r="D108" s="96"/>
      <c r="E108" s="96"/>
      <c r="F108" s="96"/>
    </row>
    <row r="109" ht="12.75">
      <c r="A109" s="1" t="s">
        <v>15</v>
      </c>
    </row>
    <row r="110" spans="1:6" ht="12.75">
      <c r="A110" t="s">
        <v>11</v>
      </c>
      <c r="B110" s="96">
        <f>B61/B4</f>
        <v>0.10457516339869281</v>
      </c>
      <c r="C110" s="96">
        <f>C61/C4</f>
        <v>0.0875</v>
      </c>
      <c r="D110" s="96">
        <f>D61/D4</f>
        <v>0.07777777777777778</v>
      </c>
      <c r="E110" s="96">
        <f>E61/E4</f>
        <v>0.07582938388625593</v>
      </c>
      <c r="F110" s="96">
        <f>F61/F4</f>
        <v>0.07264957264957266</v>
      </c>
    </row>
    <row r="111" spans="1:6" ht="12.75">
      <c r="A111" t="s">
        <v>12</v>
      </c>
      <c r="B111" s="96">
        <f>-B64/B6</f>
        <v>0.2376237623762376</v>
      </c>
      <c r="C111" s="96">
        <f>-C64/C6</f>
        <v>0.2358490566037736</v>
      </c>
      <c r="D111" s="96">
        <f>-D64/D6</f>
        <v>0.23728813559322032</v>
      </c>
      <c r="E111" s="96">
        <f>-E64/E6</f>
        <v>0.23529411764705885</v>
      </c>
      <c r="F111" s="96">
        <f>-F64/F6</f>
        <v>0.23870967741935484</v>
      </c>
    </row>
    <row r="112" spans="1:6" ht="12.75">
      <c r="A112" t="s">
        <v>1299</v>
      </c>
      <c r="B112" s="96">
        <f>B60/B4</f>
        <v>0.17647058823529413</v>
      </c>
      <c r="C112" s="96">
        <f>C60/C4</f>
        <v>0.16875</v>
      </c>
      <c r="D112" s="96">
        <f>D60/D4</f>
        <v>0.15000000000000002</v>
      </c>
      <c r="E112" s="96">
        <f>E60/E4</f>
        <v>0.12322274881516587</v>
      </c>
      <c r="F112" s="96">
        <f>F60/F4</f>
        <v>0.12820512820512822</v>
      </c>
    </row>
    <row r="114" ht="12.75">
      <c r="A114" s="1" t="s">
        <v>1210</v>
      </c>
    </row>
    <row r="115" spans="1:6" ht="12.75">
      <c r="A115" s="131" t="s">
        <v>1358</v>
      </c>
      <c r="B115" s="23"/>
      <c r="C115" s="47">
        <f>C45/B45-1</f>
        <v>0.40000000000000013</v>
      </c>
      <c r="D115" s="47">
        <f>D45/C45-1</f>
        <v>0.571428571428569</v>
      </c>
      <c r="E115" s="47">
        <f>E45/D45-1</f>
        <v>0.6363636363636376</v>
      </c>
      <c r="F115" s="47">
        <f>F45/E45-1</f>
        <v>-0.30555555555555647</v>
      </c>
    </row>
    <row r="116" spans="1:6" s="78" customFormat="1" ht="12.75">
      <c r="A116" s="282" t="s">
        <v>1215</v>
      </c>
      <c r="B116" s="50"/>
      <c r="C116" s="156">
        <f>(C43-B43)/B45</f>
        <v>0.399999999999999</v>
      </c>
      <c r="D116" s="156">
        <f>(D43-C43)/C45</f>
        <v>0.49999999999999856</v>
      </c>
      <c r="E116" s="156">
        <f>(E43-D43)/D45</f>
        <v>0.27272727272727404</v>
      </c>
      <c r="F116" s="156">
        <f>(F43-E43)/E45</f>
        <v>0.11111111111110994</v>
      </c>
    </row>
    <row r="117" spans="1:6" ht="12.75">
      <c r="A117" s="131" t="s">
        <v>1360</v>
      </c>
      <c r="B117" s="23"/>
      <c r="C117" s="47"/>
      <c r="D117" s="47"/>
      <c r="E117" s="47"/>
      <c r="F117" s="47"/>
    </row>
    <row r="118" spans="1:6" s="78" customFormat="1" ht="12.75">
      <c r="A118" s="283" t="s">
        <v>1359</v>
      </c>
      <c r="B118" s="156">
        <f>B72/B4</f>
        <v>0.04575163398692816</v>
      </c>
      <c r="C118" s="156">
        <f>C72/C4</f>
        <v>0.02499999999999998</v>
      </c>
      <c r="D118" s="156">
        <f>D72/D4</f>
        <v>-0.00555555555555556</v>
      </c>
      <c r="E118" s="156">
        <f>E72/E4</f>
        <v>-0.07582938388625593</v>
      </c>
      <c r="F118" s="156">
        <f>F72/F4</f>
        <v>-0.06837606837606838</v>
      </c>
    </row>
    <row r="119" spans="1:6" s="78" customFormat="1" ht="12.75">
      <c r="A119" s="284" t="s">
        <v>1390</v>
      </c>
      <c r="B119" s="156"/>
      <c r="C119" s="156"/>
      <c r="D119" s="156"/>
      <c r="E119" s="156"/>
      <c r="F119" s="156"/>
    </row>
    <row r="120" spans="1:6" s="78" customFormat="1" ht="12.75">
      <c r="A120" s="283" t="s">
        <v>1211</v>
      </c>
      <c r="B120" s="156">
        <f>B48/B45</f>
        <v>0.9999999999999989</v>
      </c>
      <c r="C120" s="156">
        <f>C48/C45</f>
        <v>0.9285714285714273</v>
      </c>
      <c r="D120" s="156">
        <f>D48/D45</f>
        <v>0.5909090909090912</v>
      </c>
      <c r="E120" s="156">
        <f>E48/E45</f>
        <v>0.583333333333333</v>
      </c>
      <c r="F120" s="156">
        <f>F48/F45</f>
        <v>0.8400000000000006</v>
      </c>
    </row>
    <row r="121" spans="1:6" s="78" customFormat="1" ht="12.75">
      <c r="A121" s="283" t="s">
        <v>108</v>
      </c>
      <c r="B121" s="156"/>
      <c r="C121" s="156">
        <f>C48/B48-1</f>
        <v>0.2999999999999998</v>
      </c>
      <c r="D121" s="156">
        <f>D48/C48-1</f>
        <v>0</v>
      </c>
      <c r="E121" s="156">
        <f>E48/D48-1</f>
        <v>0.615384615384615</v>
      </c>
      <c r="F121" s="156">
        <f>F48/E48-1</f>
        <v>0</v>
      </c>
    </row>
    <row r="122" spans="1:6" s="78" customFormat="1" ht="12.75">
      <c r="A122" s="284" t="s">
        <v>1212</v>
      </c>
      <c r="B122" s="156"/>
      <c r="C122" s="156"/>
      <c r="D122" s="156"/>
      <c r="E122" s="156"/>
      <c r="F122" s="156"/>
    </row>
    <row r="123" spans="1:6" s="78" customFormat="1" ht="12.75">
      <c r="A123" s="283" t="s">
        <v>1213</v>
      </c>
      <c r="B123" s="6">
        <f>SUM(B51:F51)-F50</f>
        <v>0.9000000000000001</v>
      </c>
      <c r="C123" s="156"/>
      <c r="D123" s="156"/>
      <c r="E123" s="156"/>
      <c r="F123" s="156"/>
    </row>
    <row r="124" spans="1:6" s="78" customFormat="1" ht="12.75">
      <c r="A124" s="283" t="s">
        <v>1214</v>
      </c>
      <c r="B124" s="6">
        <f>-SUM(B52:F52)</f>
        <v>-3.7000000000000015</v>
      </c>
      <c r="C124" s="156"/>
      <c r="D124" s="156"/>
      <c r="E124" s="156"/>
      <c r="F124" s="156"/>
    </row>
    <row r="126" ht="12.75">
      <c r="A126" s="1" t="s">
        <v>16</v>
      </c>
    </row>
    <row r="127" ht="12.75">
      <c r="A127" s="110"/>
    </row>
    <row r="128" spans="1:6" ht="12.75">
      <c r="A128" t="s">
        <v>17</v>
      </c>
      <c r="B128" s="96">
        <f>B48/B59</f>
        <v>0.1923076923076923</v>
      </c>
      <c r="C128" s="96">
        <f>C48/C59</f>
        <v>0.22413793103448273</v>
      </c>
      <c r="D128" s="96">
        <f>D48/D59</f>
        <v>0.20967741935483875</v>
      </c>
      <c r="E128" s="96">
        <f>E48/E59</f>
        <v>0.28378378378378377</v>
      </c>
      <c r="F128" s="96">
        <f>F48/F59</f>
        <v>0.2560975609756097</v>
      </c>
    </row>
    <row r="129" spans="1:6" ht="12.75">
      <c r="A129" t="s">
        <v>1216</v>
      </c>
      <c r="B129" s="6">
        <f>B48/-B11</f>
        <v>1.6666666666666667</v>
      </c>
      <c r="C129" s="6">
        <f>C48/-C11</f>
        <v>1.857142857142857</v>
      </c>
      <c r="D129" s="6">
        <f>D48/-D11</f>
        <v>1.4444444444444444</v>
      </c>
      <c r="E129" s="6">
        <f>E48/-E11</f>
        <v>2.0999999999999996</v>
      </c>
      <c r="F129" s="6">
        <f>F48/-F11</f>
        <v>1.7499999999999998</v>
      </c>
    </row>
    <row r="131" spans="1:2" ht="12.75">
      <c r="A131" s="1" t="s">
        <v>18</v>
      </c>
      <c r="B131" s="47"/>
    </row>
    <row r="132" spans="1:6" ht="12.75">
      <c r="A132" s="78" t="s">
        <v>22</v>
      </c>
      <c r="B132" s="47">
        <f>B18</f>
        <v>0.5</v>
      </c>
      <c r="C132" s="47">
        <f>C18</f>
        <v>0.37</v>
      </c>
      <c r="D132" s="47">
        <f>D18</f>
        <v>0.39</v>
      </c>
      <c r="E132" s="47">
        <f>E18</f>
        <v>0.38</v>
      </c>
      <c r="F132" s="47">
        <f>F18</f>
        <v>0.38</v>
      </c>
    </row>
    <row r="133" spans="1:2" ht="12.75">
      <c r="A133" s="1"/>
      <c r="B133" s="47"/>
    </row>
    <row r="134" spans="1:6" ht="12.75">
      <c r="A134" t="s">
        <v>19</v>
      </c>
      <c r="B134" s="99">
        <f>B12*(1-B132)/B91</f>
        <v>0.06779661016949161</v>
      </c>
      <c r="C134" s="99">
        <f>C12*(1-C132)/C91</f>
        <v>0.11177419354838716</v>
      </c>
      <c r="D134" s="99">
        <f>D12*(1-D132)/D91</f>
        <v>0.17999999999999997</v>
      </c>
      <c r="E134" s="99">
        <f>E12*(1-E132)/E91</f>
        <v>0.2672413793103451</v>
      </c>
      <c r="F134" s="99">
        <f>F12*(1-F132)/F91</f>
        <v>0.2536363636363635</v>
      </c>
    </row>
    <row r="135" spans="1:6" ht="12.75">
      <c r="A135" t="s">
        <v>20</v>
      </c>
      <c r="B135" s="6">
        <f>(B12*(1-B132))/B4</f>
        <v>0.026143790849673235</v>
      </c>
      <c r="C135" s="6">
        <f>(C12*(1-IS))/C4</f>
        <v>0.06875000000000003</v>
      </c>
      <c r="D135" s="6">
        <f>(D12*(1-IS))/D4</f>
        <v>0.09999999999999996</v>
      </c>
      <c r="E135" s="6">
        <f>(E12*(1-IS))/E4</f>
        <v>0.11848341232227498</v>
      </c>
      <c r="F135" s="6">
        <f>(F12*(1-IS))/F4</f>
        <v>0.11538461538461532</v>
      </c>
    </row>
    <row r="136" spans="1:6" ht="12.75">
      <c r="A136" t="s">
        <v>21</v>
      </c>
      <c r="B136" s="6">
        <f>B4/B73</f>
        <v>2.5932203389830506</v>
      </c>
      <c r="C136" s="6">
        <f>C4/C73</f>
        <v>2.580645161290323</v>
      </c>
      <c r="D136" s="6">
        <f>D4/D73</f>
        <v>2.9508196721311477</v>
      </c>
      <c r="E136" s="6">
        <f>E4/E73</f>
        <v>3.6379310344827593</v>
      </c>
      <c r="F136" s="6">
        <f>F4/F73</f>
        <v>3.5454545454545445</v>
      </c>
    </row>
    <row r="138" spans="1:6" ht="12.75">
      <c r="A138" t="s">
        <v>1340</v>
      </c>
      <c r="B138" s="96">
        <f>(B12*(1-B132))/B73</f>
        <v>0.0677966101694916</v>
      </c>
      <c r="C138" s="96">
        <f>(C12*(1-C132))/C73</f>
        <v>0.11177419354838718</v>
      </c>
      <c r="D138" s="96">
        <f>(D12*(1-D132))/D73</f>
        <v>0.17999999999999997</v>
      </c>
      <c r="E138" s="96">
        <f>(E12*(1-E132))/E73</f>
        <v>0.26724137931034514</v>
      </c>
      <c r="F138" s="96">
        <f>(F12*(1-F132))/F73</f>
        <v>0.25363636363636344</v>
      </c>
    </row>
    <row r="139" spans="1:6" ht="12.75">
      <c r="A139" t="s">
        <v>1341</v>
      </c>
      <c r="B139" s="96">
        <f>(-B13*(1-B132))/B90</f>
        <v>0.07291666666666666</v>
      </c>
      <c r="C139" s="96">
        <f>(-C13*(1-C132))/C90</f>
        <v>0.07</v>
      </c>
      <c r="D139" s="96">
        <f>(-D13*(1-D132))/D90</f>
        <v>0.08413793103448276</v>
      </c>
      <c r="E139" s="96">
        <f>(-E13*(1-E132))/E90</f>
        <v>0.11272727272727275</v>
      </c>
      <c r="F139" s="96">
        <f>(-F13*(1-F132))/F90</f>
        <v>0.10333333333333336</v>
      </c>
    </row>
    <row r="140" spans="1:6" ht="12.75">
      <c r="A140" s="33" t="s">
        <v>1342</v>
      </c>
      <c r="B140" s="111">
        <f>B90/B83</f>
        <v>4.363636363636364</v>
      </c>
      <c r="C140" s="111">
        <f>C90/C83</f>
        <v>2.6470588235294117</v>
      </c>
      <c r="D140" s="111">
        <f>D90/D83</f>
        <v>0.9062499999999999</v>
      </c>
      <c r="E140" s="111">
        <f>E90/E83</f>
        <v>0.2340425531914893</v>
      </c>
      <c r="F140" s="111">
        <f>F90/F83</f>
        <v>0.09999999999999998</v>
      </c>
    </row>
    <row r="141" spans="1:6" ht="12.75">
      <c r="A141" s="1" t="s">
        <v>1335</v>
      </c>
      <c r="B141" s="96">
        <f>(B138-B139)*B140</f>
        <v>-0.022342064714945733</v>
      </c>
      <c r="C141" s="96">
        <f>(C138-C139)*C140</f>
        <v>0.11057874762808369</v>
      </c>
      <c r="D141" s="96">
        <f>(D138-D139)*D140</f>
        <v>0.08687499999999995</v>
      </c>
      <c r="E141" s="96">
        <f>(E138-E139)*E140</f>
        <v>0.036162876008804176</v>
      </c>
      <c r="F141" s="96">
        <f>(F138-F139)*F140</f>
        <v>0.015030303030303005</v>
      </c>
    </row>
    <row r="142" spans="1:6" ht="12.75">
      <c r="A142" t="s">
        <v>1343</v>
      </c>
      <c r="B142" s="96">
        <f>B138+B141</f>
        <v>0.04545454545454586</v>
      </c>
      <c r="C142" s="96">
        <f>C138+C141</f>
        <v>0.22235294117647086</v>
      </c>
      <c r="D142" s="96">
        <f>D138+D141</f>
        <v>0.2668749999999999</v>
      </c>
      <c r="E142" s="96">
        <f>E138+E141</f>
        <v>0.30340425531914933</v>
      </c>
      <c r="F142" s="96">
        <f>F138+F141</f>
        <v>0.26866666666666644</v>
      </c>
    </row>
    <row r="144" spans="1:6" ht="12.75">
      <c r="A144" t="s">
        <v>23</v>
      </c>
      <c r="B144" s="96">
        <f>B14*(1-B132)/B4</f>
        <v>0.0032679738562091856</v>
      </c>
      <c r="C144" s="96">
        <f>C14*(1-C132)/C4</f>
        <v>0.02362500000000002</v>
      </c>
      <c r="D144" s="96">
        <f>D14*(1-D132)/D4</f>
        <v>0.04744444444444443</v>
      </c>
      <c r="E144" s="96">
        <f>E14*(1-E132)/E4</f>
        <v>0.06758293838862565</v>
      </c>
      <c r="F144" s="96">
        <f>F14*(1-F132)/F4</f>
        <v>0.06888888888888885</v>
      </c>
    </row>
    <row r="145" spans="1:6" ht="12.75">
      <c r="A145" t="s">
        <v>24</v>
      </c>
      <c r="B145" s="6">
        <f>B4/B73</f>
        <v>2.5932203389830506</v>
      </c>
      <c r="C145" s="6">
        <f>C4/C73</f>
        <v>2.580645161290323</v>
      </c>
      <c r="D145" s="6">
        <f>D4/D73</f>
        <v>2.9508196721311477</v>
      </c>
      <c r="E145" s="6">
        <f>E4/E73</f>
        <v>3.6379310344827593</v>
      </c>
      <c r="F145" s="6">
        <f>F4/F73</f>
        <v>3.5454545454545445</v>
      </c>
    </row>
    <row r="146" spans="1:6" ht="12.75">
      <c r="A146" t="s">
        <v>25</v>
      </c>
      <c r="B146" s="6">
        <f>B140+1</f>
        <v>5.363636363636364</v>
      </c>
      <c r="C146" s="6">
        <f>C140+1</f>
        <v>3.6470588235294117</v>
      </c>
      <c r="D146" s="6">
        <f>D140+1</f>
        <v>1.90625</v>
      </c>
      <c r="E146" s="6">
        <f>E140+1</f>
        <v>1.2340425531914894</v>
      </c>
      <c r="F146" s="6">
        <f>F140+1</f>
        <v>1.1</v>
      </c>
    </row>
    <row r="147" spans="1:6" ht="12.75">
      <c r="A147" t="s">
        <v>1343</v>
      </c>
      <c r="B147" s="96">
        <f>B144*B145*B146</f>
        <v>0.04545454545454594</v>
      </c>
      <c r="C147" s="96">
        <f>C144*C145*C146</f>
        <v>0.2223529411764708</v>
      </c>
      <c r="D147" s="96">
        <f>D144*D145*D146</f>
        <v>0.2668749999999999</v>
      </c>
      <c r="E147" s="96">
        <f>E144*E145*E146</f>
        <v>0.3034042553191493</v>
      </c>
      <c r="F147" s="96">
        <f>F144*F145*F146</f>
        <v>0.26866666666666644</v>
      </c>
    </row>
    <row r="151" ht="14.25">
      <c r="A151" s="113" t="s">
        <v>1097</v>
      </c>
    </row>
    <row r="152" ht="14.25">
      <c r="A152" s="113"/>
    </row>
    <row r="153" spans="1:6" ht="12.75">
      <c r="A153" s="404" t="s">
        <v>1104</v>
      </c>
      <c r="B153" s="74">
        <v>2000</v>
      </c>
      <c r="C153" s="74">
        <f>+B153+1</f>
        <v>2001</v>
      </c>
      <c r="D153" s="74">
        <f>+C153+1</f>
        <v>2002</v>
      </c>
      <c r="E153" s="74">
        <f>+D153+1</f>
        <v>2003</v>
      </c>
      <c r="F153" s="74">
        <f>+E153+1</f>
        <v>2004</v>
      </c>
    </row>
    <row r="154" spans="1:6" ht="12.75">
      <c r="A154" s="3" t="s">
        <v>1070</v>
      </c>
      <c r="B154" s="388">
        <v>8494</v>
      </c>
      <c r="C154" s="388">
        <v>8626</v>
      </c>
      <c r="D154" s="388">
        <v>8219</v>
      </c>
      <c r="E154" s="388">
        <v>8716</v>
      </c>
      <c r="F154" s="388">
        <v>9778</v>
      </c>
    </row>
    <row r="155" spans="1:6" ht="12.75">
      <c r="A155" s="34" t="s">
        <v>1375</v>
      </c>
      <c r="B155" s="388">
        <v>-3167</v>
      </c>
      <c r="C155" s="388">
        <v>-3148</v>
      </c>
      <c r="D155" s="388">
        <v>-2688</v>
      </c>
      <c r="E155" s="388">
        <v>-3000</v>
      </c>
      <c r="F155" s="388">
        <v>-3432</v>
      </c>
    </row>
    <row r="156" spans="1:6" ht="25.5">
      <c r="A156" s="34" t="s">
        <v>1098</v>
      </c>
      <c r="B156" s="388">
        <v>-1866</v>
      </c>
      <c r="C156" s="388">
        <v>-1861</v>
      </c>
      <c r="D156" s="388">
        <v>-1931</v>
      </c>
      <c r="E156" s="388">
        <v>-2049</v>
      </c>
      <c r="F156" s="388">
        <v>-2333</v>
      </c>
    </row>
    <row r="157" spans="1:6" ht="12.75">
      <c r="A157" s="114" t="s">
        <v>1379</v>
      </c>
      <c r="B157" s="401">
        <f>SUM(B154:B156)</f>
        <v>3461</v>
      </c>
      <c r="C157" s="401">
        <f>SUM(C154:C156)</f>
        <v>3617</v>
      </c>
      <c r="D157" s="401">
        <f>SUM(D154:D156)</f>
        <v>3600</v>
      </c>
      <c r="E157" s="401">
        <f>SUM(E154:E156)</f>
        <v>3667</v>
      </c>
      <c r="F157" s="401">
        <f>SUM(F154:F156)</f>
        <v>4013</v>
      </c>
    </row>
    <row r="158" spans="1:6" ht="12.75">
      <c r="A158" s="402" t="s">
        <v>1380</v>
      </c>
      <c r="B158" s="403">
        <v>-1558</v>
      </c>
      <c r="C158" s="403">
        <v>-1603</v>
      </c>
      <c r="D158" s="403">
        <v>-1591</v>
      </c>
      <c r="E158" s="403">
        <v>-1641</v>
      </c>
      <c r="F158" s="403">
        <v>-1829</v>
      </c>
    </row>
    <row r="159" spans="1:6" ht="12.75">
      <c r="A159" s="402" t="s">
        <v>26</v>
      </c>
      <c r="B159" s="403">
        <v>-9</v>
      </c>
      <c r="C159" s="403">
        <v>-11</v>
      </c>
      <c r="D159" s="403">
        <v>-34</v>
      </c>
      <c r="E159" s="403">
        <v>-21</v>
      </c>
      <c r="F159" s="403">
        <v>7</v>
      </c>
    </row>
    <row r="160" spans="1:6" ht="12.75">
      <c r="A160" s="114" t="s">
        <v>933</v>
      </c>
      <c r="B160" s="401">
        <f>SUM(B157:B159)</f>
        <v>1894</v>
      </c>
      <c r="C160" s="401">
        <f>SUM(C157:C159)</f>
        <v>2003</v>
      </c>
      <c r="D160" s="401">
        <f>SUM(D157:D159)</f>
        <v>1975</v>
      </c>
      <c r="E160" s="401">
        <f>SUM(E157:E159)</f>
        <v>2005</v>
      </c>
      <c r="F160" s="401">
        <f>SUM(F157:F159)</f>
        <v>2191</v>
      </c>
    </row>
    <row r="161" spans="1:6" ht="12.75">
      <c r="A161" s="402" t="s">
        <v>1099</v>
      </c>
      <c r="B161" s="403">
        <v>-742</v>
      </c>
      <c r="C161" s="403">
        <v>-788</v>
      </c>
      <c r="D161" s="403">
        <v>-775</v>
      </c>
      <c r="E161" s="403">
        <v>-769</v>
      </c>
      <c r="F161" s="403">
        <v>-847</v>
      </c>
    </row>
    <row r="162" spans="1:6" ht="12.75">
      <c r="A162" s="114" t="s">
        <v>766</v>
      </c>
      <c r="B162" s="401">
        <f>B160+B161</f>
        <v>1152</v>
      </c>
      <c r="C162" s="401">
        <f>C160+C161</f>
        <v>1215</v>
      </c>
      <c r="D162" s="401">
        <f>D160+D161</f>
        <v>1200</v>
      </c>
      <c r="E162" s="401">
        <f>E160+E161</f>
        <v>1236</v>
      </c>
      <c r="F162" s="401">
        <f>F160+F161</f>
        <v>1344</v>
      </c>
    </row>
    <row r="163" spans="1:11" ht="12.75">
      <c r="A163" s="402" t="s">
        <v>1103</v>
      </c>
      <c r="B163" s="403">
        <v>-147</v>
      </c>
      <c r="C163" s="403">
        <v>-154</v>
      </c>
      <c r="D163" s="403">
        <v>-127</v>
      </c>
      <c r="E163" s="403">
        <v>-106</v>
      </c>
      <c r="F163" s="403">
        <v>-143</v>
      </c>
      <c r="G163" s="388"/>
      <c r="H163" s="388"/>
      <c r="I163" s="388"/>
      <c r="J163" s="388"/>
      <c r="K163" s="388"/>
    </row>
    <row r="164" spans="1:11" ht="12.75">
      <c r="A164" s="114" t="s">
        <v>805</v>
      </c>
      <c r="B164" s="403">
        <f>B162+B163</f>
        <v>1005</v>
      </c>
      <c r="C164" s="403">
        <f>C162+C163</f>
        <v>1061</v>
      </c>
      <c r="D164" s="403">
        <f>D162+D163</f>
        <v>1073</v>
      </c>
      <c r="E164" s="403">
        <f>E162+E163</f>
        <v>1130</v>
      </c>
      <c r="F164" s="403">
        <f>F162+F163</f>
        <v>1201</v>
      </c>
      <c r="G164" s="388"/>
      <c r="H164" s="388"/>
      <c r="I164" s="388"/>
      <c r="J164" s="388"/>
      <c r="K164" s="388"/>
    </row>
    <row r="165" spans="1:6" ht="12.75">
      <c r="A165" s="402" t="s">
        <v>1100</v>
      </c>
      <c r="B165" s="403">
        <v>-4</v>
      </c>
      <c r="C165" s="403">
        <v>-1</v>
      </c>
      <c r="D165" s="403">
        <v>-50</v>
      </c>
      <c r="E165" s="403">
        <v>-50</v>
      </c>
      <c r="F165" s="403">
        <v>-35</v>
      </c>
    </row>
    <row r="166" spans="1:6" ht="12.75">
      <c r="A166" s="402" t="s">
        <v>1101</v>
      </c>
      <c r="B166" s="403">
        <v>298</v>
      </c>
      <c r="C166" s="403">
        <v>314</v>
      </c>
      <c r="D166" s="403">
        <v>290</v>
      </c>
      <c r="E166" s="403">
        <v>307</v>
      </c>
      <c r="F166" s="403">
        <v>293</v>
      </c>
    </row>
    <row r="167" spans="1:6" ht="12.75">
      <c r="A167" s="114" t="s">
        <v>806</v>
      </c>
      <c r="B167" s="401">
        <f>B164+B165-B166</f>
        <v>703</v>
      </c>
      <c r="C167" s="401">
        <f>C164+C165-C166</f>
        <v>746</v>
      </c>
      <c r="D167" s="401">
        <f>D164+D165-D166</f>
        <v>733</v>
      </c>
      <c r="E167" s="401">
        <f>E164+E165-E166</f>
        <v>773</v>
      </c>
      <c r="F167" s="401">
        <f>F164+F165-F166</f>
        <v>873</v>
      </c>
    </row>
    <row r="168" spans="1:10" ht="12.75">
      <c r="A168" s="201" t="s">
        <v>27</v>
      </c>
      <c r="B168" s="403">
        <v>-61</v>
      </c>
      <c r="C168" s="403">
        <v>-51</v>
      </c>
      <c r="D168" s="403">
        <v>-47</v>
      </c>
      <c r="E168" s="403">
        <v>-56</v>
      </c>
      <c r="F168" s="403">
        <v>-64</v>
      </c>
      <c r="G168" s="388"/>
      <c r="H168" s="388"/>
      <c r="I168" s="388"/>
      <c r="J168" s="388"/>
    </row>
    <row r="169" spans="1:10" ht="25.5">
      <c r="A169" s="402" t="s">
        <v>1102</v>
      </c>
      <c r="B169" s="403">
        <v>46</v>
      </c>
      <c r="C169" s="403">
        <v>45</v>
      </c>
      <c r="D169" s="403">
        <v>56</v>
      </c>
      <c r="E169" s="403">
        <v>49</v>
      </c>
      <c r="F169" s="403">
        <v>36</v>
      </c>
      <c r="G169" s="388"/>
      <c r="H169" s="388"/>
      <c r="I169" s="388"/>
      <c r="J169" s="388"/>
    </row>
    <row r="170" spans="1:6" ht="12.75">
      <c r="A170" s="32" t="s">
        <v>1022</v>
      </c>
      <c r="B170" s="400">
        <f>B167+B168+B169</f>
        <v>688</v>
      </c>
      <c r="C170" s="400">
        <f>C167+C168+C169</f>
        <v>740</v>
      </c>
      <c r="D170" s="400">
        <f>D167+D168+D169</f>
        <v>742</v>
      </c>
      <c r="E170" s="400">
        <f>E167+E168+E169</f>
        <v>766</v>
      </c>
      <c r="F170" s="400">
        <f>F167+F168+F169</f>
        <v>845</v>
      </c>
    </row>
    <row r="171" spans="1:6" ht="12.75">
      <c r="A171" s="114"/>
      <c r="B171" s="69"/>
      <c r="C171" s="70"/>
      <c r="D171" s="69"/>
      <c r="E171" s="70"/>
      <c r="F171" s="70"/>
    </row>
    <row r="172" spans="1:6" ht="12.75">
      <c r="A172" s="405" t="s">
        <v>1105</v>
      </c>
      <c r="B172" s="74">
        <v>2000</v>
      </c>
      <c r="C172" s="74">
        <f>+B172+1</f>
        <v>2001</v>
      </c>
      <c r="D172" s="74">
        <f>+C172+1</f>
        <v>2002</v>
      </c>
      <c r="E172" s="74">
        <f>+D172+1</f>
        <v>2003</v>
      </c>
      <c r="F172" s="74">
        <f>+E172+1</f>
        <v>2004</v>
      </c>
    </row>
    <row r="173" spans="1:6" ht="12.75">
      <c r="A173" t="s">
        <v>914</v>
      </c>
      <c r="B173" s="403">
        <v>6804</v>
      </c>
      <c r="C173" s="403">
        <v>6879</v>
      </c>
      <c r="D173" s="403">
        <v>6154</v>
      </c>
      <c r="E173" s="403">
        <v>5927</v>
      </c>
      <c r="F173" s="403">
        <v>6916</v>
      </c>
    </row>
    <row r="174" spans="1:6" ht="12.75">
      <c r="A174" s="30" t="s">
        <v>1106</v>
      </c>
      <c r="B174" s="403">
        <v>1222</v>
      </c>
      <c r="C174" s="403">
        <v>1377</v>
      </c>
      <c r="D174" s="403">
        <v>1466</v>
      </c>
      <c r="E174" s="403">
        <v>1483</v>
      </c>
      <c r="F174" s="403">
        <v>3271</v>
      </c>
    </row>
    <row r="175" spans="1:6" ht="12.75">
      <c r="A175" s="30" t="s">
        <v>1107</v>
      </c>
      <c r="B175" s="403">
        <v>590</v>
      </c>
      <c r="C175" s="403">
        <v>655</v>
      </c>
      <c r="D175" s="403">
        <v>574</v>
      </c>
      <c r="E175" s="403">
        <v>525</v>
      </c>
      <c r="F175" s="403">
        <v>536</v>
      </c>
    </row>
    <row r="176" spans="1:6" ht="12.75">
      <c r="A176" s="35" t="s">
        <v>29</v>
      </c>
      <c r="B176" s="401">
        <f>SUM(B173:B175)</f>
        <v>8616</v>
      </c>
      <c r="C176" s="401">
        <f>SUM(C173:C175)</f>
        <v>8911</v>
      </c>
      <c r="D176" s="401">
        <f>SUM(D173:D175)</f>
        <v>8194</v>
      </c>
      <c r="E176" s="401">
        <f>SUM(E173:E175)</f>
        <v>7935</v>
      </c>
      <c r="F176" s="401">
        <f>SUM(F173:F175)</f>
        <v>10723</v>
      </c>
    </row>
    <row r="177" spans="1:6" ht="12.75">
      <c r="A177" t="s">
        <v>921</v>
      </c>
      <c r="B177" s="408">
        <v>624</v>
      </c>
      <c r="C177" s="408">
        <v>634</v>
      </c>
      <c r="D177" s="408">
        <v>563</v>
      </c>
      <c r="E177" s="408">
        <v>655</v>
      </c>
      <c r="F177" s="408">
        <v>759</v>
      </c>
    </row>
    <row r="178" spans="1:6" ht="12.75">
      <c r="A178" s="30" t="s">
        <v>1108</v>
      </c>
      <c r="B178" s="408">
        <v>2319</v>
      </c>
      <c r="C178" s="408">
        <v>2268</v>
      </c>
      <c r="D178" s="408">
        <v>2208</v>
      </c>
      <c r="E178" s="408">
        <v>2408</v>
      </c>
      <c r="F178" s="408">
        <v>2647</v>
      </c>
    </row>
    <row r="179" spans="1:6" ht="12.75">
      <c r="A179" s="30" t="s">
        <v>30</v>
      </c>
      <c r="B179" s="408">
        <v>-2069</v>
      </c>
      <c r="C179" s="408">
        <v>-1879</v>
      </c>
      <c r="D179" s="408">
        <v>-1960</v>
      </c>
      <c r="E179" s="408">
        <v>-2193</v>
      </c>
      <c r="F179" s="408">
        <v>-2341</v>
      </c>
    </row>
    <row r="180" spans="1:6" ht="12.75">
      <c r="A180" s="30" t="s">
        <v>31</v>
      </c>
      <c r="B180" s="388">
        <f>SUM(B177:B179)</f>
        <v>874</v>
      </c>
      <c r="C180" s="388">
        <f>SUM(C177:C179)</f>
        <v>1023</v>
      </c>
      <c r="D180" s="388">
        <f>SUM(D177:D179)</f>
        <v>811</v>
      </c>
      <c r="E180" s="388">
        <f>SUM(E177:E179)</f>
        <v>870</v>
      </c>
      <c r="F180" s="388">
        <f>SUM(F177:F179)</f>
        <v>1065</v>
      </c>
    </row>
    <row r="181" spans="1:6" ht="12.75">
      <c r="A181" s="59" t="s">
        <v>935</v>
      </c>
      <c r="B181" s="59">
        <f>B176+B180</f>
        <v>9490</v>
      </c>
      <c r="C181" s="59">
        <f>C176+C180</f>
        <v>9934</v>
      </c>
      <c r="D181" s="59">
        <f>D176+D180</f>
        <v>9005</v>
      </c>
      <c r="E181" s="59">
        <f>E176+E180</f>
        <v>8805</v>
      </c>
      <c r="F181" s="59">
        <f>F176+F180</f>
        <v>11788</v>
      </c>
    </row>
    <row r="183" spans="1:6" ht="12.75">
      <c r="A183" t="s">
        <v>926</v>
      </c>
      <c r="B183" s="408">
        <v>6670</v>
      </c>
      <c r="C183" s="408">
        <v>6800</v>
      </c>
      <c r="D183" s="408">
        <v>6450</v>
      </c>
      <c r="E183" s="408">
        <v>6460</v>
      </c>
      <c r="F183" s="408">
        <v>7008</v>
      </c>
    </row>
    <row r="184" spans="1:6" ht="12.75">
      <c r="A184" t="s">
        <v>32</v>
      </c>
      <c r="B184" s="408">
        <v>2955</v>
      </c>
      <c r="C184" s="408">
        <v>3304</v>
      </c>
      <c r="D184" s="408">
        <v>2822</v>
      </c>
      <c r="E184" s="408">
        <v>2600</v>
      </c>
      <c r="F184" s="408">
        <v>5291</v>
      </c>
    </row>
    <row r="185" spans="1:6" ht="12.75">
      <c r="A185" t="s">
        <v>33</v>
      </c>
      <c r="B185" s="408">
        <v>177</v>
      </c>
      <c r="C185" s="408">
        <v>430</v>
      </c>
      <c r="D185" s="408">
        <v>87</v>
      </c>
      <c r="E185" s="408">
        <v>183</v>
      </c>
      <c r="F185" s="408">
        <v>274</v>
      </c>
    </row>
    <row r="186" spans="1:6" ht="12.75">
      <c r="A186" s="30" t="s">
        <v>1160</v>
      </c>
      <c r="B186" s="408">
        <v>-66</v>
      </c>
      <c r="C186" s="408">
        <v>-243</v>
      </c>
      <c r="D186" s="408">
        <v>41</v>
      </c>
      <c r="E186" s="408">
        <v>-79</v>
      </c>
      <c r="F186" s="408">
        <v>-397</v>
      </c>
    </row>
    <row r="187" spans="1:6" ht="12.75">
      <c r="A187" s="30" t="s">
        <v>34</v>
      </c>
      <c r="B187" s="408">
        <v>-246</v>
      </c>
      <c r="C187" s="408">
        <v>-357</v>
      </c>
      <c r="D187" s="408">
        <v>-313</v>
      </c>
      <c r="E187" s="408">
        <v>-359</v>
      </c>
      <c r="F187" s="408">
        <v>-388</v>
      </c>
    </row>
    <row r="188" spans="1:6" ht="12.75">
      <c r="A188" s="30" t="s">
        <v>35</v>
      </c>
      <c r="B188" s="408">
        <f>SUM(B184:B187)</f>
        <v>2820</v>
      </c>
      <c r="C188" s="408">
        <f>SUM(C184:C187)</f>
        <v>3134</v>
      </c>
      <c r="D188" s="408">
        <f>SUM(D184:D187)</f>
        <v>2637</v>
      </c>
      <c r="E188" s="408">
        <f>SUM(E184:E187)</f>
        <v>2345</v>
      </c>
      <c r="F188" s="408">
        <f>SUM(F184:F187)</f>
        <v>4780</v>
      </c>
    </row>
    <row r="189" spans="1:6" ht="12.75">
      <c r="A189" s="59" t="s">
        <v>935</v>
      </c>
      <c r="B189" s="59">
        <f>B183+B188</f>
        <v>9490</v>
      </c>
      <c r="C189" s="59">
        <f>C183+C188</f>
        <v>9934</v>
      </c>
      <c r="D189" s="59">
        <f>D183+D188</f>
        <v>9087</v>
      </c>
      <c r="E189" s="59">
        <f>E183+E188</f>
        <v>8805</v>
      </c>
      <c r="F189" s="59">
        <f>F183+F188</f>
        <v>11788</v>
      </c>
    </row>
    <row r="191" spans="1:6" ht="12.75">
      <c r="A191" s="74" t="s">
        <v>1109</v>
      </c>
      <c r="B191" s="74">
        <v>2000</v>
      </c>
      <c r="C191" s="74">
        <f>+B191+1</f>
        <v>2001</v>
      </c>
      <c r="D191" s="74">
        <f>+C191+1</f>
        <v>2002</v>
      </c>
      <c r="E191" s="74">
        <f>+D191+1</f>
        <v>2003</v>
      </c>
      <c r="F191" s="74">
        <f>+E191+1</f>
        <v>2004</v>
      </c>
    </row>
    <row r="192" spans="1:6" ht="12.75">
      <c r="A192" s="409" t="s">
        <v>1185</v>
      </c>
      <c r="B192" s="82"/>
      <c r="C192" s="82"/>
      <c r="D192" s="82"/>
      <c r="E192" s="82"/>
      <c r="F192" s="82"/>
    </row>
    <row r="193" spans="1:6" ht="12.75">
      <c r="A193" s="3" t="s">
        <v>806</v>
      </c>
      <c r="B193">
        <v>702</v>
      </c>
      <c r="C193">
        <v>746</v>
      </c>
      <c r="D193">
        <v>733</v>
      </c>
      <c r="E193">
        <v>773</v>
      </c>
      <c r="F193">
        <v>873</v>
      </c>
    </row>
    <row r="194" spans="1:6" ht="12.75">
      <c r="A194" s="34" t="s">
        <v>1110</v>
      </c>
      <c r="B194">
        <v>742</v>
      </c>
      <c r="C194">
        <v>788</v>
      </c>
      <c r="D194">
        <v>775</v>
      </c>
      <c r="E194">
        <v>769</v>
      </c>
      <c r="F194">
        <v>847</v>
      </c>
    </row>
    <row r="195" spans="1:6" ht="12.75">
      <c r="A195" s="34" t="s">
        <v>1111</v>
      </c>
      <c r="B195">
        <v>120</v>
      </c>
      <c r="C195">
        <v>92</v>
      </c>
      <c r="D195">
        <v>5</v>
      </c>
      <c r="E195">
        <v>-39</v>
      </c>
      <c r="F195">
        <v>106</v>
      </c>
    </row>
    <row r="196" spans="1:6" ht="12.75">
      <c r="A196" s="34" t="s">
        <v>1574</v>
      </c>
      <c r="B196">
        <f>SUM(B193:B195)</f>
        <v>1564</v>
      </c>
      <c r="C196">
        <f>SUM(C193:C195)</f>
        <v>1626</v>
      </c>
      <c r="D196">
        <f>SUM(D193:D195)</f>
        <v>1513</v>
      </c>
      <c r="E196">
        <f>SUM(E193:E195)</f>
        <v>1503</v>
      </c>
      <c r="F196">
        <f>SUM(F193:F195)</f>
        <v>1826</v>
      </c>
    </row>
    <row r="197" spans="1:6" ht="12.75">
      <c r="A197" s="410" t="s">
        <v>1112</v>
      </c>
      <c r="B197">
        <v>-95</v>
      </c>
      <c r="C197">
        <v>-149</v>
      </c>
      <c r="D197">
        <v>212</v>
      </c>
      <c r="E197" s="78">
        <v>-59</v>
      </c>
      <c r="F197" s="78">
        <v>-195</v>
      </c>
    </row>
    <row r="198" spans="1:6" ht="25.5">
      <c r="A198" s="108" t="s">
        <v>895</v>
      </c>
      <c r="B198" s="399">
        <f>SUM(B196:B197)</f>
        <v>1469</v>
      </c>
      <c r="C198" s="399">
        <f>SUM(C196:C197)</f>
        <v>1477</v>
      </c>
      <c r="D198" s="399">
        <f>SUM(D196:D197)</f>
        <v>1725</v>
      </c>
      <c r="E198" s="399">
        <f>SUM(E196:E197)</f>
        <v>1444</v>
      </c>
      <c r="F198" s="399">
        <f>SUM(F196:F197)</f>
        <v>1631</v>
      </c>
    </row>
    <row r="199" spans="1:6" ht="12.75">
      <c r="A199" s="34" t="s">
        <v>877</v>
      </c>
      <c r="B199">
        <v>-845</v>
      </c>
      <c r="C199">
        <v>-1114</v>
      </c>
      <c r="D199">
        <v>-846</v>
      </c>
      <c r="E199" s="78">
        <v>-788</v>
      </c>
      <c r="F199" s="78">
        <v>-3635</v>
      </c>
    </row>
    <row r="200" spans="1:6" ht="12.75">
      <c r="A200" s="34" t="s">
        <v>36</v>
      </c>
      <c r="B200">
        <v>-185</v>
      </c>
      <c r="C200">
        <v>-322</v>
      </c>
      <c r="D200">
        <v>106</v>
      </c>
      <c r="E200" s="78">
        <v>13</v>
      </c>
      <c r="F200" s="78">
        <v>58</v>
      </c>
    </row>
    <row r="201" spans="1:6" ht="12.75">
      <c r="A201" s="34" t="s">
        <v>880</v>
      </c>
      <c r="B201">
        <v>-287</v>
      </c>
      <c r="C201">
        <v>-355</v>
      </c>
      <c r="D201">
        <v>-396</v>
      </c>
      <c r="E201" s="78">
        <v>-459</v>
      </c>
      <c r="F201" s="78">
        <v>-489</v>
      </c>
    </row>
    <row r="202" spans="1:6" ht="12.75">
      <c r="A202" s="108" t="s">
        <v>873</v>
      </c>
      <c r="B202" s="399">
        <f>SUM(B198:B201)</f>
        <v>152</v>
      </c>
      <c r="C202" s="399">
        <f>SUM(C198:C201)</f>
        <v>-314</v>
      </c>
      <c r="D202" s="399">
        <f>SUM(D198:D201)</f>
        <v>589</v>
      </c>
      <c r="E202" s="399">
        <f>SUM(E198:E201)</f>
        <v>210</v>
      </c>
      <c r="F202" s="399">
        <f>SUM(F198:F201)</f>
        <v>-2435</v>
      </c>
    </row>
    <row r="204" ht="12.75">
      <c r="A204" s="1" t="s">
        <v>37</v>
      </c>
    </row>
    <row r="205" ht="12.75">
      <c r="A205" s="97" t="s">
        <v>1567</v>
      </c>
    </row>
    <row r="206" spans="1:6" ht="12.75">
      <c r="A206" t="s">
        <v>727</v>
      </c>
      <c r="B206" s="6">
        <f>B154/$B154</f>
        <v>1</v>
      </c>
      <c r="C206" s="6">
        <f>C154/$B154</f>
        <v>1.0155403814457264</v>
      </c>
      <c r="D206" s="6">
        <f>D154/$B154</f>
        <v>0.9676242053214034</v>
      </c>
      <c r="E206" s="6">
        <f>E154/$B154</f>
        <v>1.0261360960678125</v>
      </c>
      <c r="F206" s="6">
        <f>F154/$B154</f>
        <v>1.1511655286084295</v>
      </c>
    </row>
    <row r="207" spans="1:6" ht="12.75">
      <c r="A207" t="s">
        <v>1379</v>
      </c>
      <c r="B207" s="6">
        <f>B157/$B157</f>
        <v>1</v>
      </c>
      <c r="C207" s="6">
        <f>C157/$B157</f>
        <v>1.0450736781277088</v>
      </c>
      <c r="D207" s="6">
        <f>D157/$B157</f>
        <v>1.0401618029471251</v>
      </c>
      <c r="E207" s="6">
        <f>E157/$B157</f>
        <v>1.0595203698353077</v>
      </c>
      <c r="F207" s="6">
        <f>F157/$B157</f>
        <v>1.1594914764518924</v>
      </c>
    </row>
    <row r="208" spans="1:6" ht="12.75">
      <c r="A208" t="s">
        <v>806</v>
      </c>
      <c r="B208" s="6">
        <f>B167/$B167</f>
        <v>1</v>
      </c>
      <c r="C208" s="6">
        <f>C167/$B167</f>
        <v>1.0611664295874823</v>
      </c>
      <c r="D208" s="6">
        <f>D167/$B167</f>
        <v>1.042674253200569</v>
      </c>
      <c r="E208" s="6">
        <f>E167/$B167</f>
        <v>1.0995732574679944</v>
      </c>
      <c r="F208" s="6">
        <f>F167/$B167</f>
        <v>1.2418207681365576</v>
      </c>
    </row>
    <row r="210" spans="1:6" ht="12.75">
      <c r="A210" t="s">
        <v>1565</v>
      </c>
      <c r="B210" s="6">
        <f>(B154/B158)/($B154/$B158)</f>
        <v>1</v>
      </c>
      <c r="C210" s="6">
        <f>(C154/C158)/($B154/$B158)</f>
        <v>0.9870317618792526</v>
      </c>
      <c r="D210" s="6">
        <f>(D154/D158)/($B154/$B158)</f>
        <v>0.9475540615278105</v>
      </c>
      <c r="E210" s="6">
        <f>(E154/E158)/($B154/$B158)</f>
        <v>0.9742352453830909</v>
      </c>
      <c r="F210" s="6">
        <f>(F154/F158)/($B154/$B158)</f>
        <v>0.9805991763651905</v>
      </c>
    </row>
    <row r="211" spans="1:6" ht="12.75">
      <c r="A211" t="s">
        <v>1566</v>
      </c>
      <c r="B211" s="96">
        <f>B170/B183</f>
        <v>0.10314842578710645</v>
      </c>
      <c r="C211" s="96">
        <f>C170/C183</f>
        <v>0.10882352941176471</v>
      </c>
      <c r="D211" s="96">
        <f>D170/D183</f>
        <v>0.11503875968992248</v>
      </c>
      <c r="E211" s="96">
        <f>E170/E183</f>
        <v>0.11857585139318885</v>
      </c>
      <c r="F211" s="96">
        <f>F170/F183</f>
        <v>0.12057648401826485</v>
      </c>
    </row>
    <row r="212" spans="1:6" ht="12.75">
      <c r="A212" t="s">
        <v>1568</v>
      </c>
      <c r="B212" s="96">
        <f>-B163/B160</f>
        <v>0.07761351636747624</v>
      </c>
      <c r="C212" s="96">
        <f>-C163/C160</f>
        <v>0.07688467299051423</v>
      </c>
      <c r="D212" s="96">
        <f>-D163/D160</f>
        <v>0.06430379746835443</v>
      </c>
      <c r="E212" s="96">
        <f>-E163/E160</f>
        <v>0.05286783042394015</v>
      </c>
      <c r="F212" s="96">
        <f>-F163/F160</f>
        <v>0.06526700136923778</v>
      </c>
    </row>
    <row r="214" ht="12.75">
      <c r="A214" s="1" t="s">
        <v>38</v>
      </c>
    </row>
    <row r="215" spans="1:6" ht="12.75">
      <c r="A215" t="s">
        <v>11</v>
      </c>
      <c r="B215" s="96">
        <f>B178/B154</f>
        <v>0.27301624676242053</v>
      </c>
      <c r="C215" s="96">
        <f>C178/C154</f>
        <v>0.2629260375608625</v>
      </c>
      <c r="D215" s="96">
        <f>D178/D154</f>
        <v>0.26864582065944764</v>
      </c>
      <c r="E215" s="96">
        <f>E178/E154</f>
        <v>0.2762735199632859</v>
      </c>
      <c r="F215" s="96">
        <f>F178/F154</f>
        <v>0.270709756596441</v>
      </c>
    </row>
    <row r="216" spans="1:6" ht="12.75">
      <c r="A216" t="s">
        <v>12</v>
      </c>
      <c r="B216" s="96">
        <f>B179/(-B155-B156)</f>
        <v>-0.4110868269421816</v>
      </c>
      <c r="C216" s="96">
        <f>C179/(-C155-C156)</f>
        <v>-0.3751247754042723</v>
      </c>
      <c r="D216" s="96">
        <f>D179/(-D155-D156)</f>
        <v>-0.42433427148733494</v>
      </c>
      <c r="E216" s="96">
        <f>E179/(-E155-E156)</f>
        <v>-0.43434343434343436</v>
      </c>
      <c r="F216" s="96">
        <f>F179/(-F155-F156)</f>
        <v>-0.40607111882046837</v>
      </c>
    </row>
    <row r="217" spans="1:6" ht="12.75">
      <c r="A217" t="s">
        <v>1299</v>
      </c>
      <c r="B217" s="96">
        <f>B177/B154</f>
        <v>0.0734636213797975</v>
      </c>
      <c r="C217" s="96">
        <f>C177/C154</f>
        <v>0.07349872478553211</v>
      </c>
      <c r="D217" s="96">
        <f>D177/D154</f>
        <v>0.06849981749604575</v>
      </c>
      <c r="E217" s="96">
        <f>E177/E154</f>
        <v>0.07514915098669114</v>
      </c>
      <c r="F217" s="96">
        <f>F177/F154</f>
        <v>0.0776232358355492</v>
      </c>
    </row>
    <row r="219" ht="12.75">
      <c r="A219" s="1" t="s">
        <v>39</v>
      </c>
    </row>
    <row r="220" ht="12.75">
      <c r="A220" s="78" t="s">
        <v>1218</v>
      </c>
    </row>
    <row r="221" ht="12.75">
      <c r="A221" s="78" t="s">
        <v>1219</v>
      </c>
    </row>
    <row r="222" ht="12.75">
      <c r="A222" s="78"/>
    </row>
    <row r="223" spans="1:6" ht="12.75">
      <c r="A223" t="s">
        <v>895</v>
      </c>
      <c r="B223" s="23">
        <f aca="true" t="shared" si="2" ref="B223:F224">B198</f>
        <v>1469</v>
      </c>
      <c r="C223" s="23">
        <f t="shared" si="2"/>
        <v>1477</v>
      </c>
      <c r="D223" s="23">
        <f t="shared" si="2"/>
        <v>1725</v>
      </c>
      <c r="E223" s="23">
        <f t="shared" si="2"/>
        <v>1444</v>
      </c>
      <c r="F223" s="23">
        <f t="shared" si="2"/>
        <v>1631</v>
      </c>
    </row>
    <row r="224" spans="1:6" ht="12.75">
      <c r="A224" t="s">
        <v>1390</v>
      </c>
      <c r="B224" s="23">
        <f t="shared" si="2"/>
        <v>-845</v>
      </c>
      <c r="C224" s="23">
        <f t="shared" si="2"/>
        <v>-1114</v>
      </c>
      <c r="D224" s="23">
        <f t="shared" si="2"/>
        <v>-846</v>
      </c>
      <c r="E224" s="23">
        <f t="shared" si="2"/>
        <v>-788</v>
      </c>
      <c r="F224" s="23">
        <f t="shared" si="2"/>
        <v>-3635</v>
      </c>
    </row>
    <row r="225" spans="1:6" ht="12.75">
      <c r="A225" t="s">
        <v>873</v>
      </c>
      <c r="B225" s="23">
        <f>B202</f>
        <v>152</v>
      </c>
      <c r="C225" s="23">
        <f>C202</f>
        <v>-314</v>
      </c>
      <c r="D225" s="23">
        <f>D202</f>
        <v>589</v>
      </c>
      <c r="E225" s="23">
        <f>E202</f>
        <v>210</v>
      </c>
      <c r="F225" s="23">
        <f>F202</f>
        <v>-2435</v>
      </c>
    </row>
    <row r="227" ht="12.75">
      <c r="A227" s="1" t="s">
        <v>40</v>
      </c>
    </row>
    <row r="228" ht="12.75">
      <c r="A228" s="110"/>
    </row>
    <row r="229" spans="1:6" ht="12.75">
      <c r="A229" t="s">
        <v>17</v>
      </c>
      <c r="B229" s="96">
        <f>B224/B176</f>
        <v>-0.09807335190343547</v>
      </c>
      <c r="C229" s="96">
        <f>C224/C176</f>
        <v>-0.12501402760632926</v>
      </c>
      <c r="D229" s="96">
        <f>D224/D176</f>
        <v>-0.10324627776421771</v>
      </c>
      <c r="E229" s="96">
        <f>E224/E176</f>
        <v>-0.09930686830497795</v>
      </c>
      <c r="F229" s="96">
        <f>F224/F176</f>
        <v>-0.33899095402406043</v>
      </c>
    </row>
    <row r="230" spans="1:6" ht="12.75">
      <c r="A230" t="s">
        <v>1216</v>
      </c>
      <c r="B230" s="23">
        <f>B199/B194</f>
        <v>-1.1388140161725067</v>
      </c>
      <c r="C230" s="23">
        <f>C199/C194</f>
        <v>-1.4137055837563453</v>
      </c>
      <c r="D230" s="23">
        <f>D199/D194</f>
        <v>-1.0916129032258064</v>
      </c>
      <c r="E230" s="23">
        <f>E199/E194</f>
        <v>-1.024707412223667</v>
      </c>
      <c r="F230" s="23">
        <f>F199/F194</f>
        <v>-4.291617473435656</v>
      </c>
    </row>
    <row r="232" spans="1:2" ht="12.75">
      <c r="A232" s="1" t="s">
        <v>41</v>
      </c>
      <c r="B232" s="47"/>
    </row>
    <row r="233" spans="1:6" ht="12.75">
      <c r="A233" s="78" t="s">
        <v>22</v>
      </c>
      <c r="B233" s="47">
        <f>B166/(B164+B165)</f>
        <v>0.2977022977022977</v>
      </c>
      <c r="C233" s="47">
        <f>C166/(C164+C165)</f>
        <v>0.2962264150943396</v>
      </c>
      <c r="D233" s="47">
        <f>D166/(D164+D165)</f>
        <v>0.28347996089931576</v>
      </c>
      <c r="E233" s="47">
        <f>E166/(E164+E165)</f>
        <v>0.28425925925925927</v>
      </c>
      <c r="F233" s="47">
        <f>F166/(F164+F165)</f>
        <v>0.25128644939965694</v>
      </c>
    </row>
    <row r="234" spans="1:2" ht="12.75">
      <c r="A234" s="1"/>
      <c r="B234" s="47"/>
    </row>
    <row r="235" spans="1:6" ht="12.75">
      <c r="A235" t="s">
        <v>19</v>
      </c>
      <c r="B235" s="6">
        <f>B236*B237</f>
        <v>0.0852525767172764</v>
      </c>
      <c r="C235" s="6">
        <f>C236*C237</f>
        <v>0.08607659610029972</v>
      </c>
      <c r="D235" s="6">
        <f>D236*D237</f>
        <v>0.09548295912502179</v>
      </c>
      <c r="E235" s="6">
        <f>E236*E237</f>
        <v>0.10047195406650261</v>
      </c>
      <c r="F235" s="6">
        <f>F236*F237</f>
        <v>0.0853640152703479</v>
      </c>
    </row>
    <row r="236" spans="1:6" ht="12.75">
      <c r="A236" t="s">
        <v>20</v>
      </c>
      <c r="B236" s="6">
        <f>(B162*(1-B233))/B154</f>
        <v>0.09524922922615411</v>
      </c>
      <c r="C236" s="6">
        <f>(C162*(1-C233))/C154</f>
        <v>0.09912878572459742</v>
      </c>
      <c r="D236" s="6">
        <f>(D162*(1-D233))/D154</f>
        <v>0.10461419234953415</v>
      </c>
      <c r="E236" s="6">
        <f>(E162*(1-E233))/E154</f>
        <v>0.10149788384070164</v>
      </c>
      <c r="F236" s="6">
        <f>(F162*(1-F233))/F154</f>
        <v>0.10291174187020465</v>
      </c>
    </row>
    <row r="237" spans="1:6" ht="12.75">
      <c r="A237" t="s">
        <v>21</v>
      </c>
      <c r="B237" s="6">
        <f>B154/B181</f>
        <v>0.8950474183350896</v>
      </c>
      <c r="C237" s="6">
        <f>C154/C181</f>
        <v>0.8683309844976848</v>
      </c>
      <c r="D237" s="6">
        <f>D154/D181</f>
        <v>0.9127151582454193</v>
      </c>
      <c r="E237" s="6">
        <f>E154/E181</f>
        <v>0.9898921067575241</v>
      </c>
      <c r="F237" s="6">
        <f>F154/F181</f>
        <v>0.8294876145232439</v>
      </c>
    </row>
    <row r="239" spans="1:6" ht="12.75">
      <c r="A239" t="s">
        <v>1340</v>
      </c>
      <c r="B239" s="96">
        <f>(B162*(1-B233))/B181</f>
        <v>0.0852525767172764</v>
      </c>
      <c r="C239" s="96">
        <f>(C162*(1-C233))/C181</f>
        <v>0.0860765961002997</v>
      </c>
      <c r="D239" s="96">
        <f>(D162*(1-D233))/D181</f>
        <v>0.09548295912502178</v>
      </c>
      <c r="E239" s="96">
        <f>(E162*(1-E233))/E181</f>
        <v>0.10047195406650263</v>
      </c>
      <c r="F239" s="96">
        <f>(F162*(1-F233))/F181</f>
        <v>0.0853640152703479</v>
      </c>
    </row>
    <row r="240" spans="1:6" ht="12.75">
      <c r="A240" t="s">
        <v>1341</v>
      </c>
      <c r="B240" s="96">
        <f>(-B163*(1-B233))/B188</f>
        <v>0.03660913554530576</v>
      </c>
      <c r="C240" s="96">
        <f>(-C163*(1-C233))/C188</f>
        <v>0.03458236505279888</v>
      </c>
      <c r="D240" s="96">
        <f>(-D163*(1-D233))/D188</f>
        <v>0.034508170256271106</v>
      </c>
      <c r="E240" s="96">
        <f>(-E163*(1-E233))/E188</f>
        <v>0.032353312801074</v>
      </c>
      <c r="F240" s="96">
        <f>(-F163*(1-F233))/F188</f>
        <v>0.022398752664403568</v>
      </c>
    </row>
    <row r="241" spans="1:6" ht="12.75">
      <c r="A241" s="33" t="s">
        <v>1342</v>
      </c>
      <c r="B241" s="111">
        <f>B188/B183</f>
        <v>0.42278860569715143</v>
      </c>
      <c r="C241" s="111">
        <f>C188/C183</f>
        <v>0.46088235294117647</v>
      </c>
      <c r="D241" s="111">
        <f>D188/D183</f>
        <v>0.4088372093023256</v>
      </c>
      <c r="E241" s="111">
        <f>E188/E183</f>
        <v>0.36300309597523217</v>
      </c>
      <c r="F241" s="111">
        <f>F188/F183</f>
        <v>0.6820776255707762</v>
      </c>
    </row>
    <row r="242" spans="1:6" ht="12.75">
      <c r="A242" s="1" t="s">
        <v>1335</v>
      </c>
      <c r="B242" s="96">
        <f>(B239-B240)*B241</f>
        <v>0.020565892669408878</v>
      </c>
      <c r="C242" s="96">
        <f>(C239-C240)*C241</f>
        <v>0.02373278236806876</v>
      </c>
      <c r="D242" s="96">
        <f>(D239-D240)*D241</f>
        <v>0.024928762518898532</v>
      </c>
      <c r="E242" s="96">
        <f>(E239-E240)*E241</f>
        <v>0.0247272776729768</v>
      </c>
      <c r="F242" s="96">
        <f>(F239-F240)*F241</f>
        <v>0.04294719681170289</v>
      </c>
    </row>
    <row r="243" spans="1:6" ht="12.75">
      <c r="A243" t="s">
        <v>1343</v>
      </c>
      <c r="B243" s="96">
        <f>B239+B242</f>
        <v>0.10581846938668528</v>
      </c>
      <c r="C243" s="96">
        <f>C239+C242</f>
        <v>0.10980937846836847</v>
      </c>
      <c r="D243" s="96">
        <f>D239+D242</f>
        <v>0.1204117216439203</v>
      </c>
      <c r="E243" s="96">
        <f>E239+E242</f>
        <v>0.12519923173947942</v>
      </c>
      <c r="F243" s="96">
        <f>F239+F242</f>
        <v>0.1283112120820508</v>
      </c>
    </row>
    <row r="245" spans="1:6" ht="12.75">
      <c r="A245" t="s">
        <v>42</v>
      </c>
      <c r="B245" s="170">
        <f>B162/B154</f>
        <v>0.13562514716270307</v>
      </c>
      <c r="C245" s="170">
        <f>C162/C154</f>
        <v>0.14085323440760492</v>
      </c>
      <c r="D245" s="170">
        <f>D162/D154</f>
        <v>0.14600316340187372</v>
      </c>
      <c r="E245" s="170">
        <f>E162/E154</f>
        <v>0.14180816888480954</v>
      </c>
      <c r="F245" s="170">
        <f>F162/F154</f>
        <v>0.13745142155860093</v>
      </c>
    </row>
    <row r="246" spans="1:6" ht="12.75">
      <c r="A246" t="s">
        <v>43</v>
      </c>
      <c r="B246" s="156">
        <f>1-B233</f>
        <v>0.7022977022977023</v>
      </c>
      <c r="C246" s="156">
        <f>1-C233</f>
        <v>0.7037735849056603</v>
      </c>
      <c r="D246" s="156">
        <f>1-D233</f>
        <v>0.7165200391006843</v>
      </c>
      <c r="E246" s="156">
        <f>1-E233</f>
        <v>0.7157407407407408</v>
      </c>
      <c r="F246" s="156">
        <f>1-F233</f>
        <v>0.7487135506003431</v>
      </c>
    </row>
    <row r="247" spans="1:6" ht="12.75">
      <c r="A247" t="s">
        <v>44</v>
      </c>
      <c r="B247" s="112">
        <f>B154/B181</f>
        <v>0.8950474183350896</v>
      </c>
      <c r="C247" s="112">
        <f>C154/C181</f>
        <v>0.8683309844976848</v>
      </c>
      <c r="D247" s="112">
        <f>D154/D181</f>
        <v>0.9127151582454193</v>
      </c>
      <c r="E247" s="112">
        <f>E154/E181</f>
        <v>0.9898921067575241</v>
      </c>
      <c r="F247" s="112">
        <f>F154/F181</f>
        <v>0.8294876145232439</v>
      </c>
    </row>
    <row r="248" spans="1:6" ht="12.75">
      <c r="A248" s="1" t="s">
        <v>1340</v>
      </c>
      <c r="B248" s="106">
        <f>B245*B246*B247</f>
        <v>0.08525257671727639</v>
      </c>
      <c r="C248" s="106">
        <f>C245*C246*C247</f>
        <v>0.08607659610029972</v>
      </c>
      <c r="D248" s="106">
        <f>D245*D246*D247</f>
        <v>0.0954829591250218</v>
      </c>
      <c r="E248" s="106">
        <f>E245*E246*E247</f>
        <v>0.10047195406650263</v>
      </c>
      <c r="F248" s="106">
        <f>F245*F246*F247</f>
        <v>0.0853640152703479</v>
      </c>
    </row>
    <row r="250" spans="1:6" ht="12.75">
      <c r="A250" t="s">
        <v>45</v>
      </c>
      <c r="B250" s="96">
        <f>B248-(-B163*B246/B188)</f>
        <v>0.04864344117197063</v>
      </c>
      <c r="C250" s="96">
        <f>C248-(-C163*C246/C188)</f>
        <v>0.05149423104750084</v>
      </c>
      <c r="D250" s="96">
        <f>D248-(-D163*D246/D188)</f>
        <v>0.0609747888687507</v>
      </c>
      <c r="E250" s="96">
        <f>E248-(-E163*E246/E188)</f>
        <v>0.06811864126542863</v>
      </c>
      <c r="F250" s="96">
        <f>F248-(-F163*F246/F188)</f>
        <v>0.06296526260594433</v>
      </c>
    </row>
    <row r="251" spans="1:6" ht="12.75">
      <c r="A251" t="s">
        <v>1342</v>
      </c>
      <c r="B251" s="111">
        <f>B188/B183</f>
        <v>0.42278860569715143</v>
      </c>
      <c r="C251" s="111">
        <f>C188/C183</f>
        <v>0.46088235294117647</v>
      </c>
      <c r="D251" s="111">
        <f>D188/D183</f>
        <v>0.4088372093023256</v>
      </c>
      <c r="E251" s="111">
        <f>E188/E183</f>
        <v>0.36300309597523217</v>
      </c>
      <c r="F251" s="111">
        <f>F188/F183</f>
        <v>0.6820776255707762</v>
      </c>
    </row>
    <row r="252" spans="1:6" ht="12.75">
      <c r="A252" t="s">
        <v>1372</v>
      </c>
      <c r="B252" s="95">
        <f>B248+B250*B251</f>
        <v>0.10581846938668527</v>
      </c>
      <c r="C252" s="95">
        <f>C248+C250*C251</f>
        <v>0.10980937846836848</v>
      </c>
      <c r="D252" s="95">
        <f>D248+D250*D251</f>
        <v>0.12041172164392035</v>
      </c>
      <c r="E252" s="95">
        <f>E248+E250*E251</f>
        <v>0.12519923173947942</v>
      </c>
      <c r="F252" s="95">
        <f>F248+F250*F251</f>
        <v>0.1283112120820508</v>
      </c>
    </row>
  </sheetData>
  <printOptions/>
  <pageMargins left="0.7874015748031497" right="0.7874015748031497" top="0.984251968503937" bottom="0.984251968503937" header="0.5118110236220472" footer="0.5118110236220472"/>
  <pageSetup fitToHeight="10" fitToWidth="1" horizontalDpi="200" verticalDpi="200" orientation="landscape" paperSize="9" r:id="rId1"/>
  <headerFooter alignWithMargins="0">
    <oddFooter>&amp;L&amp;"Verdana,Italique"&amp;9&amp;F - &amp;A&amp;C&amp;P / &amp;N&amp;R&amp;"Verdana,Italique"&amp;9&amp;D - &amp;T</oddFooter>
  </headerFooter>
</worksheet>
</file>

<file path=xl/worksheets/sheet15.xml><?xml version="1.0" encoding="utf-8"?>
<worksheet xmlns="http://schemas.openxmlformats.org/spreadsheetml/2006/main" xmlns:r="http://schemas.openxmlformats.org/officeDocument/2006/relationships">
  <sheetPr codeName="Feuil15">
    <pageSetUpPr fitToPage="1"/>
  </sheetPr>
  <dimension ref="A1:L101"/>
  <sheetViews>
    <sheetView showGridLines="0" zoomScale="75" zoomScaleNormal="75" workbookViewId="0" topLeftCell="A1">
      <selection activeCell="A1" sqref="A1"/>
    </sheetView>
  </sheetViews>
  <sheetFormatPr defaultColWidth="11.00390625" defaultRowHeight="12.75"/>
  <cols>
    <col min="1" max="1" width="22.50390625" style="0" bestFit="1" customWidth="1"/>
    <col min="2" max="2" width="12.00390625" style="0" bestFit="1" customWidth="1"/>
  </cols>
  <sheetData>
    <row r="1" ht="14.25">
      <c r="A1" s="20" t="s">
        <v>968</v>
      </c>
    </row>
    <row r="2" spans="1:4" ht="12.75">
      <c r="A2" t="s">
        <v>1220</v>
      </c>
      <c r="B2" s="23">
        <v>100</v>
      </c>
      <c r="C2" s="23">
        <v>100</v>
      </c>
      <c r="D2" s="23">
        <v>100</v>
      </c>
    </row>
    <row r="3" spans="1:4" ht="12.75">
      <c r="A3" t="s">
        <v>49</v>
      </c>
      <c r="B3">
        <v>3</v>
      </c>
      <c r="C3">
        <v>3</v>
      </c>
      <c r="D3">
        <v>3</v>
      </c>
    </row>
    <row r="4" spans="1:4" ht="12.75">
      <c r="A4" t="s">
        <v>46</v>
      </c>
      <c r="B4" s="47">
        <v>0.05</v>
      </c>
      <c r="C4" s="47">
        <v>0.1</v>
      </c>
      <c r="D4" s="47">
        <v>0.2</v>
      </c>
    </row>
    <row r="5" spans="1:4" ht="12.75">
      <c r="A5" t="s">
        <v>47</v>
      </c>
      <c r="B5" s="80">
        <f>B2/POWER(1+B4,B3)</f>
        <v>86.3837598531476</v>
      </c>
      <c r="C5" s="80">
        <f>C2/POWER(1+C4,C3)</f>
        <v>75.13148009015775</v>
      </c>
      <c r="D5" s="80">
        <f>D2/POWER(1+D4,D3)</f>
        <v>57.870370370370374</v>
      </c>
    </row>
    <row r="7" ht="14.25">
      <c r="A7" s="20" t="s">
        <v>970</v>
      </c>
    </row>
    <row r="8" spans="1:4" ht="12.75">
      <c r="A8" t="s">
        <v>48</v>
      </c>
      <c r="B8" s="23">
        <v>100</v>
      </c>
      <c r="C8" s="23">
        <v>100</v>
      </c>
      <c r="D8" s="23">
        <v>100</v>
      </c>
    </row>
    <row r="9" spans="1:4" ht="12.75">
      <c r="A9" t="s">
        <v>49</v>
      </c>
      <c r="B9">
        <v>3</v>
      </c>
      <c r="C9">
        <v>5</v>
      </c>
      <c r="D9">
        <v>10</v>
      </c>
    </row>
    <row r="10" spans="1:4" ht="12.75">
      <c r="A10" t="s">
        <v>46</v>
      </c>
      <c r="B10" s="47">
        <v>0.1</v>
      </c>
      <c r="C10" s="47">
        <v>0.1</v>
      </c>
      <c r="D10" s="47">
        <v>0.1</v>
      </c>
    </row>
    <row r="11" spans="1:4" ht="12.75">
      <c r="A11" t="s">
        <v>47</v>
      </c>
      <c r="B11" s="80">
        <f>B8/POWER(1+B10,B9)</f>
        <v>75.13148009015775</v>
      </c>
      <c r="C11" s="80">
        <f>C8/POWER(1+C10,C9)</f>
        <v>62.0921323059155</v>
      </c>
      <c r="D11" s="80">
        <f>D8/POWER(1+D10,D9)</f>
        <v>38.55432894295315</v>
      </c>
    </row>
    <row r="12" spans="1:4" ht="12.75">
      <c r="A12" t="s">
        <v>50</v>
      </c>
      <c r="B12" s="112">
        <f>B11/B8</f>
        <v>0.7513148009015775</v>
      </c>
      <c r="C12" s="112">
        <f>C11/C8</f>
        <v>0.620921323059155</v>
      </c>
      <c r="D12" s="112">
        <f>D11/D8</f>
        <v>0.3855432894295315</v>
      </c>
    </row>
    <row r="14" ht="14.25">
      <c r="A14" s="41" t="s">
        <v>1337</v>
      </c>
    </row>
    <row r="15" spans="1:4" ht="12.75">
      <c r="A15" t="s">
        <v>51</v>
      </c>
      <c r="B15" s="23">
        <v>1000</v>
      </c>
      <c r="C15" s="23">
        <v>1000</v>
      </c>
      <c r="D15" s="23">
        <v>1000</v>
      </c>
    </row>
    <row r="16" spans="1:4" ht="12.75">
      <c r="A16" t="s">
        <v>49</v>
      </c>
      <c r="B16">
        <v>5</v>
      </c>
      <c r="C16">
        <v>5</v>
      </c>
      <c r="D16">
        <v>5</v>
      </c>
    </row>
    <row r="17" spans="1:4" ht="12.75">
      <c r="A17" t="s">
        <v>46</v>
      </c>
      <c r="B17" s="47">
        <v>0.05</v>
      </c>
      <c r="C17" s="47">
        <v>0.1</v>
      </c>
      <c r="D17" s="47">
        <v>0.2</v>
      </c>
    </row>
    <row r="18" spans="1:4" ht="12.75">
      <c r="A18" t="s">
        <v>862</v>
      </c>
      <c r="B18" s="75">
        <f>B15*POWER(1+B17,B16)</f>
        <v>1276.2815625</v>
      </c>
      <c r="C18" s="75">
        <f>C15*POWER(1+C17,C16)</f>
        <v>1610.5100000000004</v>
      </c>
      <c r="D18" s="75">
        <f>D15*POWER(1+D17,D16)</f>
        <v>2488.3199999999997</v>
      </c>
    </row>
    <row r="20" ht="14.25">
      <c r="A20" s="41" t="s">
        <v>1301</v>
      </c>
    </row>
    <row r="21" spans="1:4" ht="12.75">
      <c r="A21" t="s">
        <v>51</v>
      </c>
      <c r="B21" s="23">
        <v>1000</v>
      </c>
      <c r="C21" s="23">
        <v>1000</v>
      </c>
      <c r="D21" s="23">
        <v>1000</v>
      </c>
    </row>
    <row r="22" spans="1:4" ht="12.75">
      <c r="A22" t="s">
        <v>49</v>
      </c>
      <c r="B22">
        <v>5</v>
      </c>
      <c r="C22">
        <v>10</v>
      </c>
      <c r="D22">
        <v>20</v>
      </c>
    </row>
    <row r="23" spans="1:4" ht="12.75">
      <c r="A23" t="s">
        <v>46</v>
      </c>
      <c r="B23" s="47">
        <v>0.08</v>
      </c>
      <c r="C23" s="47">
        <v>0.08</v>
      </c>
      <c r="D23" s="47">
        <v>0.08</v>
      </c>
    </row>
    <row r="24" spans="1:4" ht="12.75">
      <c r="A24" t="s">
        <v>862</v>
      </c>
      <c r="B24" s="75">
        <f>B21*POWER(1+B23,B22)</f>
        <v>1469.3280768000004</v>
      </c>
      <c r="C24" s="75">
        <f>C21*POWER(1+C23,C22)</f>
        <v>2158.9249972727876</v>
      </c>
      <c r="D24" s="75">
        <f>D21*POWER(1+D23,D22)</f>
        <v>4660.957143849307</v>
      </c>
    </row>
    <row r="26" ht="14.25">
      <c r="A26" s="41" t="s">
        <v>1315</v>
      </c>
    </row>
    <row r="27" spans="1:8" ht="12.75">
      <c r="A27" s="33" t="s">
        <v>52</v>
      </c>
      <c r="B27" s="73" t="s">
        <v>56</v>
      </c>
      <c r="C27" s="33"/>
      <c r="D27" s="33"/>
      <c r="E27" s="73" t="s">
        <v>55</v>
      </c>
      <c r="F27" s="33"/>
      <c r="G27" s="33"/>
      <c r="H27" s="115" t="s">
        <v>717</v>
      </c>
    </row>
    <row r="28" spans="1:8" ht="12.75">
      <c r="A28" t="s">
        <v>53</v>
      </c>
      <c r="B28" s="49">
        <v>0</v>
      </c>
      <c r="C28" s="55">
        <v>1</v>
      </c>
      <c r="D28">
        <v>2</v>
      </c>
      <c r="E28" s="49"/>
      <c r="F28" s="55"/>
      <c r="H28" s="49"/>
    </row>
    <row r="29" spans="1:8" ht="12.75">
      <c r="A29" t="s">
        <v>1222</v>
      </c>
      <c r="B29" s="51">
        <f>10000*0.9</f>
        <v>9000</v>
      </c>
      <c r="C29" s="64"/>
      <c r="D29" s="23"/>
      <c r="E29" s="51">
        <f aca="true" t="shared" si="0" ref="E29:G30">B29/POWER(1+$B$32,B$28)</f>
        <v>9000</v>
      </c>
      <c r="F29" s="64">
        <f t="shared" si="0"/>
        <v>0</v>
      </c>
      <c r="G29" s="23">
        <f t="shared" si="0"/>
        <v>0</v>
      </c>
      <c r="H29" s="51">
        <f>SUM(E29:G29)</f>
        <v>9000</v>
      </c>
    </row>
    <row r="30" spans="1:8" ht="12.75">
      <c r="A30" t="s">
        <v>1221</v>
      </c>
      <c r="B30" s="51">
        <f>10000/3</f>
        <v>3333.3333333333335</v>
      </c>
      <c r="C30" s="64">
        <f>10000/3</f>
        <v>3333.3333333333335</v>
      </c>
      <c r="D30" s="64">
        <f>10000/3</f>
        <v>3333.3333333333335</v>
      </c>
      <c r="E30" s="51">
        <f t="shared" si="0"/>
        <v>3333.3333333333335</v>
      </c>
      <c r="F30" s="64">
        <f t="shared" si="0"/>
        <v>2988.080013378727</v>
      </c>
      <c r="G30" s="23">
        <f t="shared" si="0"/>
        <v>2678.586649906024</v>
      </c>
      <c r="H30" s="51">
        <f>SUM(E30:G30)</f>
        <v>8999.999996618084</v>
      </c>
    </row>
    <row r="32" spans="1:2" ht="12.75">
      <c r="A32" t="s">
        <v>54</v>
      </c>
      <c r="B32" s="167">
        <v>0.11554353243848266</v>
      </c>
    </row>
    <row r="34" ht="14.25">
      <c r="A34" s="20" t="s">
        <v>57</v>
      </c>
    </row>
    <row r="35" spans="1:3" ht="12.75">
      <c r="A35" t="s">
        <v>1113</v>
      </c>
      <c r="B35" s="411">
        <f>3+5/12+17/365</f>
        <v>3.46324200913242</v>
      </c>
      <c r="C35" t="s">
        <v>228</v>
      </c>
    </row>
    <row r="36" spans="1:2" ht="12.75">
      <c r="A36" t="s">
        <v>1114</v>
      </c>
      <c r="B36" s="87">
        <f>100/(1.08^B35)</f>
        <v>76.60294138251706</v>
      </c>
    </row>
    <row r="37" ht="12.75">
      <c r="B37" s="25"/>
    </row>
    <row r="39" ht="14.25">
      <c r="A39" s="20" t="s">
        <v>59</v>
      </c>
    </row>
    <row r="40" spans="1:2" ht="12.75">
      <c r="A40" t="s">
        <v>61</v>
      </c>
      <c r="B40">
        <v>8</v>
      </c>
    </row>
    <row r="41" spans="1:3" ht="12.75">
      <c r="A41" t="s">
        <v>46</v>
      </c>
      <c r="B41" s="257">
        <v>0.05</v>
      </c>
      <c r="C41" s="47"/>
    </row>
    <row r="42" spans="1:3" ht="12.75">
      <c r="A42" t="s">
        <v>60</v>
      </c>
      <c r="B42" s="6">
        <f>POWER(1+B41,B40)</f>
        <v>1.4774554437890626</v>
      </c>
      <c r="C42" s="6"/>
    </row>
    <row r="43" spans="1:3" ht="12.75">
      <c r="A43" t="s">
        <v>62</v>
      </c>
      <c r="B43" s="23">
        <v>100</v>
      </c>
      <c r="C43" s="23"/>
    </row>
    <row r="45" spans="1:3" ht="12.75">
      <c r="A45" t="s">
        <v>63</v>
      </c>
      <c r="B45" s="104">
        <f>B43/B42</f>
        <v>67.68393620286872</v>
      </c>
      <c r="C45" s="168"/>
    </row>
    <row r="47" ht="14.25">
      <c r="A47" s="20" t="s">
        <v>64</v>
      </c>
    </row>
    <row r="48" spans="1:6" ht="12.75">
      <c r="A48" s="33" t="s">
        <v>52</v>
      </c>
      <c r="B48" s="73" t="s">
        <v>56</v>
      </c>
      <c r="C48" s="33"/>
      <c r="D48" s="73" t="s">
        <v>55</v>
      </c>
      <c r="E48" s="33"/>
      <c r="F48" s="115" t="s">
        <v>717</v>
      </c>
    </row>
    <row r="49" spans="1:6" ht="12.75">
      <c r="A49" t="s">
        <v>53</v>
      </c>
      <c r="B49" s="49">
        <v>0</v>
      </c>
      <c r="C49">
        <v>4</v>
      </c>
      <c r="D49" s="49"/>
      <c r="F49" s="49"/>
    </row>
    <row r="50" spans="1:6" ht="12.75">
      <c r="A50" t="s">
        <v>65</v>
      </c>
      <c r="B50" s="51">
        <v>100</v>
      </c>
      <c r="C50" s="23"/>
      <c r="D50" s="51">
        <f>B50/POWER(1+$B$53,B$49)</f>
        <v>100</v>
      </c>
      <c r="E50" s="23">
        <f>C50/POWER(1+$B$53,C$49)</f>
        <v>0</v>
      </c>
      <c r="F50" s="51">
        <f>SUM(D50:E50)</f>
        <v>100</v>
      </c>
    </row>
    <row r="51" spans="1:6" ht="12.75">
      <c r="A51" t="s">
        <v>66</v>
      </c>
      <c r="B51" s="51">
        <v>0</v>
      </c>
      <c r="C51" s="23">
        <v>131.1</v>
      </c>
      <c r="D51" s="51">
        <f>B51/POWER(1+$B$53,B$49)</f>
        <v>0</v>
      </c>
      <c r="E51" s="23">
        <f>C51/POWER(1+$B$53,C$49)</f>
        <v>100.01556229943056</v>
      </c>
      <c r="F51" s="51">
        <f>SUM(D51:E51)</f>
        <v>100.01556229943056</v>
      </c>
    </row>
    <row r="53" spans="1:2" ht="12.75">
      <c r="A53" t="s">
        <v>54</v>
      </c>
      <c r="B53" s="47">
        <v>0.07</v>
      </c>
    </row>
    <row r="55" ht="14.25">
      <c r="A55" s="41" t="s">
        <v>67</v>
      </c>
    </row>
    <row r="56" spans="1:2" ht="12.75">
      <c r="A56" t="s">
        <v>1223</v>
      </c>
      <c r="B56">
        <v>2</v>
      </c>
    </row>
    <row r="57" spans="1:7" ht="12.75">
      <c r="A57" t="s">
        <v>720</v>
      </c>
      <c r="B57">
        <v>1</v>
      </c>
      <c r="C57">
        <v>2</v>
      </c>
      <c r="D57">
        <v>3</v>
      </c>
      <c r="E57">
        <v>4</v>
      </c>
      <c r="F57">
        <v>5</v>
      </c>
      <c r="G57">
        <v>6</v>
      </c>
    </row>
    <row r="58" spans="1:7" ht="12.75">
      <c r="A58" t="s">
        <v>46</v>
      </c>
      <c r="B58" s="79">
        <f aca="true" t="shared" si="1" ref="B58:G58">POWER($B56,1/B57)-1</f>
        <v>1</v>
      </c>
      <c r="C58" s="79">
        <f t="shared" si="1"/>
        <v>0.41421356237309515</v>
      </c>
      <c r="D58" s="79">
        <f t="shared" si="1"/>
        <v>0.2599210498948732</v>
      </c>
      <c r="E58" s="79">
        <f t="shared" si="1"/>
        <v>0.18920711500272103</v>
      </c>
      <c r="F58" s="79">
        <f t="shared" si="1"/>
        <v>0.1486983549970351</v>
      </c>
      <c r="G58" s="79">
        <f t="shared" si="1"/>
        <v>0.12246204830937302</v>
      </c>
    </row>
    <row r="59" spans="1:7" ht="12.75">
      <c r="A59" t="s">
        <v>68</v>
      </c>
      <c r="B59" s="25">
        <f aca="true" t="shared" si="2" ref="B59:G59">0.75/B57</f>
        <v>0.75</v>
      </c>
      <c r="C59" s="25">
        <f t="shared" si="2"/>
        <v>0.375</v>
      </c>
      <c r="D59" s="25">
        <f t="shared" si="2"/>
        <v>0.25</v>
      </c>
      <c r="E59" s="25">
        <f t="shared" si="2"/>
        <v>0.1875</v>
      </c>
      <c r="F59" s="25">
        <f t="shared" si="2"/>
        <v>0.15</v>
      </c>
      <c r="G59" s="25">
        <f t="shared" si="2"/>
        <v>0.125</v>
      </c>
    </row>
    <row r="61" ht="14.25">
      <c r="A61" s="41" t="s">
        <v>69</v>
      </c>
    </row>
    <row r="62" spans="1:2" ht="12.75">
      <c r="A62" t="s">
        <v>1223</v>
      </c>
      <c r="B62">
        <v>3</v>
      </c>
    </row>
    <row r="63" spans="1:7" ht="12.75">
      <c r="A63" t="s">
        <v>720</v>
      </c>
      <c r="B63">
        <v>1</v>
      </c>
      <c r="C63">
        <v>2</v>
      </c>
      <c r="D63">
        <v>3</v>
      </c>
      <c r="E63">
        <v>4</v>
      </c>
      <c r="F63">
        <v>5</v>
      </c>
      <c r="G63">
        <v>6</v>
      </c>
    </row>
    <row r="64" spans="1:7" ht="12.75">
      <c r="A64" t="s">
        <v>46</v>
      </c>
      <c r="B64" s="79">
        <f aca="true" t="shared" si="3" ref="B64:G64">POWER($B62,1/B63)-1</f>
        <v>2</v>
      </c>
      <c r="C64" s="79">
        <f t="shared" si="3"/>
        <v>0.7320508075688772</v>
      </c>
      <c r="D64" s="79">
        <f t="shared" si="3"/>
        <v>0.4422495703074083</v>
      </c>
      <c r="E64" s="79">
        <f t="shared" si="3"/>
        <v>0.3160740129524926</v>
      </c>
      <c r="F64" s="79">
        <f t="shared" si="3"/>
        <v>0.2457309396155174</v>
      </c>
      <c r="G64" s="79">
        <f t="shared" si="3"/>
        <v>0.20093695517600274</v>
      </c>
    </row>
    <row r="65" spans="1:7" ht="12.75">
      <c r="A65" t="s">
        <v>70</v>
      </c>
      <c r="B65" s="25">
        <f aca="true" t="shared" si="4" ref="B65:G65">1.25/B63</f>
        <v>1.25</v>
      </c>
      <c r="C65" s="25">
        <f t="shared" si="4"/>
        <v>0.625</v>
      </c>
      <c r="D65" s="25">
        <f t="shared" si="4"/>
        <v>0.4166666666666667</v>
      </c>
      <c r="E65" s="25">
        <f t="shared" si="4"/>
        <v>0.3125</v>
      </c>
      <c r="F65" s="25">
        <f t="shared" si="4"/>
        <v>0.25</v>
      </c>
      <c r="G65" s="25">
        <f t="shared" si="4"/>
        <v>0.20833333333333334</v>
      </c>
    </row>
    <row r="67" ht="14.25">
      <c r="A67" s="41" t="s">
        <v>71</v>
      </c>
    </row>
    <row r="68" spans="1:3" ht="12.75">
      <c r="A68" t="s">
        <v>72</v>
      </c>
      <c r="B68" s="64">
        <v>121</v>
      </c>
      <c r="C68" s="64">
        <v>121</v>
      </c>
    </row>
    <row r="69" spans="1:3" ht="12.75">
      <c r="A69" t="s">
        <v>49</v>
      </c>
      <c r="B69" s="55">
        <v>2</v>
      </c>
      <c r="C69" s="55">
        <v>2</v>
      </c>
    </row>
    <row r="70" spans="1:3" ht="12.75">
      <c r="A70" t="s">
        <v>73</v>
      </c>
      <c r="B70" s="116">
        <v>0.09</v>
      </c>
      <c r="C70" s="116">
        <v>0.08</v>
      </c>
    </row>
    <row r="71" spans="1:3" ht="12.75">
      <c r="A71" t="s">
        <v>90</v>
      </c>
      <c r="B71" s="117">
        <f>B68/POWER(1+B70,B69)</f>
        <v>101.84327918525375</v>
      </c>
      <c r="C71" s="117">
        <f>C68/POWER(1+C70,C69)</f>
        <v>103.73799725651577</v>
      </c>
    </row>
    <row r="73" ht="14.25">
      <c r="A73" s="41" t="s">
        <v>74</v>
      </c>
    </row>
    <row r="74" spans="1:3" ht="12.75">
      <c r="A74" t="s">
        <v>75</v>
      </c>
      <c r="B74" s="64">
        <v>30</v>
      </c>
      <c r="C74" t="s">
        <v>77</v>
      </c>
    </row>
    <row r="75" spans="1:2" ht="12.75">
      <c r="A75" t="s">
        <v>76</v>
      </c>
      <c r="B75">
        <v>33</v>
      </c>
    </row>
    <row r="76" spans="1:2" ht="12.75">
      <c r="A76" t="s">
        <v>78</v>
      </c>
      <c r="B76">
        <f>2002-B75</f>
        <v>1969</v>
      </c>
    </row>
    <row r="77" spans="1:2" ht="12.75">
      <c r="A77" t="s">
        <v>46</v>
      </c>
      <c r="B77" s="47">
        <v>0.03</v>
      </c>
    </row>
    <row r="78" spans="1:3" ht="12.75">
      <c r="A78" t="s">
        <v>58</v>
      </c>
      <c r="B78" s="72">
        <f>B74*POWER(1+B77,B76)</f>
        <v>5.6704392133858416E+26</v>
      </c>
      <c r="C78" t="s">
        <v>77</v>
      </c>
    </row>
    <row r="80" spans="1:2" ht="14.25">
      <c r="A80" s="41" t="s">
        <v>79</v>
      </c>
      <c r="B80" t="s">
        <v>80</v>
      </c>
    </row>
    <row r="81" spans="1:2" ht="12.75">
      <c r="A81" t="s">
        <v>75</v>
      </c>
      <c r="B81" s="64">
        <v>100</v>
      </c>
    </row>
    <row r="82" spans="1:2" ht="12.75">
      <c r="A82" t="s">
        <v>49</v>
      </c>
      <c r="B82">
        <v>4</v>
      </c>
    </row>
    <row r="83" spans="1:2" ht="12.75">
      <c r="A83" t="s">
        <v>46</v>
      </c>
      <c r="B83" s="47">
        <v>0.06</v>
      </c>
    </row>
    <row r="84" spans="1:2" ht="12.75">
      <c r="A84" t="s">
        <v>72</v>
      </c>
      <c r="B84" s="112">
        <f>B81*POWER(1+B83,B82)</f>
        <v>126.24769600000003</v>
      </c>
    </row>
    <row r="86" spans="1:2" ht="14.25">
      <c r="A86" s="41" t="s">
        <v>81</v>
      </c>
      <c r="B86" t="s">
        <v>83</v>
      </c>
    </row>
    <row r="87" spans="1:2" ht="12.75">
      <c r="A87" t="s">
        <v>58</v>
      </c>
      <c r="B87" s="64">
        <v>140</v>
      </c>
    </row>
    <row r="88" spans="1:2" ht="12.75">
      <c r="A88" t="s">
        <v>82</v>
      </c>
      <c r="B88" s="47">
        <v>0.18</v>
      </c>
    </row>
    <row r="89" spans="1:2" ht="12.75">
      <c r="A89" t="s">
        <v>49</v>
      </c>
      <c r="B89">
        <v>4</v>
      </c>
    </row>
    <row r="90" spans="1:2" ht="12.75">
      <c r="A90" t="s">
        <v>72</v>
      </c>
      <c r="B90" s="117">
        <f>B87*POWER(1+B88,B89)</f>
        <v>271.42888639999995</v>
      </c>
    </row>
    <row r="92" ht="14.25">
      <c r="A92" s="41" t="s">
        <v>84</v>
      </c>
    </row>
    <row r="93" spans="1:2" ht="12.75">
      <c r="A93" t="s">
        <v>58</v>
      </c>
      <c r="B93" s="64">
        <v>15</v>
      </c>
    </row>
    <row r="94" spans="1:2" ht="12.75">
      <c r="A94" t="s">
        <v>82</v>
      </c>
      <c r="B94" s="99">
        <v>0.067</v>
      </c>
    </row>
    <row r="95" spans="1:2" ht="12.75">
      <c r="A95" t="s">
        <v>49</v>
      </c>
      <c r="B95">
        <v>10</v>
      </c>
    </row>
    <row r="96" spans="1:2" ht="12.75">
      <c r="A96" t="s">
        <v>85</v>
      </c>
      <c r="B96" s="64">
        <v>1</v>
      </c>
    </row>
    <row r="97" ht="12.75">
      <c r="B97" s="64"/>
    </row>
    <row r="98" spans="1:12" ht="12.75">
      <c r="A98" t="s">
        <v>86</v>
      </c>
      <c r="B98" t="s">
        <v>87</v>
      </c>
      <c r="C98">
        <v>1</v>
      </c>
      <c r="D98">
        <v>2</v>
      </c>
      <c r="E98">
        <v>3</v>
      </c>
      <c r="F98">
        <v>4</v>
      </c>
      <c r="G98">
        <v>5</v>
      </c>
      <c r="H98">
        <v>6</v>
      </c>
      <c r="I98">
        <v>7</v>
      </c>
      <c r="J98">
        <v>8</v>
      </c>
      <c r="K98">
        <v>9</v>
      </c>
      <c r="L98">
        <v>10</v>
      </c>
    </row>
    <row r="99" spans="1:12" ht="12.75">
      <c r="A99" t="s">
        <v>88</v>
      </c>
      <c r="B99" s="23">
        <f>SUM(C99:L99)</f>
        <v>13.622212970590232</v>
      </c>
      <c r="C99" s="64">
        <f>$B96*POWER(1+$B94,10-C98)</f>
        <v>1.7925850693810164</v>
      </c>
      <c r="D99" s="64">
        <f aca="true" t="shared" si="5" ref="D99:L99">$B96*POWER(1+$B94,10-D98)</f>
        <v>1.6800234952024522</v>
      </c>
      <c r="E99" s="64">
        <f t="shared" si="5"/>
        <v>1.574529986131633</v>
      </c>
      <c r="F99" s="64">
        <f t="shared" si="5"/>
        <v>1.4756607180240235</v>
      </c>
      <c r="G99" s="64">
        <f t="shared" si="5"/>
        <v>1.3829997357301065</v>
      </c>
      <c r="H99" s="64">
        <f t="shared" si="5"/>
        <v>1.2961572031209996</v>
      </c>
      <c r="I99" s="64">
        <f t="shared" si="5"/>
        <v>1.2147677629999998</v>
      </c>
      <c r="J99" s="64">
        <f t="shared" si="5"/>
        <v>1.1384889999999999</v>
      </c>
      <c r="K99" s="64">
        <f t="shared" si="5"/>
        <v>1.067</v>
      </c>
      <c r="L99" s="64">
        <f t="shared" si="5"/>
        <v>1</v>
      </c>
    </row>
    <row r="100" ht="12.75">
      <c r="B100" s="64"/>
    </row>
    <row r="101" spans="1:2" ht="12.75">
      <c r="A101" t="s">
        <v>89</v>
      </c>
      <c r="B101" s="195">
        <f>B93*POWER(1+B94,B95)-B99</f>
        <v>15.068111064852934</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79" r:id="rId1"/>
  <headerFooter alignWithMargins="0">
    <oddFooter>&amp;L&amp;"Verdana,Italique"&amp;9&amp;F - &amp;A&amp;C&amp;P / &amp;N&amp;R&amp;"Verdana,Italique"&amp;9&amp;D - &amp;T</oddFooter>
  </headerFooter>
</worksheet>
</file>

<file path=xl/worksheets/sheet16.xml><?xml version="1.0" encoding="utf-8"?>
<worksheet xmlns="http://schemas.openxmlformats.org/spreadsheetml/2006/main" xmlns:r="http://schemas.openxmlformats.org/officeDocument/2006/relationships">
  <sheetPr codeName="Feuil16">
    <pageSetUpPr fitToPage="1"/>
  </sheetPr>
  <dimension ref="A1:Q105"/>
  <sheetViews>
    <sheetView showGridLines="0" zoomScale="75" zoomScaleNormal="75" workbookViewId="0" topLeftCell="A1">
      <selection activeCell="A1" sqref="A1"/>
    </sheetView>
  </sheetViews>
  <sheetFormatPr defaultColWidth="11.00390625" defaultRowHeight="12.75"/>
  <cols>
    <col min="1" max="1" width="23.875" style="0" bestFit="1" customWidth="1"/>
    <col min="2" max="2" width="11.50390625" style="0" bestFit="1" customWidth="1"/>
  </cols>
  <sheetData>
    <row r="1" ht="14.25">
      <c r="A1" s="20" t="s">
        <v>968</v>
      </c>
    </row>
    <row r="2" spans="1:2" ht="12.75">
      <c r="A2" t="s">
        <v>91</v>
      </c>
      <c r="B2">
        <v>897</v>
      </c>
    </row>
    <row r="4" spans="1:6" ht="12.75">
      <c r="A4" s="288" t="s">
        <v>720</v>
      </c>
      <c r="B4" s="289">
        <v>1</v>
      </c>
      <c r="C4" s="289">
        <v>2</v>
      </c>
      <c r="D4" s="289">
        <v>3</v>
      </c>
      <c r="E4" s="289">
        <v>4</v>
      </c>
      <c r="F4" s="289">
        <v>5</v>
      </c>
    </row>
    <row r="5" spans="1:6" ht="12.75">
      <c r="A5" s="158" t="s">
        <v>92</v>
      </c>
      <c r="B5" s="289">
        <v>300</v>
      </c>
      <c r="C5" s="289">
        <v>300</v>
      </c>
      <c r="D5" s="289">
        <v>300</v>
      </c>
      <c r="E5" s="289">
        <v>300</v>
      </c>
      <c r="F5" s="289">
        <v>300</v>
      </c>
    </row>
    <row r="7" spans="1:6" ht="12.75">
      <c r="A7" t="s">
        <v>46</v>
      </c>
      <c r="B7" s="47" t="s">
        <v>93</v>
      </c>
      <c r="C7" s="47"/>
      <c r="D7" s="47"/>
      <c r="E7" s="47"/>
      <c r="F7" s="47"/>
    </row>
    <row r="8" spans="1:2" ht="12.75">
      <c r="A8" s="119">
        <v>0.05</v>
      </c>
      <c r="B8" s="120">
        <f>SUMPRODUCT(B$5:F$5,POWER(1+$A8,-B$4:F$4))-B$2</f>
        <v>401.8430011892458</v>
      </c>
    </row>
    <row r="9" spans="1:2" ht="12.75">
      <c r="A9" s="119">
        <v>0.1</v>
      </c>
      <c r="B9" s="120">
        <f>SUMPRODUCT(B$5:F$5,POWER(1+$A9,-B$4:F$4))-B$2</f>
        <v>240.2360308225343</v>
      </c>
    </row>
    <row r="10" spans="1:2" ht="12.75">
      <c r="A10" s="119">
        <v>0.15</v>
      </c>
      <c r="B10" s="120">
        <f>SUMPRODUCT(B$5:F$5,POWER(1+$A10,-B$4:F$4))-B$2</f>
        <v>108.6465294034208</v>
      </c>
    </row>
    <row r="11" spans="1:2" ht="12.75">
      <c r="A11" s="119">
        <v>0.2</v>
      </c>
      <c r="B11" s="120">
        <f>SUMPRODUCT(B$5:F$5,POWER(1+$A11,-B$4:F$4))-B$2</f>
        <v>0.18364197530866022</v>
      </c>
    </row>
    <row r="12" spans="1:2" ht="12.75">
      <c r="A12" s="119">
        <v>0.25</v>
      </c>
      <c r="B12" s="120">
        <f>SUMPRODUCT(B$5:F$5,POWER(1+$A12,-B$4:F$4))-B$2</f>
        <v>-90.21600000000001</v>
      </c>
    </row>
    <row r="23" ht="14.25">
      <c r="A23" s="41" t="s">
        <v>970</v>
      </c>
    </row>
    <row r="24" spans="1:2" ht="12.75">
      <c r="A24" t="s">
        <v>94</v>
      </c>
      <c r="B24">
        <v>100</v>
      </c>
    </row>
    <row r="25" spans="1:2" ht="12.75">
      <c r="A25" t="s">
        <v>46</v>
      </c>
      <c r="B25" s="47">
        <v>0.1</v>
      </c>
    </row>
    <row r="27" spans="1:2" ht="25.5">
      <c r="A27" s="3" t="s">
        <v>95</v>
      </c>
      <c r="B27">
        <f>B24/B25</f>
        <v>1000</v>
      </c>
    </row>
    <row r="28" ht="12.75">
      <c r="A28" s="3"/>
    </row>
    <row r="29" spans="1:2" ht="12.75">
      <c r="A29" t="s">
        <v>97</v>
      </c>
      <c r="B29" s="47">
        <v>0.03</v>
      </c>
    </row>
    <row r="31" spans="1:2" ht="25.5">
      <c r="A31" s="3" t="s">
        <v>96</v>
      </c>
      <c r="B31" s="120">
        <f>B24/(B25-B29)</f>
        <v>1428.5714285714284</v>
      </c>
    </row>
    <row r="33" ht="14.25">
      <c r="A33" s="41" t="s">
        <v>1337</v>
      </c>
    </row>
    <row r="34" spans="1:2" ht="12.75">
      <c r="A34" t="s">
        <v>94</v>
      </c>
      <c r="B34">
        <v>100</v>
      </c>
    </row>
    <row r="35" spans="1:2" ht="12.75">
      <c r="A35" t="s">
        <v>46</v>
      </c>
      <c r="B35" s="47">
        <v>0.1</v>
      </c>
    </row>
    <row r="37" spans="1:2" ht="25.5">
      <c r="A37" s="3" t="s">
        <v>95</v>
      </c>
      <c r="B37" s="87">
        <f>B34/B35</f>
        <v>1000</v>
      </c>
    </row>
    <row r="38" ht="12.75">
      <c r="A38" s="3"/>
    </row>
    <row r="39" spans="1:2" ht="12.75">
      <c r="A39" t="s">
        <v>61</v>
      </c>
      <c r="B39" s="121">
        <v>3</v>
      </c>
    </row>
    <row r="41" spans="1:2" ht="25.5">
      <c r="A41" s="3" t="s">
        <v>1224</v>
      </c>
      <c r="B41" s="87">
        <f>B34/B35*(1-1/POWER(1+B35,B39))</f>
        <v>248.68519909842246</v>
      </c>
    </row>
    <row r="43" ht="14.25">
      <c r="A43" s="41" t="s">
        <v>1301</v>
      </c>
    </row>
    <row r="44" spans="1:17" ht="12.75">
      <c r="A44" s="289" t="s">
        <v>98</v>
      </c>
      <c r="B44" s="289">
        <v>1</v>
      </c>
      <c r="C44" s="289">
        <v>2</v>
      </c>
      <c r="D44" s="289">
        <v>3</v>
      </c>
      <c r="E44" s="289">
        <v>4</v>
      </c>
      <c r="F44" s="118"/>
      <c r="G44" s="118"/>
      <c r="H44" s="118"/>
      <c r="I44" s="118"/>
      <c r="J44" s="118"/>
      <c r="K44" s="118"/>
      <c r="L44" s="118"/>
      <c r="M44" s="118"/>
      <c r="N44" s="118"/>
      <c r="O44" s="118"/>
      <c r="P44" s="118"/>
      <c r="Q44" s="118"/>
    </row>
    <row r="45" spans="1:5" ht="12.75">
      <c r="A45" s="289" t="s">
        <v>92</v>
      </c>
      <c r="B45" s="289">
        <v>52</v>
      </c>
      <c r="C45" s="289">
        <f>B45</f>
        <v>52</v>
      </c>
      <c r="D45" s="289">
        <f>C45</f>
        <v>52</v>
      </c>
      <c r="E45" s="289">
        <f>D45</f>
        <v>52</v>
      </c>
    </row>
    <row r="47" spans="1:2" ht="12.75">
      <c r="A47" t="s">
        <v>99</v>
      </c>
      <c r="B47" s="99">
        <v>0.08</v>
      </c>
    </row>
    <row r="48" spans="1:2" ht="12.75">
      <c r="A48" t="s">
        <v>100</v>
      </c>
      <c r="B48" s="87">
        <f>SUMPRODUCT(B45:E45,POWER(1+B47,-B44:E44))</f>
        <v>172.23059568230528</v>
      </c>
    </row>
    <row r="50" spans="1:2" ht="12.75">
      <c r="A50" t="s">
        <v>101</v>
      </c>
      <c r="B50">
        <v>165</v>
      </c>
    </row>
    <row r="51" ht="12.75">
      <c r="A51" s="30" t="s">
        <v>102</v>
      </c>
    </row>
    <row r="52" spans="1:2" ht="12.75">
      <c r="A52" t="s">
        <v>93</v>
      </c>
      <c r="B52" s="6">
        <f>B48-B50</f>
        <v>7.230595682305278</v>
      </c>
    </row>
    <row r="54" spans="1:2" ht="12.75">
      <c r="A54" s="3" t="s">
        <v>103</v>
      </c>
      <c r="B54" s="99">
        <v>0.09953280756353543</v>
      </c>
    </row>
    <row r="55" ht="12.75">
      <c r="B55" s="6">
        <f>SUMPRODUCT(B45:E45,POWER(1+B54,-B44:E44))</f>
        <v>164.999842100239</v>
      </c>
    </row>
    <row r="57" ht="14.25">
      <c r="A57" s="41" t="s">
        <v>1315</v>
      </c>
    </row>
    <row r="58" spans="1:3" ht="12.75">
      <c r="A58" t="s">
        <v>46</v>
      </c>
      <c r="B58" s="47">
        <v>0.08</v>
      </c>
      <c r="C58" s="47">
        <v>0.15</v>
      </c>
    </row>
    <row r="59" spans="1:3" ht="12.75">
      <c r="A59" t="s">
        <v>1225</v>
      </c>
      <c r="B59">
        <v>100</v>
      </c>
      <c r="C59">
        <v>100</v>
      </c>
    </row>
    <row r="60" spans="1:3" ht="12.75">
      <c r="A60" t="s">
        <v>104</v>
      </c>
      <c r="B60" s="6">
        <f>B59/B58</f>
        <v>1250</v>
      </c>
      <c r="C60" s="6">
        <f>C59/C58</f>
        <v>666.6666666666667</v>
      </c>
    </row>
    <row r="62" spans="1:3" ht="12.75">
      <c r="A62" t="s">
        <v>105</v>
      </c>
      <c r="B62">
        <v>40</v>
      </c>
      <c r="C62">
        <v>40</v>
      </c>
    </row>
    <row r="63" spans="1:3" ht="12.75">
      <c r="A63" t="s">
        <v>106</v>
      </c>
      <c r="B63" s="6">
        <f>B59*(1-POWER(1+B58,-B62))/B58</f>
        <v>1192.4613333746324</v>
      </c>
      <c r="C63" s="6">
        <f>C59*(1-POWER(1+C58,-C62))/C58</f>
        <v>664.1778372755911</v>
      </c>
    </row>
    <row r="64" spans="2:3" ht="12.75">
      <c r="B64" s="6"/>
      <c r="C64" s="6"/>
    </row>
    <row r="65" spans="1:3" ht="12.75">
      <c r="A65" t="s">
        <v>1226</v>
      </c>
      <c r="B65" s="47">
        <f>B60/B63-1</f>
        <v>0.04825201875731655</v>
      </c>
      <c r="C65" s="99">
        <f>C60/C63-1</f>
        <v>0.003747233423633478</v>
      </c>
    </row>
    <row r="67" ht="14.25">
      <c r="A67" s="41" t="s">
        <v>57</v>
      </c>
    </row>
    <row r="68" spans="1:2" ht="12.75">
      <c r="A68" t="s">
        <v>107</v>
      </c>
      <c r="B68" s="75">
        <v>2000</v>
      </c>
    </row>
    <row r="69" spans="1:2" ht="12.75">
      <c r="A69" t="s">
        <v>108</v>
      </c>
      <c r="B69" s="47">
        <v>0.02</v>
      </c>
    </row>
    <row r="70" spans="1:2" ht="12.75">
      <c r="A70" t="s">
        <v>49</v>
      </c>
      <c r="B70">
        <v>75</v>
      </c>
    </row>
    <row r="71" spans="1:2" ht="12.75">
      <c r="A71" t="s">
        <v>109</v>
      </c>
      <c r="B71" s="47">
        <v>0.05</v>
      </c>
    </row>
    <row r="73" spans="1:2" ht="12.75">
      <c r="A73" t="s">
        <v>110</v>
      </c>
      <c r="B73" s="75">
        <f>B68/(B71-B69)*(1-POWER((1+B69)/(1+B71),B70))</f>
        <v>59085.706881400954</v>
      </c>
    </row>
    <row r="75" ht="14.25">
      <c r="A75" s="41" t="s">
        <v>59</v>
      </c>
    </row>
    <row r="76" spans="1:2" ht="12.75">
      <c r="A76" t="s">
        <v>111</v>
      </c>
      <c r="B76">
        <v>0.8</v>
      </c>
    </row>
    <row r="77" spans="1:2" ht="12.75">
      <c r="A77" t="s">
        <v>46</v>
      </c>
      <c r="B77" s="99">
        <v>0.06</v>
      </c>
    </row>
    <row r="78" spans="1:2" ht="12.75">
      <c r="A78" t="s">
        <v>127</v>
      </c>
      <c r="B78" s="99">
        <f>(1+B77)*(1+B77)-1</f>
        <v>0.12360000000000015</v>
      </c>
    </row>
    <row r="79" spans="1:2" ht="12.75">
      <c r="A79" t="s">
        <v>115</v>
      </c>
      <c r="B79" s="122">
        <v>15</v>
      </c>
    </row>
    <row r="81" spans="1:2" ht="12.75">
      <c r="A81" t="s">
        <v>113</v>
      </c>
      <c r="B81" s="6">
        <f>B76/B78*(1-POWER(1+B78,-B79))</f>
        <v>5.345565495724044</v>
      </c>
    </row>
    <row r="82" spans="1:2" ht="12.75">
      <c r="A82" t="s">
        <v>114</v>
      </c>
      <c r="B82" s="6">
        <f>B76/B78</f>
        <v>6.472491909385106</v>
      </c>
    </row>
    <row r="84" ht="14.25">
      <c r="A84" s="41" t="s">
        <v>64</v>
      </c>
    </row>
    <row r="85" spans="1:2" ht="12.75">
      <c r="A85" t="s">
        <v>116</v>
      </c>
      <c r="B85" s="75">
        <v>12000</v>
      </c>
    </row>
    <row r="86" spans="1:2" ht="12.75">
      <c r="A86" t="s">
        <v>108</v>
      </c>
      <c r="B86" s="47">
        <v>0.03</v>
      </c>
    </row>
    <row r="87" spans="1:2" ht="12.75">
      <c r="A87" t="s">
        <v>46</v>
      </c>
      <c r="B87" s="47">
        <v>0.07</v>
      </c>
    </row>
    <row r="89" spans="1:2" ht="12.75">
      <c r="A89" t="s">
        <v>117</v>
      </c>
      <c r="B89" s="75">
        <f>B85/(B87-B86)</f>
        <v>299999.99999999994</v>
      </c>
    </row>
    <row r="91" ht="14.25">
      <c r="A91" s="41" t="s">
        <v>67</v>
      </c>
    </row>
    <row r="92" spans="1:2" ht="12.75">
      <c r="A92" t="s">
        <v>118</v>
      </c>
      <c r="B92" s="75">
        <v>50000</v>
      </c>
    </row>
    <row r="93" spans="1:2" ht="12.75">
      <c r="A93" t="s">
        <v>108</v>
      </c>
      <c r="B93" s="47">
        <v>0.04</v>
      </c>
    </row>
    <row r="95" spans="1:2" ht="12.75">
      <c r="A95" t="s">
        <v>120</v>
      </c>
      <c r="B95">
        <v>2</v>
      </c>
    </row>
    <row r="96" spans="1:2" ht="12.75">
      <c r="A96" t="s">
        <v>119</v>
      </c>
      <c r="B96" s="75">
        <v>65000</v>
      </c>
    </row>
    <row r="97" spans="1:2" ht="12.75">
      <c r="A97" t="s">
        <v>108</v>
      </c>
      <c r="B97" s="47">
        <v>0.05</v>
      </c>
    </row>
    <row r="98" spans="1:2" ht="12.75">
      <c r="A98" t="s">
        <v>125</v>
      </c>
      <c r="B98" s="75">
        <v>50000</v>
      </c>
    </row>
    <row r="100" spans="1:2" ht="12.75">
      <c r="A100" t="s">
        <v>121</v>
      </c>
      <c r="B100">
        <v>40</v>
      </c>
    </row>
    <row r="101" spans="1:2" ht="12.75">
      <c r="A101" t="s">
        <v>122</v>
      </c>
      <c r="B101" s="47">
        <v>0.04</v>
      </c>
    </row>
    <row r="103" spans="1:2" ht="12.75">
      <c r="A103" t="s">
        <v>123</v>
      </c>
      <c r="B103" s="75">
        <f>B92*B100/(1+B101)</f>
        <v>1923076.923076923</v>
      </c>
    </row>
    <row r="104" spans="1:2" ht="12.75">
      <c r="A104" t="s">
        <v>124</v>
      </c>
      <c r="B104" s="75">
        <f>B96/(B101-B97)*(1-POWER((1+B97)/(1+B101),B100-B95))/POWER(1+B101,B95)-B98</f>
        <v>2585546.884192925</v>
      </c>
    </row>
    <row r="105" spans="1:2" ht="12.75">
      <c r="A105" t="s">
        <v>126</v>
      </c>
      <c r="B105" s="75">
        <f>B104-B103</f>
        <v>662469.9611160019</v>
      </c>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7.xml><?xml version="1.0" encoding="utf-8"?>
<worksheet xmlns="http://schemas.openxmlformats.org/spreadsheetml/2006/main" xmlns:r="http://schemas.openxmlformats.org/officeDocument/2006/relationships">
  <sheetPr codeName="Feuil17">
    <pageSetUpPr fitToPage="1"/>
  </sheetPr>
  <dimension ref="A1:N221"/>
  <sheetViews>
    <sheetView showGridLines="0" zoomScale="75" zoomScaleNormal="75" workbookViewId="0" topLeftCell="A1">
      <selection activeCell="A76" sqref="A76"/>
    </sheetView>
  </sheetViews>
  <sheetFormatPr defaultColWidth="11.00390625" defaultRowHeight="12.75"/>
  <cols>
    <col min="1" max="1" width="18.25390625" style="0" customWidth="1"/>
    <col min="2" max="2" width="11.50390625" style="0" bestFit="1" customWidth="1"/>
  </cols>
  <sheetData>
    <row r="1" ht="14.25">
      <c r="A1" s="20" t="s">
        <v>968</v>
      </c>
    </row>
    <row r="2" spans="1:2" ht="12.75">
      <c r="A2" t="s">
        <v>130</v>
      </c>
      <c r="B2">
        <v>120</v>
      </c>
    </row>
    <row r="3" spans="1:2" ht="12.75">
      <c r="A3" t="s">
        <v>131</v>
      </c>
      <c r="B3">
        <v>172.8</v>
      </c>
    </row>
    <row r="4" spans="1:2" ht="12.75">
      <c r="A4" t="s">
        <v>171</v>
      </c>
      <c r="B4" s="25">
        <f>B3/B2-1</f>
        <v>0.44000000000000017</v>
      </c>
    </row>
    <row r="5" spans="1:2" ht="12.75">
      <c r="A5" t="s">
        <v>128</v>
      </c>
      <c r="B5" s="47">
        <f>SQRT(B3/B2)-1</f>
        <v>0.20000000000000018</v>
      </c>
    </row>
    <row r="6" spans="1:2" ht="25.5">
      <c r="A6" s="3" t="s">
        <v>129</v>
      </c>
      <c r="B6" s="25">
        <f>B5/12*3</f>
        <v>0.050000000000000044</v>
      </c>
    </row>
    <row r="8" ht="14.25">
      <c r="A8" s="20" t="s">
        <v>970</v>
      </c>
    </row>
    <row r="9" spans="1:2" ht="12.75">
      <c r="A9" t="s">
        <v>130</v>
      </c>
      <c r="B9">
        <v>100</v>
      </c>
    </row>
    <row r="10" spans="1:2" ht="12.75">
      <c r="A10" t="s">
        <v>128</v>
      </c>
      <c r="B10" s="47">
        <v>0.14</v>
      </c>
    </row>
    <row r="11" spans="1:2" ht="12.75">
      <c r="A11" t="s">
        <v>133</v>
      </c>
      <c r="B11">
        <v>7</v>
      </c>
    </row>
    <row r="13" spans="1:2" ht="12.75">
      <c r="A13" t="s">
        <v>132</v>
      </c>
      <c r="B13" s="120">
        <f>B9*POWER(1+B10,B11)</f>
        <v>250.2268791287042</v>
      </c>
    </row>
    <row r="15" ht="14.25">
      <c r="A15" s="41" t="s">
        <v>1337</v>
      </c>
    </row>
    <row r="16" spans="1:2" ht="12.75">
      <c r="A16" t="s">
        <v>130</v>
      </c>
      <c r="B16">
        <v>100</v>
      </c>
    </row>
    <row r="17" spans="1:2" ht="12.75">
      <c r="A17" t="s">
        <v>134</v>
      </c>
      <c r="B17">
        <v>174.9</v>
      </c>
    </row>
    <row r="18" spans="1:2" ht="12.75">
      <c r="A18" t="s">
        <v>128</v>
      </c>
      <c r="B18" s="47">
        <v>0.15</v>
      </c>
    </row>
    <row r="19" ht="12.75">
      <c r="B19" s="47"/>
    </row>
    <row r="20" spans="1:2" ht="12.75">
      <c r="A20" t="s">
        <v>133</v>
      </c>
      <c r="B20" s="87">
        <f>LN(B17/B16)/LN(1+B18)</f>
        <v>3.9999744317794335</v>
      </c>
    </row>
    <row r="22" ht="14.25">
      <c r="A22" s="41" t="s">
        <v>1301</v>
      </c>
    </row>
    <row r="23" spans="1:2" ht="12.75">
      <c r="A23" t="s">
        <v>130</v>
      </c>
      <c r="B23" s="6">
        <v>1000</v>
      </c>
    </row>
    <row r="24" spans="1:2" ht="12.75">
      <c r="A24" t="s">
        <v>46</v>
      </c>
      <c r="B24" s="95">
        <v>0.06</v>
      </c>
    </row>
    <row r="25" spans="1:3" ht="12.75">
      <c r="A25" t="s">
        <v>135</v>
      </c>
      <c r="B25" s="121">
        <v>0.5</v>
      </c>
      <c r="C25" t="s">
        <v>136</v>
      </c>
    </row>
    <row r="26" spans="1:2" ht="12.75">
      <c r="A26" t="s">
        <v>133</v>
      </c>
      <c r="B26">
        <v>4</v>
      </c>
    </row>
    <row r="28" spans="1:2" ht="12.75">
      <c r="A28" t="s">
        <v>128</v>
      </c>
      <c r="B28" s="96">
        <f>B24*B25*(POWER(1+B24,B25)+1)</f>
        <v>0.060886890422961</v>
      </c>
    </row>
    <row r="29" spans="1:2" ht="12.75">
      <c r="A29" t="s">
        <v>134</v>
      </c>
      <c r="B29" s="6">
        <f>B23*POWER(1+B28,B26)</f>
        <v>1266.707468465913</v>
      </c>
    </row>
    <row r="31" ht="14.25">
      <c r="A31" s="41" t="s">
        <v>1315</v>
      </c>
    </row>
    <row r="32" ht="12.75">
      <c r="A32" s="1" t="s">
        <v>138</v>
      </c>
    </row>
    <row r="33" spans="1:8" ht="12.75">
      <c r="A33" t="s">
        <v>98</v>
      </c>
      <c r="B33">
        <v>0</v>
      </c>
      <c r="C33">
        <v>1</v>
      </c>
      <c r="D33">
        <v>2</v>
      </c>
      <c r="E33">
        <v>3</v>
      </c>
      <c r="F33">
        <v>4</v>
      </c>
      <c r="G33">
        <v>5</v>
      </c>
      <c r="H33">
        <v>6</v>
      </c>
    </row>
    <row r="34" spans="1:8" ht="12.75">
      <c r="A34" t="s">
        <v>92</v>
      </c>
      <c r="B34">
        <v>-4</v>
      </c>
      <c r="C34">
        <v>1</v>
      </c>
      <c r="D34">
        <v>1</v>
      </c>
      <c r="E34">
        <v>1</v>
      </c>
      <c r="F34">
        <v>1</v>
      </c>
      <c r="G34">
        <v>1</v>
      </c>
      <c r="H34">
        <v>1</v>
      </c>
    </row>
    <row r="36" ht="12.75">
      <c r="B36" s="112"/>
    </row>
    <row r="37" spans="1:2" ht="12.75">
      <c r="A37" t="s">
        <v>437</v>
      </c>
      <c r="B37" s="79">
        <v>0.12976959078756212</v>
      </c>
    </row>
    <row r="39" ht="12.75">
      <c r="A39" s="1" t="s">
        <v>139</v>
      </c>
    </row>
    <row r="40" spans="1:7" ht="12.75">
      <c r="A40" t="s">
        <v>98</v>
      </c>
      <c r="B40">
        <v>0</v>
      </c>
      <c r="C40">
        <v>1</v>
      </c>
      <c r="D40">
        <v>2</v>
      </c>
      <c r="E40">
        <v>3</v>
      </c>
      <c r="F40">
        <v>4</v>
      </c>
      <c r="G40">
        <v>5</v>
      </c>
    </row>
    <row r="41" spans="1:7" ht="12.75">
      <c r="A41" t="s">
        <v>92</v>
      </c>
      <c r="B41">
        <v>-6</v>
      </c>
      <c r="C41">
        <v>2</v>
      </c>
      <c r="D41">
        <v>2</v>
      </c>
      <c r="E41">
        <v>1.5</v>
      </c>
      <c r="F41">
        <v>1.5</v>
      </c>
      <c r="G41">
        <v>1.5</v>
      </c>
    </row>
    <row r="43" ht="12.75">
      <c r="B43" s="112"/>
    </row>
    <row r="44" spans="1:2" ht="12.75">
      <c r="A44" t="s">
        <v>437</v>
      </c>
      <c r="B44" s="79">
        <v>0.1379931413547175</v>
      </c>
    </row>
    <row r="46" spans="1:14" ht="12.75">
      <c r="A46" t="s">
        <v>46</v>
      </c>
      <c r="B46" s="47">
        <v>0.09</v>
      </c>
      <c r="C46" s="47">
        <f>B46+1%</f>
        <v>0.09999999999999999</v>
      </c>
      <c r="D46" s="47">
        <f aca="true" t="shared" si="0" ref="D46:I46">C46+1%</f>
        <v>0.10999999999999999</v>
      </c>
      <c r="E46" s="47">
        <f t="shared" si="0"/>
        <v>0.11999999999999998</v>
      </c>
      <c r="F46" s="47">
        <f t="shared" si="0"/>
        <v>0.12999999999999998</v>
      </c>
      <c r="G46" s="47">
        <f t="shared" si="0"/>
        <v>0.13999999999999999</v>
      </c>
      <c r="H46" s="47">
        <f t="shared" si="0"/>
        <v>0.15</v>
      </c>
      <c r="I46" s="47">
        <f t="shared" si="0"/>
        <v>0.16</v>
      </c>
      <c r="J46" s="47">
        <f>I46+1%</f>
        <v>0.17</v>
      </c>
      <c r="K46" s="47">
        <f>J46+1%</f>
        <v>0.18000000000000002</v>
      </c>
      <c r="L46" s="47">
        <f>K46+1%</f>
        <v>0.19000000000000003</v>
      </c>
      <c r="M46" s="47">
        <f>L46+1%</f>
        <v>0.20000000000000004</v>
      </c>
      <c r="N46" s="47">
        <f>M46+1%</f>
        <v>0.21000000000000005</v>
      </c>
    </row>
    <row r="47" spans="1:14" ht="12.75">
      <c r="A47" t="s">
        <v>140</v>
      </c>
      <c r="B47" s="123">
        <f aca="true" t="shared" si="1" ref="B47:I47">SUMPRODUCT($B34:$H34,POWER(1+B46,-$B33:$H33))</f>
        <v>0.48591859023093176</v>
      </c>
      <c r="C47" s="123">
        <f t="shared" si="1"/>
        <v>0.3552606994622248</v>
      </c>
      <c r="D47" s="123">
        <f t="shared" si="1"/>
        <v>0.23053785373825852</v>
      </c>
      <c r="E47" s="123">
        <f t="shared" si="1"/>
        <v>0.1114073235223274</v>
      </c>
      <c r="F47" s="123">
        <f t="shared" si="1"/>
        <v>-0.0024502110241529373</v>
      </c>
      <c r="G47" s="123">
        <f t="shared" si="1"/>
        <v>-0.11133248345748997</v>
      </c>
      <c r="H47" s="123">
        <f t="shared" si="1"/>
        <v>-0.21551730607704078</v>
      </c>
      <c r="I47" s="123">
        <f t="shared" si="1"/>
        <v>-0.315264091671348</v>
      </c>
      <c r="J47" s="123">
        <f>SUMPRODUCT($B34:$H34,POWER(1+J46,-$B33:$H33))</f>
        <v>-0.4108152455305845</v>
      </c>
      <c r="K47" s="123">
        <f>SUMPRODUCT($B34:$H34,POWER(1+K46,-$B33:$H33))</f>
        <v>-0.502397439879748</v>
      </c>
      <c r="L47" s="123">
        <f>SUMPRODUCT($B34:$H34,POWER(1+L46,-$B33:$H33))</f>
        <v>-0.590222781649741</v>
      </c>
      <c r="M47" s="123">
        <f>SUMPRODUCT($B34:$H34,POWER(1+M46,-$B33:$H33))</f>
        <v>-0.6744898834019204</v>
      </c>
      <c r="N47" s="123">
        <f>SUMPRODUCT($B34:$H34,POWER(1+N46,-$B33:$H33))</f>
        <v>-0.755384846239794</v>
      </c>
    </row>
    <row r="48" spans="1:14" ht="12.75">
      <c r="A48" t="s">
        <v>141</v>
      </c>
      <c r="B48" s="123">
        <f aca="true" t="shared" si="2" ref="B48:I48">SUMPRODUCT($B41:$G41,POWER(1+B46,-$B40:$G40))</f>
        <v>0.7140324879911291</v>
      </c>
      <c r="C48" s="123">
        <f t="shared" si="2"/>
        <v>0.5539487491539936</v>
      </c>
      <c r="D48" s="123">
        <f t="shared" si="2"/>
        <v>0.4001071935466777</v>
      </c>
      <c r="E48" s="123">
        <f t="shared" si="2"/>
        <v>0.25218981372159077</v>
      </c>
      <c r="F48" s="123">
        <f t="shared" si="2"/>
        <v>0.10989811010715289</v>
      </c>
      <c r="G48" s="123">
        <f t="shared" si="2"/>
        <v>-0.027048291249088918</v>
      </c>
      <c r="H48" s="123">
        <f t="shared" si="2"/>
        <v>-0.15891291063885038</v>
      </c>
      <c r="I48" s="123">
        <f t="shared" si="2"/>
        <v>-0.2859435860955416</v>
      </c>
      <c r="J48" s="123">
        <f>SUMPRODUCT($B41:$G41,POWER(1+J46,-$B40:$G40))</f>
        <v>-0.4083735530425634</v>
      </c>
      <c r="K48" s="123">
        <f>SUMPRODUCT($B41:$G41,POWER(1+K46,-$B40:$G40))</f>
        <v>-0.526422440147051</v>
      </c>
      <c r="L48" s="123">
        <f>SUMPRODUCT($B41:$G41,POWER(1+L46,-$B40:$G40))</f>
        <v>-0.6402971885835348</v>
      </c>
      <c r="M48" s="123">
        <f>SUMPRODUCT($B41:$G41,POWER(1+M46,-$B40:$G40))</f>
        <v>-0.7501929012345673</v>
      </c>
      <c r="N48" s="123">
        <f>SUMPRODUCT($B41:$G41,POWER(1+N46,-$B40:$G40))</f>
        <v>-0.8562936277468232</v>
      </c>
    </row>
    <row r="61" ht="14.25">
      <c r="A61" s="41" t="s">
        <v>57</v>
      </c>
    </row>
    <row r="62" ht="12.75">
      <c r="A62" s="1" t="s">
        <v>145</v>
      </c>
    </row>
    <row r="63" spans="1:2" ht="12.75">
      <c r="A63" t="s">
        <v>46</v>
      </c>
      <c r="B63" s="95">
        <v>0.008</v>
      </c>
    </row>
    <row r="64" spans="1:2" ht="12.75">
      <c r="A64" t="s">
        <v>147</v>
      </c>
      <c r="B64">
        <v>3</v>
      </c>
    </row>
    <row r="65" spans="1:2" ht="12.75">
      <c r="A65" t="s">
        <v>148</v>
      </c>
      <c r="B65" s="96">
        <f>POWER(1+B63,12/B64)-1</f>
        <v>0.032386052096000206</v>
      </c>
    </row>
    <row r="67" ht="12.75">
      <c r="A67" s="1" t="s">
        <v>146</v>
      </c>
    </row>
    <row r="68" spans="1:2" ht="12.75">
      <c r="A68" t="s">
        <v>46</v>
      </c>
      <c r="B68" s="95">
        <v>0.016</v>
      </c>
    </row>
    <row r="69" spans="1:2" ht="12.75">
      <c r="A69" t="s">
        <v>147</v>
      </c>
      <c r="B69">
        <v>6</v>
      </c>
    </row>
    <row r="70" spans="1:2" ht="12.75">
      <c r="A70" t="s">
        <v>148</v>
      </c>
      <c r="B70" s="96">
        <f>POWER(1+B68,12/B69)-1</f>
        <v>0.03225600000000006</v>
      </c>
    </row>
    <row r="72" spans="1:3" ht="14.25">
      <c r="A72" s="41" t="s">
        <v>59</v>
      </c>
      <c r="B72" s="427" t="s">
        <v>142</v>
      </c>
      <c r="C72" s="427"/>
    </row>
    <row r="73" spans="1:3" ht="12.75">
      <c r="A73" t="s">
        <v>130</v>
      </c>
      <c r="B73" s="426">
        <v>10000000</v>
      </c>
      <c r="C73" s="426"/>
    </row>
    <row r="74" spans="1:3" ht="12.75">
      <c r="A74" t="s">
        <v>134</v>
      </c>
      <c r="B74" s="426">
        <v>10019745</v>
      </c>
      <c r="C74" s="426"/>
    </row>
    <row r="75" spans="1:2" ht="12.75">
      <c r="A75" t="s">
        <v>143</v>
      </c>
      <c r="B75">
        <v>24</v>
      </c>
    </row>
    <row r="77" spans="1:2" ht="12.75">
      <c r="A77" t="s">
        <v>144</v>
      </c>
      <c r="B77" s="125">
        <f>(B74-B73)/B73</f>
        <v>0.0019745</v>
      </c>
    </row>
    <row r="78" spans="1:2" ht="12.75">
      <c r="A78" t="s">
        <v>137</v>
      </c>
      <c r="B78" s="96">
        <f>POWER(1+B77,365/B75)-1</f>
        <v>0.030453758172704237</v>
      </c>
    </row>
    <row r="80" ht="14.25">
      <c r="A80" s="41" t="s">
        <v>64</v>
      </c>
    </row>
    <row r="81" spans="1:2" ht="12.75">
      <c r="A81" t="s">
        <v>130</v>
      </c>
      <c r="B81">
        <v>100</v>
      </c>
    </row>
    <row r="82" spans="1:2" ht="12.75">
      <c r="A82" t="s">
        <v>128</v>
      </c>
      <c r="B82" s="47">
        <v>0.07</v>
      </c>
    </row>
    <row r="83" spans="1:2" ht="12.75">
      <c r="A83" t="s">
        <v>133</v>
      </c>
      <c r="B83">
        <v>4</v>
      </c>
    </row>
    <row r="85" ht="12.75">
      <c r="A85" s="1" t="s">
        <v>149</v>
      </c>
    </row>
    <row r="86" spans="1:5" ht="21">
      <c r="A86" s="76" t="s">
        <v>706</v>
      </c>
      <c r="B86" s="76" t="s">
        <v>151</v>
      </c>
      <c r="C86" s="76" t="s">
        <v>153</v>
      </c>
      <c r="D86" s="76" t="s">
        <v>154</v>
      </c>
      <c r="E86" s="76" t="s">
        <v>152</v>
      </c>
    </row>
    <row r="87" spans="1:5" ht="12.75">
      <c r="A87" s="128">
        <v>1</v>
      </c>
      <c r="B87" s="23">
        <f>B81</f>
        <v>100</v>
      </c>
      <c r="C87" s="23">
        <v>29.5228</v>
      </c>
      <c r="D87" s="23">
        <f>C87-E87</f>
        <v>22.5228</v>
      </c>
      <c r="E87" s="23">
        <f>B87*$B$82</f>
        <v>7.000000000000001</v>
      </c>
    </row>
    <row r="88" spans="1:5" ht="12.75">
      <c r="A88" s="128">
        <f>A87+1</f>
        <v>2</v>
      </c>
      <c r="B88" s="23">
        <f>B87-D87</f>
        <v>77.4772</v>
      </c>
      <c r="C88" s="23">
        <f>C87</f>
        <v>29.5228</v>
      </c>
      <c r="D88" s="23">
        <f>C88-E88</f>
        <v>24.099396</v>
      </c>
      <c r="E88" s="23">
        <f>B88*$B$82</f>
        <v>5.423404000000001</v>
      </c>
    </row>
    <row r="89" spans="1:5" ht="12.75">
      <c r="A89" s="128">
        <f>A88+1</f>
        <v>3</v>
      </c>
      <c r="B89" s="23">
        <f>B88-D88</f>
        <v>53.377804</v>
      </c>
      <c r="C89" s="23">
        <f>C88</f>
        <v>29.5228</v>
      </c>
      <c r="D89" s="23">
        <f>C89-E89</f>
        <v>25.78635372</v>
      </c>
      <c r="E89" s="23">
        <f>B89*$B$82</f>
        <v>3.73644628</v>
      </c>
    </row>
    <row r="90" spans="1:5" ht="12.75">
      <c r="A90" s="128">
        <f>A89+1</f>
        <v>4</v>
      </c>
      <c r="B90" s="23">
        <f>B89-D89</f>
        <v>27.591450279999997</v>
      </c>
      <c r="C90" s="23">
        <f>C89</f>
        <v>29.5228</v>
      </c>
      <c r="D90" s="23">
        <f>C90-E90</f>
        <v>27.5913984804</v>
      </c>
      <c r="E90" s="23">
        <f>B90*$B$82</f>
        <v>1.9314015195999998</v>
      </c>
    </row>
    <row r="91" spans="1:4" ht="12.75">
      <c r="A91" s="78"/>
      <c r="D91" s="23">
        <f>SUM(D87:D90)</f>
        <v>99.9999482004</v>
      </c>
    </row>
    <row r="92" spans="1:2" ht="12.75">
      <c r="A92" s="78"/>
      <c r="B92" s="141"/>
    </row>
    <row r="93" ht="12.75">
      <c r="A93" s="78"/>
    </row>
    <row r="94" ht="12.75">
      <c r="A94" s="1" t="s">
        <v>150</v>
      </c>
    </row>
    <row r="95" spans="1:5" ht="21">
      <c r="A95" s="76" t="s">
        <v>706</v>
      </c>
      <c r="B95" s="76" t="s">
        <v>151</v>
      </c>
      <c r="C95" s="76" t="s">
        <v>153</v>
      </c>
      <c r="D95" s="76" t="s">
        <v>154</v>
      </c>
      <c r="E95" s="76" t="s">
        <v>152</v>
      </c>
    </row>
    <row r="96" spans="1:5" ht="12.75">
      <c r="A96" s="128">
        <v>1</v>
      </c>
      <c r="B96" s="23">
        <f>B81</f>
        <v>100</v>
      </c>
      <c r="C96" s="23">
        <f>D96+E96</f>
        <v>32</v>
      </c>
      <c r="D96" s="23">
        <v>25</v>
      </c>
      <c r="E96" s="23">
        <f>B96*$B$82</f>
        <v>7.000000000000001</v>
      </c>
    </row>
    <row r="97" spans="1:5" ht="12.75">
      <c r="A97" s="128">
        <f>A96+1</f>
        <v>2</v>
      </c>
      <c r="B97" s="23">
        <f>B96-D96</f>
        <v>75</v>
      </c>
      <c r="C97" s="23">
        <f>D97+E97</f>
        <v>30.25</v>
      </c>
      <c r="D97" s="23">
        <f>D96</f>
        <v>25</v>
      </c>
      <c r="E97" s="23">
        <f>B97*$B$82</f>
        <v>5.250000000000001</v>
      </c>
    </row>
    <row r="98" spans="1:5" ht="12.75">
      <c r="A98" s="128">
        <f>A97+1</f>
        <v>3</v>
      </c>
      <c r="B98" s="23">
        <f>B97-D97</f>
        <v>50</v>
      </c>
      <c r="C98" s="23">
        <f>D98+E98</f>
        <v>28.5</v>
      </c>
      <c r="D98" s="23">
        <f>D97</f>
        <v>25</v>
      </c>
      <c r="E98" s="23">
        <f>B98*$B$82</f>
        <v>3.5000000000000004</v>
      </c>
    </row>
    <row r="99" spans="1:5" ht="12.75">
      <c r="A99" s="128">
        <f>A98+1</f>
        <v>4</v>
      </c>
      <c r="B99" s="23">
        <f>B98-D98</f>
        <v>25</v>
      </c>
      <c r="C99" s="23">
        <f>D99+E99</f>
        <v>26.75</v>
      </c>
      <c r="D99" s="23">
        <f>D98</f>
        <v>25</v>
      </c>
      <c r="E99" s="23">
        <f>B99*$B$82</f>
        <v>1.7500000000000002</v>
      </c>
    </row>
    <row r="100" spans="1:4" ht="12.75">
      <c r="A100" s="78"/>
      <c r="D100" s="23">
        <f>SUM(D96:D99)</f>
        <v>100</v>
      </c>
    </row>
    <row r="101" spans="1:2" ht="12.75">
      <c r="A101" s="78"/>
      <c r="B101" s="141"/>
    </row>
    <row r="103" ht="14.25">
      <c r="A103" s="41" t="s">
        <v>67</v>
      </c>
    </row>
    <row r="104" spans="1:2" ht="12.75">
      <c r="A104" t="s">
        <v>130</v>
      </c>
      <c r="B104">
        <v>400</v>
      </c>
    </row>
    <row r="105" spans="1:2" ht="12.75">
      <c r="A105" t="s">
        <v>128</v>
      </c>
      <c r="B105" s="95">
        <v>0.065</v>
      </c>
    </row>
    <row r="106" spans="1:4" ht="12.75">
      <c r="A106" t="s">
        <v>133</v>
      </c>
      <c r="B106">
        <v>7</v>
      </c>
      <c r="D106" t="s">
        <v>28</v>
      </c>
    </row>
    <row r="107" spans="1:2" ht="12.75">
      <c r="A107" t="s">
        <v>155</v>
      </c>
      <c r="B107">
        <v>2</v>
      </c>
    </row>
    <row r="109" ht="12.75">
      <c r="A109" s="1" t="s">
        <v>149</v>
      </c>
    </row>
    <row r="110" spans="1:6" ht="31.5">
      <c r="A110" s="76" t="s">
        <v>706</v>
      </c>
      <c r="B110" s="76" t="s">
        <v>151</v>
      </c>
      <c r="C110" s="76" t="s">
        <v>153</v>
      </c>
      <c r="D110" s="76" t="s">
        <v>154</v>
      </c>
      <c r="E110" s="76" t="s">
        <v>152</v>
      </c>
      <c r="F110" s="126" t="s">
        <v>1227</v>
      </c>
    </row>
    <row r="111" spans="1:6" ht="12.75">
      <c r="A111" s="128">
        <v>1</v>
      </c>
      <c r="B111" s="23">
        <f>B104</f>
        <v>400</v>
      </c>
      <c r="C111" s="23"/>
      <c r="D111" s="23">
        <f aca="true" t="shared" si="3" ref="D111:D117">C111-E111</f>
        <v>0</v>
      </c>
      <c r="E111" s="23"/>
      <c r="F111" s="127">
        <f aca="true" t="shared" si="4" ref="F111:F117">B111*$B$105</f>
        <v>26</v>
      </c>
    </row>
    <row r="112" spans="1:6" ht="12.75">
      <c r="A112" s="128">
        <f aca="true" t="shared" si="5" ref="A112:A117">A111+1</f>
        <v>2</v>
      </c>
      <c r="B112" s="23">
        <f>B111-D111+F111</f>
        <v>426</v>
      </c>
      <c r="C112" s="23"/>
      <c r="D112" s="23">
        <f t="shared" si="3"/>
        <v>0</v>
      </c>
      <c r="E112" s="23"/>
      <c r="F112" s="127">
        <f t="shared" si="4"/>
        <v>27.69</v>
      </c>
    </row>
    <row r="113" spans="1:6" ht="12.75">
      <c r="A113" s="128">
        <f t="shared" si="5"/>
        <v>3</v>
      </c>
      <c r="B113" s="23">
        <f>B112-D112+F112</f>
        <v>453.69</v>
      </c>
      <c r="C113" s="23">
        <v>109.17348336260372</v>
      </c>
      <c r="D113" s="23">
        <f t="shared" si="3"/>
        <v>79.68363336260371</v>
      </c>
      <c r="E113" s="23">
        <f>IF(F113&gt;C113,C113,F113)</f>
        <v>29.48985</v>
      </c>
      <c r="F113" s="127">
        <f t="shared" si="4"/>
        <v>29.48985</v>
      </c>
    </row>
    <row r="114" spans="1:6" ht="12.75">
      <c r="A114" s="128">
        <f t="shared" si="5"/>
        <v>4</v>
      </c>
      <c r="B114" s="23">
        <f>B113-D113</f>
        <v>374.0063666373963</v>
      </c>
      <c r="C114" s="23">
        <f>C113</f>
        <v>109.17348336260372</v>
      </c>
      <c r="D114" s="23">
        <f t="shared" si="3"/>
        <v>84.86306953117295</v>
      </c>
      <c r="E114" s="23">
        <f>IF(F114&gt;C114,C114,F114)</f>
        <v>24.31041383143076</v>
      </c>
      <c r="F114" s="127">
        <f t="shared" si="4"/>
        <v>24.31041383143076</v>
      </c>
    </row>
    <row r="115" spans="1:6" ht="12.75">
      <c r="A115" s="128">
        <f t="shared" si="5"/>
        <v>5</v>
      </c>
      <c r="B115" s="23">
        <f>B114-D114</f>
        <v>289.1432971062234</v>
      </c>
      <c r="C115" s="23">
        <f>C114</f>
        <v>109.17348336260372</v>
      </c>
      <c r="D115" s="23">
        <f t="shared" si="3"/>
        <v>90.3791690506992</v>
      </c>
      <c r="E115" s="23">
        <f>IF(F115&gt;C115,C115,F115)</f>
        <v>18.794314311904518</v>
      </c>
      <c r="F115" s="127">
        <f t="shared" si="4"/>
        <v>18.794314311904518</v>
      </c>
    </row>
    <row r="116" spans="1:6" ht="12.75">
      <c r="A116" s="128">
        <f t="shared" si="5"/>
        <v>6</v>
      </c>
      <c r="B116" s="23">
        <f>B115-D115</f>
        <v>198.76412805552417</v>
      </c>
      <c r="C116" s="23">
        <f>C115</f>
        <v>109.17348336260372</v>
      </c>
      <c r="D116" s="23">
        <f t="shared" si="3"/>
        <v>96.25381503899465</v>
      </c>
      <c r="E116" s="23">
        <f>IF(F116&gt;C116,C116,F116)</f>
        <v>12.919668323609072</v>
      </c>
      <c r="F116" s="127">
        <f t="shared" si="4"/>
        <v>12.919668323609072</v>
      </c>
    </row>
    <row r="117" spans="1:6" ht="12.75">
      <c r="A117" s="128">
        <f t="shared" si="5"/>
        <v>7</v>
      </c>
      <c r="B117" s="23">
        <f>B116-D116</f>
        <v>102.51031301652952</v>
      </c>
      <c r="C117" s="23">
        <f>C116</f>
        <v>109.17348336260372</v>
      </c>
      <c r="D117" s="23">
        <f t="shared" si="3"/>
        <v>102.5103130165293</v>
      </c>
      <c r="E117" s="23">
        <f>IF(F117&gt;C117,C117,F117)</f>
        <v>6.663170346074419</v>
      </c>
      <c r="F117" s="127">
        <f t="shared" si="4"/>
        <v>6.663170346074419</v>
      </c>
    </row>
    <row r="118" spans="1:4" ht="12.75">
      <c r="A118" s="78"/>
      <c r="D118" s="23">
        <f>SUM(D111:D117)</f>
        <v>453.6899999999998</v>
      </c>
    </row>
    <row r="119" spans="1:2" ht="12.75">
      <c r="A119" s="78" t="s">
        <v>93</v>
      </c>
      <c r="B119" s="141">
        <f>SUMPRODUCT(C111:C117,POWER(1+B105,-(A111:A117)))-B104</f>
        <v>0</v>
      </c>
    </row>
    <row r="120" spans="1:2" ht="12.75">
      <c r="A120" s="78"/>
      <c r="B120" s="141"/>
    </row>
    <row r="121" spans="1:2" ht="12.75">
      <c r="A121" s="78"/>
      <c r="B121" s="141"/>
    </row>
    <row r="122" spans="1:2" ht="12.75">
      <c r="A122" s="78"/>
      <c r="B122" s="141"/>
    </row>
    <row r="123" ht="12.75">
      <c r="A123" s="78"/>
    </row>
    <row r="124" ht="12.75">
      <c r="A124" s="1" t="s">
        <v>150</v>
      </c>
    </row>
    <row r="125" spans="1:6" ht="31.5">
      <c r="A125" s="76" t="s">
        <v>706</v>
      </c>
      <c r="B125" s="76" t="s">
        <v>151</v>
      </c>
      <c r="C125" s="76" t="s">
        <v>153</v>
      </c>
      <c r="D125" s="76" t="s">
        <v>154</v>
      </c>
      <c r="E125" s="76" t="s">
        <v>152</v>
      </c>
      <c r="F125" s="126" t="s">
        <v>1227</v>
      </c>
    </row>
    <row r="126" spans="1:6" ht="12.75">
      <c r="A126" s="128">
        <v>1</v>
      </c>
      <c r="B126" s="23">
        <f>B104</f>
        <v>400</v>
      </c>
      <c r="C126" s="23">
        <f aca="true" t="shared" si="6" ref="C126:C132">D126+E126</f>
        <v>0</v>
      </c>
      <c r="D126" s="23"/>
      <c r="E126" s="23"/>
      <c r="F126" s="127">
        <f>B126*$B$105</f>
        <v>26</v>
      </c>
    </row>
    <row r="127" spans="1:6" ht="12.75">
      <c r="A127" s="128">
        <f aca="true" t="shared" si="7" ref="A127:A132">A126+1</f>
        <v>2</v>
      </c>
      <c r="B127" s="23">
        <f>B126-D126+F126</f>
        <v>426</v>
      </c>
      <c r="C127" s="23">
        <f t="shared" si="6"/>
        <v>0</v>
      </c>
      <c r="D127" s="23"/>
      <c r="E127" s="23"/>
      <c r="F127" s="127">
        <f aca="true" t="shared" si="8" ref="F127:F132">B127*$B$105</f>
        <v>27.69</v>
      </c>
    </row>
    <row r="128" spans="1:6" ht="12.75">
      <c r="A128" s="128">
        <f t="shared" si="7"/>
        <v>3</v>
      </c>
      <c r="B128" s="23">
        <f>B127-D127+F127</f>
        <v>453.69</v>
      </c>
      <c r="C128" s="23">
        <f t="shared" si="6"/>
        <v>120.22785</v>
      </c>
      <c r="D128" s="23">
        <f>B128/5</f>
        <v>90.738</v>
      </c>
      <c r="E128" s="23">
        <f>F128</f>
        <v>29.48985</v>
      </c>
      <c r="F128" s="127">
        <f t="shared" si="8"/>
        <v>29.48985</v>
      </c>
    </row>
    <row r="129" spans="1:6" ht="12.75">
      <c r="A129" s="128">
        <f t="shared" si="7"/>
        <v>4</v>
      </c>
      <c r="B129" s="23">
        <f>B128-D128</f>
        <v>362.952</v>
      </c>
      <c r="C129" s="23">
        <f t="shared" si="6"/>
        <v>114.32988</v>
      </c>
      <c r="D129" s="23">
        <f>D128</f>
        <v>90.738</v>
      </c>
      <c r="E129" s="23">
        <f>F129</f>
        <v>23.59188</v>
      </c>
      <c r="F129" s="127">
        <f t="shared" si="8"/>
        <v>23.59188</v>
      </c>
    </row>
    <row r="130" spans="1:6" ht="12.75">
      <c r="A130" s="128">
        <f t="shared" si="7"/>
        <v>5</v>
      </c>
      <c r="B130" s="23">
        <f>B129-D129</f>
        <v>272.214</v>
      </c>
      <c r="C130" s="23">
        <f t="shared" si="6"/>
        <v>108.43191</v>
      </c>
      <c r="D130" s="23">
        <f>D129</f>
        <v>90.738</v>
      </c>
      <c r="E130" s="23">
        <f>F130</f>
        <v>17.69391</v>
      </c>
      <c r="F130" s="127">
        <f t="shared" si="8"/>
        <v>17.69391</v>
      </c>
    </row>
    <row r="131" spans="1:6" ht="12.75">
      <c r="A131" s="128">
        <f t="shared" si="7"/>
        <v>6</v>
      </c>
      <c r="B131" s="23">
        <f>B130-D130</f>
        <v>181.476</v>
      </c>
      <c r="C131" s="23">
        <f t="shared" si="6"/>
        <v>102.53394</v>
      </c>
      <c r="D131" s="23">
        <f>D130</f>
        <v>90.738</v>
      </c>
      <c r="E131" s="23">
        <f>F131</f>
        <v>11.79594</v>
      </c>
      <c r="F131" s="127">
        <f t="shared" si="8"/>
        <v>11.79594</v>
      </c>
    </row>
    <row r="132" spans="1:6" ht="12.75">
      <c r="A132" s="128">
        <f t="shared" si="7"/>
        <v>7</v>
      </c>
      <c r="B132" s="23">
        <f>B131-D131</f>
        <v>90.738</v>
      </c>
      <c r="C132" s="23">
        <f t="shared" si="6"/>
        <v>96.63597</v>
      </c>
      <c r="D132" s="23">
        <f>D131</f>
        <v>90.738</v>
      </c>
      <c r="E132" s="23">
        <f>F132</f>
        <v>5.89797</v>
      </c>
      <c r="F132" s="127">
        <f t="shared" si="8"/>
        <v>5.89797</v>
      </c>
    </row>
    <row r="133" spans="1:4" ht="12.75">
      <c r="A133" s="78"/>
      <c r="D133" s="23">
        <f>SUM(D126:D132)</f>
        <v>453.69</v>
      </c>
    </row>
    <row r="134" spans="1:2" ht="12.75">
      <c r="A134" s="78" t="s">
        <v>93</v>
      </c>
      <c r="B134" s="141">
        <f>SUMPRODUCT(C126:C132,POWER(1+B105,-A126:A132))-B104</f>
        <v>0</v>
      </c>
    </row>
    <row r="136" ht="14.25">
      <c r="A136" s="41" t="s">
        <v>69</v>
      </c>
    </row>
    <row r="137" spans="1:3" ht="12.75">
      <c r="A137" t="s">
        <v>156</v>
      </c>
      <c r="B137" s="47">
        <v>0.98</v>
      </c>
      <c r="C137" s="47">
        <v>1.01</v>
      </c>
    </row>
    <row r="138" spans="1:3" ht="12.75">
      <c r="A138" t="s">
        <v>157</v>
      </c>
      <c r="B138" s="47">
        <v>1.08</v>
      </c>
      <c r="C138" s="47">
        <v>1.08</v>
      </c>
    </row>
    <row r="139" spans="1:3" ht="12.75">
      <c r="A139" t="s">
        <v>158</v>
      </c>
      <c r="B139" s="47">
        <v>0.07</v>
      </c>
      <c r="C139" s="47">
        <v>0.07</v>
      </c>
    </row>
    <row r="140" spans="1:2" ht="12.75">
      <c r="A140" t="s">
        <v>133</v>
      </c>
      <c r="B140" s="121">
        <v>10</v>
      </c>
    </row>
    <row r="142" spans="1:3" ht="12.75">
      <c r="A142" s="76" t="s">
        <v>98</v>
      </c>
      <c r="B142" s="76" t="s">
        <v>92</v>
      </c>
      <c r="C142" s="76" t="s">
        <v>92</v>
      </c>
    </row>
    <row r="143" spans="1:3" ht="12.75">
      <c r="A143">
        <v>0</v>
      </c>
      <c r="B143" s="47">
        <f>-B137</f>
        <v>-0.98</v>
      </c>
      <c r="C143" s="47">
        <f>-C137</f>
        <v>-1.01</v>
      </c>
    </row>
    <row r="144" spans="1:3" ht="12.75">
      <c r="A144">
        <v>1</v>
      </c>
      <c r="B144" s="47">
        <f aca="true" t="shared" si="9" ref="B144:C152">B$139</f>
        <v>0.07</v>
      </c>
      <c r="C144" s="47">
        <f t="shared" si="9"/>
        <v>0.07</v>
      </c>
    </row>
    <row r="145" spans="1:3" ht="12.75">
      <c r="A145">
        <f>A144+1</f>
        <v>2</v>
      </c>
      <c r="B145" s="47">
        <f t="shared" si="9"/>
        <v>0.07</v>
      </c>
      <c r="C145" s="47">
        <f t="shared" si="9"/>
        <v>0.07</v>
      </c>
    </row>
    <row r="146" spans="1:3" ht="12.75">
      <c r="A146">
        <f aca="true" t="shared" si="10" ref="A146:A153">A145+1</f>
        <v>3</v>
      </c>
      <c r="B146" s="47">
        <f t="shared" si="9"/>
        <v>0.07</v>
      </c>
      <c r="C146" s="47">
        <f t="shared" si="9"/>
        <v>0.07</v>
      </c>
    </row>
    <row r="147" spans="1:3" ht="12.75">
      <c r="A147">
        <f t="shared" si="10"/>
        <v>4</v>
      </c>
      <c r="B147" s="47">
        <f t="shared" si="9"/>
        <v>0.07</v>
      </c>
      <c r="C147" s="47">
        <f t="shared" si="9"/>
        <v>0.07</v>
      </c>
    </row>
    <row r="148" spans="1:3" ht="12.75">
      <c r="A148">
        <f t="shared" si="10"/>
        <v>5</v>
      </c>
      <c r="B148" s="47">
        <f t="shared" si="9"/>
        <v>0.07</v>
      </c>
      <c r="C148" s="47">
        <f t="shared" si="9"/>
        <v>0.07</v>
      </c>
    </row>
    <row r="149" spans="1:3" ht="12.75">
      <c r="A149">
        <f t="shared" si="10"/>
        <v>6</v>
      </c>
      <c r="B149" s="47">
        <f t="shared" si="9"/>
        <v>0.07</v>
      </c>
      <c r="C149" s="47">
        <f t="shared" si="9"/>
        <v>0.07</v>
      </c>
    </row>
    <row r="150" spans="1:3" ht="12.75">
      <c r="A150">
        <f t="shared" si="10"/>
        <v>7</v>
      </c>
      <c r="B150" s="47">
        <f t="shared" si="9"/>
        <v>0.07</v>
      </c>
      <c r="C150" s="47">
        <f t="shared" si="9"/>
        <v>0.07</v>
      </c>
    </row>
    <row r="151" spans="1:3" ht="12.75">
      <c r="A151">
        <f t="shared" si="10"/>
        <v>8</v>
      </c>
      <c r="B151" s="47">
        <f t="shared" si="9"/>
        <v>0.07</v>
      </c>
      <c r="C151" s="47">
        <f t="shared" si="9"/>
        <v>0.07</v>
      </c>
    </row>
    <row r="152" spans="1:3" ht="12.75">
      <c r="A152">
        <f t="shared" si="10"/>
        <v>9</v>
      </c>
      <c r="B152" s="47">
        <f t="shared" si="9"/>
        <v>0.07</v>
      </c>
      <c r="C152" s="47">
        <f t="shared" si="9"/>
        <v>0.07</v>
      </c>
    </row>
    <row r="153" spans="1:3" ht="12.75">
      <c r="A153">
        <f t="shared" si="10"/>
        <v>10</v>
      </c>
      <c r="B153" s="47">
        <f>B$139</f>
        <v>0.07</v>
      </c>
      <c r="C153" s="47">
        <f>C$139</f>
        <v>0.07</v>
      </c>
    </row>
    <row r="154" spans="1:3" ht="12.75">
      <c r="A154">
        <v>10</v>
      </c>
      <c r="B154" s="47">
        <f>B138</f>
        <v>1.08</v>
      </c>
      <c r="C154" s="47">
        <f>C138</f>
        <v>1.08</v>
      </c>
    </row>
    <row r="157" spans="1:3" ht="12.75">
      <c r="A157" t="s">
        <v>137</v>
      </c>
      <c r="B157" s="96">
        <v>0.0783922382659549</v>
      </c>
      <c r="C157" s="96">
        <v>0.07415824466209385</v>
      </c>
    </row>
    <row r="159" ht="14.25">
      <c r="A159" s="41" t="s">
        <v>71</v>
      </c>
    </row>
    <row r="160" spans="1:5" ht="12.75">
      <c r="A160" t="s">
        <v>156</v>
      </c>
      <c r="B160" s="47">
        <v>0.98</v>
      </c>
      <c r="D160" t="s">
        <v>161</v>
      </c>
      <c r="E160" s="95">
        <v>0.0035</v>
      </c>
    </row>
    <row r="161" spans="1:5" ht="12.75">
      <c r="A161" t="s">
        <v>157</v>
      </c>
      <c r="B161" s="47">
        <v>1.08</v>
      </c>
      <c r="D161" t="s">
        <v>162</v>
      </c>
      <c r="E161" s="95">
        <v>0.025</v>
      </c>
    </row>
    <row r="162" spans="1:5" ht="12.75">
      <c r="A162" t="s">
        <v>158</v>
      </c>
      <c r="B162" s="47">
        <v>0.07</v>
      </c>
      <c r="D162" t="s">
        <v>163</v>
      </c>
      <c r="E162" s="95">
        <v>0.006</v>
      </c>
    </row>
    <row r="163" spans="1:2" ht="12.75">
      <c r="A163" t="s">
        <v>133</v>
      </c>
      <c r="B163" s="121">
        <v>10</v>
      </c>
    </row>
    <row r="165" spans="1:3" ht="12.75">
      <c r="A165" s="76" t="s">
        <v>98</v>
      </c>
      <c r="B165" s="76" t="s">
        <v>159</v>
      </c>
      <c r="C165" s="76" t="s">
        <v>160</v>
      </c>
    </row>
    <row r="166" spans="1:3" ht="12.75">
      <c r="A166">
        <v>0</v>
      </c>
      <c r="B166" s="47">
        <f>-B160</f>
        <v>-0.98</v>
      </c>
      <c r="C166" s="96">
        <f>B166*(1-E160)</f>
        <v>-0.97657</v>
      </c>
    </row>
    <row r="167" spans="1:3" ht="12.75">
      <c r="A167">
        <v>1</v>
      </c>
      <c r="B167" s="47">
        <f>B$162</f>
        <v>0.07</v>
      </c>
      <c r="C167" s="95">
        <f>B167*(1+E$161)</f>
        <v>0.07175</v>
      </c>
    </row>
    <row r="168" spans="1:3" ht="12.75">
      <c r="A168">
        <f>A167+1</f>
        <v>2</v>
      </c>
      <c r="B168" s="47">
        <f aca="true" t="shared" si="11" ref="B168:B176">B$162</f>
        <v>0.07</v>
      </c>
      <c r="C168" s="95">
        <f aca="true" t="shared" si="12" ref="C168:C176">B168*(1+E$161)</f>
        <v>0.07175</v>
      </c>
    </row>
    <row r="169" spans="1:3" ht="12.75">
      <c r="A169">
        <f aca="true" t="shared" si="13" ref="A169:A176">A168+1</f>
        <v>3</v>
      </c>
      <c r="B169" s="47">
        <f t="shared" si="11"/>
        <v>0.07</v>
      </c>
      <c r="C169" s="95">
        <f t="shared" si="12"/>
        <v>0.07175</v>
      </c>
    </row>
    <row r="170" spans="1:3" ht="12.75">
      <c r="A170">
        <f t="shared" si="13"/>
        <v>4</v>
      </c>
      <c r="B170" s="47">
        <f t="shared" si="11"/>
        <v>0.07</v>
      </c>
      <c r="C170" s="95">
        <f t="shared" si="12"/>
        <v>0.07175</v>
      </c>
    </row>
    <row r="171" spans="1:3" ht="12.75">
      <c r="A171">
        <f t="shared" si="13"/>
        <v>5</v>
      </c>
      <c r="B171" s="47">
        <f t="shared" si="11"/>
        <v>0.07</v>
      </c>
      <c r="C171" s="95">
        <f t="shared" si="12"/>
        <v>0.07175</v>
      </c>
    </row>
    <row r="172" spans="1:3" ht="12.75">
      <c r="A172">
        <f t="shared" si="13"/>
        <v>6</v>
      </c>
      <c r="B172" s="47">
        <f t="shared" si="11"/>
        <v>0.07</v>
      </c>
      <c r="C172" s="95">
        <f t="shared" si="12"/>
        <v>0.07175</v>
      </c>
    </row>
    <row r="173" spans="1:3" ht="12.75">
      <c r="A173">
        <f t="shared" si="13"/>
        <v>7</v>
      </c>
      <c r="B173" s="47">
        <f t="shared" si="11"/>
        <v>0.07</v>
      </c>
      <c r="C173" s="95">
        <f t="shared" si="12"/>
        <v>0.07175</v>
      </c>
    </row>
    <row r="174" spans="1:3" ht="12.75">
      <c r="A174">
        <f t="shared" si="13"/>
        <v>8</v>
      </c>
      <c r="B174" s="47">
        <f t="shared" si="11"/>
        <v>0.07</v>
      </c>
      <c r="C174" s="95">
        <f t="shared" si="12"/>
        <v>0.07175</v>
      </c>
    </row>
    <row r="175" spans="1:3" ht="12.75">
      <c r="A175">
        <f t="shared" si="13"/>
        <v>9</v>
      </c>
      <c r="B175" s="47">
        <f t="shared" si="11"/>
        <v>0.07</v>
      </c>
      <c r="C175" s="95">
        <f t="shared" si="12"/>
        <v>0.07175</v>
      </c>
    </row>
    <row r="176" spans="1:3" ht="12.75">
      <c r="A176">
        <f t="shared" si="13"/>
        <v>10</v>
      </c>
      <c r="B176" s="47">
        <f t="shared" si="11"/>
        <v>0.07</v>
      </c>
      <c r="C176" s="95">
        <f t="shared" si="12"/>
        <v>0.07175</v>
      </c>
    </row>
    <row r="177" spans="1:3" ht="12.75">
      <c r="A177">
        <v>10</v>
      </c>
      <c r="B177" s="47">
        <f>B161</f>
        <v>1.08</v>
      </c>
      <c r="C177" s="95">
        <f>B177*(1+E162)</f>
        <v>1.0864800000000001</v>
      </c>
    </row>
    <row r="180" spans="1:3" ht="12.75">
      <c r="A180" t="s">
        <v>137</v>
      </c>
      <c r="B180" s="96">
        <v>0.0783922382659549</v>
      </c>
      <c r="C180" s="96">
        <v>0.08117069497581163</v>
      </c>
    </row>
    <row r="182" spans="1:2" ht="14.25">
      <c r="A182" s="41" t="s">
        <v>74</v>
      </c>
      <c r="B182" s="118" t="s">
        <v>80</v>
      </c>
    </row>
    <row r="183" spans="1:2" ht="12.75">
      <c r="A183" t="s">
        <v>165</v>
      </c>
      <c r="B183">
        <v>300</v>
      </c>
    </row>
    <row r="184" spans="1:2" ht="12.75">
      <c r="A184" t="s">
        <v>130</v>
      </c>
      <c r="B184">
        <v>100</v>
      </c>
    </row>
    <row r="185" spans="1:2" ht="12.75">
      <c r="A185" t="s">
        <v>164</v>
      </c>
      <c r="B185">
        <v>11</v>
      </c>
    </row>
    <row r="186" spans="1:2" ht="12.75">
      <c r="A186" t="s">
        <v>166</v>
      </c>
      <c r="B186">
        <v>20</v>
      </c>
    </row>
    <row r="188" spans="1:2" ht="12.75">
      <c r="A188" s="76" t="s">
        <v>167</v>
      </c>
      <c r="B188" s="76" t="s">
        <v>92</v>
      </c>
    </row>
    <row r="189" spans="1:2" ht="12.75">
      <c r="A189" s="118">
        <v>0</v>
      </c>
      <c r="B189">
        <f>B184</f>
        <v>100</v>
      </c>
    </row>
    <row r="190" spans="1:2" ht="12.75">
      <c r="A190" s="118">
        <f>A189+1</f>
        <v>1</v>
      </c>
      <c r="B190">
        <f>B$185</f>
        <v>11</v>
      </c>
    </row>
    <row r="191" spans="1:2" ht="12.75">
      <c r="A191" s="118">
        <f aca="true" t="shared" si="14" ref="A191:A209">A190+1</f>
        <v>2</v>
      </c>
      <c r="B191">
        <f aca="true" t="shared" si="15" ref="B191:B209">B$185</f>
        <v>11</v>
      </c>
    </row>
    <row r="192" spans="1:2" ht="12.75">
      <c r="A192" s="118">
        <f t="shared" si="14"/>
        <v>3</v>
      </c>
      <c r="B192">
        <f t="shared" si="15"/>
        <v>11</v>
      </c>
    </row>
    <row r="193" spans="1:2" ht="12.75">
      <c r="A193" s="118">
        <f t="shared" si="14"/>
        <v>4</v>
      </c>
      <c r="B193">
        <f t="shared" si="15"/>
        <v>11</v>
      </c>
    </row>
    <row r="194" spans="1:2" ht="12.75">
      <c r="A194" s="118">
        <f t="shared" si="14"/>
        <v>5</v>
      </c>
      <c r="B194">
        <f t="shared" si="15"/>
        <v>11</v>
      </c>
    </row>
    <row r="195" spans="1:2" ht="12.75">
      <c r="A195" s="118">
        <f t="shared" si="14"/>
        <v>6</v>
      </c>
      <c r="B195">
        <f t="shared" si="15"/>
        <v>11</v>
      </c>
    </row>
    <row r="196" spans="1:2" ht="12.75">
      <c r="A196" s="118">
        <f t="shared" si="14"/>
        <v>7</v>
      </c>
      <c r="B196">
        <f t="shared" si="15"/>
        <v>11</v>
      </c>
    </row>
    <row r="197" spans="1:2" ht="12.75">
      <c r="A197" s="118">
        <f t="shared" si="14"/>
        <v>8</v>
      </c>
      <c r="B197">
        <f t="shared" si="15"/>
        <v>11</v>
      </c>
    </row>
    <row r="198" spans="1:2" ht="12.75">
      <c r="A198" s="118">
        <f t="shared" si="14"/>
        <v>9</v>
      </c>
      <c r="B198">
        <f t="shared" si="15"/>
        <v>11</v>
      </c>
    </row>
    <row r="199" spans="1:2" ht="12.75">
      <c r="A199" s="118">
        <f t="shared" si="14"/>
        <v>10</v>
      </c>
      <c r="B199">
        <f t="shared" si="15"/>
        <v>11</v>
      </c>
    </row>
    <row r="200" spans="1:2" ht="12.75">
      <c r="A200" s="118">
        <f t="shared" si="14"/>
        <v>11</v>
      </c>
      <c r="B200">
        <f t="shared" si="15"/>
        <v>11</v>
      </c>
    </row>
    <row r="201" spans="1:2" ht="12.75">
      <c r="A201" s="118">
        <f t="shared" si="14"/>
        <v>12</v>
      </c>
      <c r="B201">
        <f t="shared" si="15"/>
        <v>11</v>
      </c>
    </row>
    <row r="202" spans="1:2" ht="12.75">
      <c r="A202" s="118">
        <f t="shared" si="14"/>
        <v>13</v>
      </c>
      <c r="B202">
        <f t="shared" si="15"/>
        <v>11</v>
      </c>
    </row>
    <row r="203" spans="1:2" ht="12.75">
      <c r="A203" s="118">
        <f t="shared" si="14"/>
        <v>14</v>
      </c>
      <c r="B203">
        <f t="shared" si="15"/>
        <v>11</v>
      </c>
    </row>
    <row r="204" spans="1:2" ht="12.75">
      <c r="A204" s="118">
        <f t="shared" si="14"/>
        <v>15</v>
      </c>
      <c r="B204">
        <f t="shared" si="15"/>
        <v>11</v>
      </c>
    </row>
    <row r="205" spans="1:2" ht="12.75">
      <c r="A205" s="118">
        <f t="shared" si="14"/>
        <v>16</v>
      </c>
      <c r="B205">
        <f t="shared" si="15"/>
        <v>11</v>
      </c>
    </row>
    <row r="206" spans="1:2" ht="12.75">
      <c r="A206" s="118">
        <f t="shared" si="14"/>
        <v>17</v>
      </c>
      <c r="B206">
        <f t="shared" si="15"/>
        <v>11</v>
      </c>
    </row>
    <row r="207" spans="1:2" ht="12.75">
      <c r="A207" s="118">
        <f t="shared" si="14"/>
        <v>18</v>
      </c>
      <c r="B207">
        <f t="shared" si="15"/>
        <v>11</v>
      </c>
    </row>
    <row r="208" spans="1:2" ht="12.75">
      <c r="A208" s="118">
        <f t="shared" si="14"/>
        <v>19</v>
      </c>
      <c r="B208">
        <f t="shared" si="15"/>
        <v>11</v>
      </c>
    </row>
    <row r="209" spans="1:2" ht="12.75">
      <c r="A209" s="118">
        <f t="shared" si="14"/>
        <v>20</v>
      </c>
      <c r="B209">
        <f t="shared" si="15"/>
        <v>11</v>
      </c>
    </row>
    <row r="210" ht="12.75">
      <c r="A210" s="118"/>
    </row>
    <row r="211" ht="12.75">
      <c r="B211" s="121"/>
    </row>
    <row r="212" spans="1:2" ht="12.75">
      <c r="A212" t="s">
        <v>169</v>
      </c>
      <c r="B212" s="124">
        <v>0.009253975264331143</v>
      </c>
    </row>
    <row r="213" spans="1:2" ht="12.75">
      <c r="A213" t="s">
        <v>168</v>
      </c>
      <c r="B213" s="96">
        <f>POWER(1+B212,12)-1</f>
        <v>0.11687771171787609</v>
      </c>
    </row>
    <row r="215" ht="14.25">
      <c r="A215" s="41" t="s">
        <v>79</v>
      </c>
    </row>
    <row r="216" spans="1:2" ht="12.75">
      <c r="A216" t="s">
        <v>170</v>
      </c>
      <c r="B216">
        <v>1000</v>
      </c>
    </row>
    <row r="217" spans="1:6" ht="12.75">
      <c r="A217" t="s">
        <v>720</v>
      </c>
      <c r="B217">
        <v>1</v>
      </c>
      <c r="C217">
        <f>B217+1</f>
        <v>2</v>
      </c>
      <c r="D217">
        <f>C217+1</f>
        <v>3</v>
      </c>
      <c r="E217">
        <f>D217+1</f>
        <v>4</v>
      </c>
      <c r="F217">
        <f>E217+1</f>
        <v>5</v>
      </c>
    </row>
    <row r="218" spans="1:6" ht="12.75">
      <c r="A218" t="s">
        <v>92</v>
      </c>
      <c r="B218">
        <v>232</v>
      </c>
      <c r="C218">
        <v>2088</v>
      </c>
      <c r="D218">
        <v>232</v>
      </c>
      <c r="E218">
        <v>-232</v>
      </c>
      <c r="F218">
        <v>-927</v>
      </c>
    </row>
    <row r="221" spans="1:3" ht="12.75">
      <c r="A221" t="s">
        <v>137</v>
      </c>
      <c r="B221" s="96">
        <v>-0.15117585629634148</v>
      </c>
      <c r="C221" s="96">
        <v>0.482763426942615</v>
      </c>
    </row>
  </sheetData>
  <mergeCells count="3">
    <mergeCell ref="B73:C73"/>
    <mergeCell ref="B74:C74"/>
    <mergeCell ref="B72:C72"/>
  </mergeCells>
  <printOptions/>
  <pageMargins left="0.7874015748031497" right="0.7874015748031497" top="0.984251968503937" bottom="0.984251968503937" header="0.5118110236220472" footer="0.5118110236220472"/>
  <pageSetup fitToHeight="10" fitToWidth="1" horizontalDpi="200" verticalDpi="200" orientation="landscape" paperSize="9" scale="70" r:id="rId2"/>
  <headerFooter alignWithMargins="0">
    <oddFooter>&amp;L&amp;"Verdana,Italique"&amp;9&amp;F - &amp;A&amp;C&amp;P / &amp;N&amp;R&amp;"Verdana,Italique"&amp;9&amp;D - &amp;T</oddFooter>
  </headerFooter>
  <drawing r:id="rId1"/>
</worksheet>
</file>

<file path=xl/worksheets/sheet18.xml><?xml version="1.0" encoding="utf-8"?>
<worksheet xmlns="http://schemas.openxmlformats.org/spreadsheetml/2006/main" xmlns:r="http://schemas.openxmlformats.org/officeDocument/2006/relationships">
  <sheetPr codeName="Feuil18">
    <pageSetUpPr fitToPage="1"/>
  </sheetPr>
  <dimension ref="A1:N43"/>
  <sheetViews>
    <sheetView showGridLines="0" zoomScale="75" zoomScaleNormal="75" workbookViewId="0" topLeftCell="A1">
      <selection activeCell="B7" sqref="B7"/>
    </sheetView>
  </sheetViews>
  <sheetFormatPr defaultColWidth="11.00390625" defaultRowHeight="12.75"/>
  <cols>
    <col min="1" max="1" width="24.875" style="0" bestFit="1" customWidth="1"/>
    <col min="2" max="13" width="7.375" style="0" customWidth="1"/>
    <col min="14" max="14" width="7.625" style="0" customWidth="1"/>
  </cols>
  <sheetData>
    <row r="1" ht="14.25">
      <c r="A1" s="41" t="s">
        <v>1124</v>
      </c>
    </row>
    <row r="2" spans="1:14" ht="12.75">
      <c r="A2" t="s">
        <v>706</v>
      </c>
      <c r="B2" s="118">
        <v>1</v>
      </c>
      <c r="C2" s="118">
        <f>B2+1</f>
        <v>2</v>
      </c>
      <c r="D2" s="118">
        <f aca="true" t="shared" si="0" ref="D2:M2">C2+1</f>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row>
    <row r="3" spans="1:14" ht="12.75">
      <c r="A3" t="s">
        <v>1115</v>
      </c>
      <c r="B3" s="418">
        <v>35.6</v>
      </c>
      <c r="C3" s="418">
        <v>35.1</v>
      </c>
      <c r="D3" s="418">
        <v>37.1</v>
      </c>
      <c r="E3" s="418">
        <v>36.3</v>
      </c>
      <c r="F3" s="418">
        <v>36.5</v>
      </c>
      <c r="G3" s="418">
        <v>37.1</v>
      </c>
      <c r="H3" s="418">
        <v>42</v>
      </c>
      <c r="I3" s="418">
        <v>42.3</v>
      </c>
      <c r="J3" s="418">
        <v>43.8</v>
      </c>
      <c r="K3" s="418">
        <v>41.9</v>
      </c>
      <c r="L3" s="418">
        <v>43.7</v>
      </c>
      <c r="M3" s="418">
        <v>49.3</v>
      </c>
      <c r="N3" s="418"/>
    </row>
    <row r="4" spans="1:14" ht="12.75">
      <c r="A4" t="s">
        <v>172</v>
      </c>
      <c r="B4" s="420">
        <v>2574</v>
      </c>
      <c r="C4" s="420">
        <v>2531</v>
      </c>
      <c r="D4" s="420">
        <v>2571</v>
      </c>
      <c r="E4" s="420">
        <v>2621</v>
      </c>
      <c r="F4" s="420">
        <v>2657</v>
      </c>
      <c r="G4" s="420">
        <v>2738</v>
      </c>
      <c r="H4" s="420">
        <v>2788</v>
      </c>
      <c r="I4" s="419">
        <v>2874</v>
      </c>
      <c r="J4" s="419">
        <v>2896</v>
      </c>
      <c r="K4" s="419">
        <v>2789</v>
      </c>
      <c r="L4" s="419">
        <v>2938</v>
      </c>
      <c r="M4" s="419">
        <v>3025</v>
      </c>
      <c r="N4" s="419"/>
    </row>
    <row r="6" spans="1:2" ht="12.75">
      <c r="A6" t="s">
        <v>1119</v>
      </c>
      <c r="B6" s="79">
        <f>M3/B3-1</f>
        <v>0.3848314606741572</v>
      </c>
    </row>
    <row r="7" spans="1:2" ht="12.75">
      <c r="A7" t="s">
        <v>173</v>
      </c>
      <c r="B7" s="79">
        <f>M4/B4-1</f>
        <v>0.17521367521367526</v>
      </c>
    </row>
    <row r="9" ht="12.75">
      <c r="A9" t="s">
        <v>174</v>
      </c>
    </row>
    <row r="10" spans="1:14" ht="12.75">
      <c r="A10" s="22" t="s">
        <v>1120</v>
      </c>
      <c r="B10" s="129"/>
      <c r="C10" s="129">
        <f aca="true" t="shared" si="1" ref="C10:M10">(C3-B3)/B3</f>
        <v>-0.014044943820224719</v>
      </c>
      <c r="D10" s="129">
        <f t="shared" si="1"/>
        <v>0.05698005698005698</v>
      </c>
      <c r="E10" s="129">
        <f t="shared" si="1"/>
        <v>-0.021563342318059415</v>
      </c>
      <c r="F10" s="129">
        <f t="shared" si="1"/>
        <v>0.005509641873278316</v>
      </c>
      <c r="G10" s="129">
        <f t="shared" si="1"/>
        <v>0.0164383561643836</v>
      </c>
      <c r="H10" s="129">
        <f t="shared" si="1"/>
        <v>0.13207547169811315</v>
      </c>
      <c r="I10" s="129">
        <f t="shared" si="1"/>
        <v>0.007142857142857075</v>
      </c>
      <c r="J10" s="129">
        <f t="shared" si="1"/>
        <v>0.03546099290780142</v>
      </c>
      <c r="K10" s="129">
        <f t="shared" si="1"/>
        <v>-0.043378995433789924</v>
      </c>
      <c r="L10" s="129">
        <f t="shared" si="1"/>
        <v>0.04295942720763733</v>
      </c>
      <c r="M10" s="129">
        <f t="shared" si="1"/>
        <v>0.12814645308924472</v>
      </c>
      <c r="N10" s="129"/>
    </row>
    <row r="11" spans="1:14" ht="12.75">
      <c r="A11" s="22" t="s">
        <v>172</v>
      </c>
      <c r="B11" s="129"/>
      <c r="C11" s="129">
        <f aca="true" t="shared" si="2" ref="C11:M11">(C4-B4)/B4</f>
        <v>-0.016705516705516704</v>
      </c>
      <c r="D11" s="129">
        <f t="shared" si="2"/>
        <v>0.015804030027657054</v>
      </c>
      <c r="E11" s="129">
        <f t="shared" si="2"/>
        <v>0.019447685725398678</v>
      </c>
      <c r="F11" s="129">
        <f t="shared" si="2"/>
        <v>0.013735215566577643</v>
      </c>
      <c r="G11" s="129">
        <f t="shared" si="2"/>
        <v>0.030485509973654498</v>
      </c>
      <c r="H11" s="129">
        <f t="shared" si="2"/>
        <v>0.018261504747991233</v>
      </c>
      <c r="I11" s="129">
        <f t="shared" si="2"/>
        <v>0.03084648493543759</v>
      </c>
      <c r="J11" s="129">
        <f t="shared" si="2"/>
        <v>0.007654836464857342</v>
      </c>
      <c r="K11" s="129">
        <f t="shared" si="2"/>
        <v>-0.0369475138121547</v>
      </c>
      <c r="L11" s="129">
        <f t="shared" si="2"/>
        <v>0.05342416636787379</v>
      </c>
      <c r="M11" s="129">
        <f t="shared" si="2"/>
        <v>0.029611980939414567</v>
      </c>
      <c r="N11" s="129"/>
    </row>
    <row r="13" spans="1:6" ht="12.75">
      <c r="A13" t="s">
        <v>1121</v>
      </c>
      <c r="B13" s="256">
        <f>STDEV(C10:M10)</f>
        <v>0.0567844129837138</v>
      </c>
      <c r="F13" s="95"/>
    </row>
    <row r="14" spans="1:3" ht="12.75">
      <c r="A14" t="s">
        <v>191</v>
      </c>
      <c r="B14" s="198">
        <f>LINEST(C10:M10,C11:M11,TRUE,FALSE)</f>
        <v>1.1192771374849222</v>
      </c>
      <c r="C14" s="357"/>
    </row>
    <row r="15" ht="12.75">
      <c r="A15" s="169" t="s">
        <v>177</v>
      </c>
    </row>
    <row r="16" spans="3:13" ht="12.75">
      <c r="C16">
        <f aca="true" t="shared" si="3" ref="C16:M16">(C10-AVERAGE($C10:$M10))*(C$11-AVERAGE($C$11:$M$11))</f>
        <v>0.0014443514239563925</v>
      </c>
      <c r="D16">
        <f t="shared" si="3"/>
        <v>1.910694549654645E-05</v>
      </c>
      <c r="E16">
        <f t="shared" si="3"/>
        <v>-0.0002327170121007708</v>
      </c>
      <c r="F16">
        <f t="shared" si="3"/>
        <v>3.4240340408468236E-05</v>
      </c>
      <c r="G16">
        <f t="shared" si="3"/>
        <v>-0.000231304823640421</v>
      </c>
      <c r="H16">
        <f t="shared" si="3"/>
        <v>0.00032259889535908175</v>
      </c>
      <c r="I16">
        <f t="shared" si="3"/>
        <v>-0.00038349472211642163</v>
      </c>
      <c r="J16">
        <f t="shared" si="3"/>
        <v>-2.98376193322181E-05</v>
      </c>
      <c r="K16">
        <f t="shared" si="3"/>
        <v>0.003890327815721251</v>
      </c>
      <c r="L16">
        <f t="shared" si="3"/>
        <v>0.00044237451971320513</v>
      </c>
      <c r="M16">
        <f t="shared" si="3"/>
        <v>0.0014077872100053297</v>
      </c>
    </row>
    <row r="17" spans="3:13" ht="12.75">
      <c r="C17">
        <f>(C11-AVERAGE($C11:$M11))*(C$11-AVERAGE($C$11:$M$11))</f>
        <v>0.00100880771199067</v>
      </c>
      <c r="D17">
        <f>(D11-AVERAGE($C11:$M11))*(D$11-AVERAGE($C$11:$M$11))</f>
        <v>5.592247007975723E-07</v>
      </c>
      <c r="E17">
        <f>(E11-AVERAGE($C11:$M11))*(E$11-AVERAGE($C$11:$M$11))</f>
        <v>1.9284999776907144E-05</v>
      </c>
      <c r="F17">
        <f>(F11-AVERAGE($C11:$M11))*(F$11-AVERAGE($C$11:$M$11))</f>
        <v>1.745044122085683E-06</v>
      </c>
      <c r="G17">
        <f aca="true" t="shared" si="4" ref="G17:L17">(G11-AVERAGE($C11:$M11))*(G$11-AVERAGE($C$11:$M$11))</f>
        <v>0.000238063089434276</v>
      </c>
      <c r="H17">
        <f t="shared" si="4"/>
        <v>1.027387116102815E-05</v>
      </c>
      <c r="I17">
        <f t="shared" si="4"/>
        <v>0.00024933256942204235</v>
      </c>
      <c r="J17">
        <f t="shared" si="4"/>
        <v>5.478043009998703E-05</v>
      </c>
      <c r="K17">
        <f t="shared" si="4"/>
        <v>0.002704387992203339</v>
      </c>
      <c r="L17">
        <f t="shared" si="4"/>
        <v>0.0014720995580109132</v>
      </c>
      <c r="M17">
        <f>(M11-AVERAGE($C11:$M11))*(M$11-AVERAGE($C$11:$M$11))</f>
        <v>0.00021187027118762158</v>
      </c>
    </row>
    <row r="18" spans="1:2" ht="12.75">
      <c r="A18" t="s">
        <v>191</v>
      </c>
      <c r="B18" s="6">
        <f>SUM(C16:M16)/SUM(C17:M17)</f>
        <v>1.119277137484922</v>
      </c>
    </row>
    <row r="20" spans="1:2" ht="12.75">
      <c r="A20" t="s">
        <v>178</v>
      </c>
      <c r="B20" s="256">
        <f>STDEV(B11:M11)</f>
        <v>0.024436048702909535</v>
      </c>
    </row>
    <row r="21" ht="12.75">
      <c r="B21" s="96"/>
    </row>
    <row r="22" spans="1:2" ht="12.75">
      <c r="A22" t="s">
        <v>1122</v>
      </c>
      <c r="B22" s="170">
        <f>B18*B20</f>
        <v>0.027350710643634726</v>
      </c>
    </row>
    <row r="23" spans="1:2" ht="12.75">
      <c r="A23" t="s">
        <v>1123</v>
      </c>
      <c r="B23" s="170">
        <f>SQRT(B13*B13-B22*B22)</f>
        <v>0.049763522636496804</v>
      </c>
    </row>
    <row r="25" spans="1:2" ht="25.5">
      <c r="A25" s="3" t="s">
        <v>315</v>
      </c>
      <c r="B25" s="95">
        <f>B22/B13</f>
        <v>0.48165877230216536</v>
      </c>
    </row>
    <row r="27" ht="14.25">
      <c r="A27" s="41" t="s">
        <v>1125</v>
      </c>
    </row>
    <row r="29" spans="1:9" s="1" customFormat="1" ht="12.75">
      <c r="A29" s="102" t="s">
        <v>1126</v>
      </c>
      <c r="B29" s="102">
        <v>1998</v>
      </c>
      <c r="C29" s="102">
        <f>B29+1</f>
        <v>1999</v>
      </c>
      <c r="D29" s="102">
        <f aca="true" t="shared" si="5" ref="D29:I29">C29+1</f>
        <v>2000</v>
      </c>
      <c r="E29" s="102">
        <f t="shared" si="5"/>
        <v>2001</v>
      </c>
      <c r="F29" s="102">
        <f t="shared" si="5"/>
        <v>2002</v>
      </c>
      <c r="G29" s="102">
        <f t="shared" si="5"/>
        <v>2003</v>
      </c>
      <c r="H29" s="102">
        <f t="shared" si="5"/>
        <v>2004</v>
      </c>
      <c r="I29" s="102">
        <f t="shared" si="5"/>
        <v>2005</v>
      </c>
    </row>
    <row r="30" spans="1:9" ht="12.75">
      <c r="A30" t="s">
        <v>1127</v>
      </c>
      <c r="B30">
        <v>100</v>
      </c>
      <c r="C30">
        <v>155</v>
      </c>
      <c r="D30">
        <v>255</v>
      </c>
      <c r="E30">
        <v>211</v>
      </c>
      <c r="F30">
        <v>139</v>
      </c>
      <c r="G30">
        <v>94</v>
      </c>
      <c r="H30">
        <v>117</v>
      </c>
      <c r="I30">
        <v>139</v>
      </c>
    </row>
    <row r="31" spans="1:9" ht="12.75">
      <c r="A31" t="s">
        <v>1128</v>
      </c>
      <c r="B31">
        <v>56</v>
      </c>
      <c r="C31">
        <v>61</v>
      </c>
      <c r="D31">
        <v>81</v>
      </c>
      <c r="E31">
        <v>79</v>
      </c>
      <c r="F31">
        <v>75</v>
      </c>
      <c r="G31">
        <v>71</v>
      </c>
      <c r="H31">
        <v>73</v>
      </c>
      <c r="I31">
        <v>77</v>
      </c>
    </row>
    <row r="32" spans="1:9" ht="12.75">
      <c r="A32" s="33" t="s">
        <v>1129</v>
      </c>
      <c r="B32" s="33">
        <v>230</v>
      </c>
      <c r="C32" s="33">
        <v>299</v>
      </c>
      <c r="D32" s="33">
        <v>412</v>
      </c>
      <c r="E32" s="33">
        <v>392</v>
      </c>
      <c r="F32" s="33">
        <v>315</v>
      </c>
      <c r="G32" s="33">
        <v>206</v>
      </c>
      <c r="H32" s="33">
        <v>243</v>
      </c>
      <c r="I32" s="33">
        <v>269</v>
      </c>
    </row>
    <row r="34" spans="1:4" ht="12.75">
      <c r="A34" s="1" t="s">
        <v>1131</v>
      </c>
      <c r="D34" t="s">
        <v>174</v>
      </c>
    </row>
    <row r="35" spans="1:10" ht="12.75">
      <c r="A35" t="s">
        <v>1127</v>
      </c>
      <c r="B35" s="170">
        <f>POWER(I30/B30,1/7)-1</f>
        <v>0.04816749064719161</v>
      </c>
      <c r="D35">
        <f>(C30-B30)/B30</f>
        <v>0.55</v>
      </c>
      <c r="E35">
        <f aca="true" t="shared" si="6" ref="E35:J35">(D30-C30)/C30</f>
        <v>0.6451612903225806</v>
      </c>
      <c r="F35">
        <f t="shared" si="6"/>
        <v>-0.17254901960784313</v>
      </c>
      <c r="G35">
        <f t="shared" si="6"/>
        <v>-0.3412322274881517</v>
      </c>
      <c r="H35">
        <f t="shared" si="6"/>
        <v>-0.3237410071942446</v>
      </c>
      <c r="I35">
        <f t="shared" si="6"/>
        <v>0.24468085106382978</v>
      </c>
      <c r="J35">
        <f t="shared" si="6"/>
        <v>0.18803418803418803</v>
      </c>
    </row>
    <row r="36" spans="1:10" ht="12.75">
      <c r="A36" t="s">
        <v>1128</v>
      </c>
      <c r="B36" s="170">
        <f>POWER(I31/B31,1/7)-1</f>
        <v>0.04654408710189917</v>
      </c>
      <c r="D36">
        <f aca="true" t="shared" si="7" ref="D36:J37">C31/B31-1</f>
        <v>0.08928571428571419</v>
      </c>
      <c r="E36">
        <f t="shared" si="7"/>
        <v>0.3278688524590163</v>
      </c>
      <c r="F36">
        <f t="shared" si="7"/>
        <v>-0.024691358024691357</v>
      </c>
      <c r="G36">
        <f t="shared" si="7"/>
        <v>-0.05063291139240511</v>
      </c>
      <c r="H36">
        <f t="shared" si="7"/>
        <v>-0.053333333333333344</v>
      </c>
      <c r="I36">
        <f t="shared" si="7"/>
        <v>0.028169014084507005</v>
      </c>
      <c r="J36">
        <f t="shared" si="7"/>
        <v>0.0547945205479452</v>
      </c>
    </row>
    <row r="37" spans="1:10" ht="12.75">
      <c r="A37" s="55" t="s">
        <v>1129</v>
      </c>
      <c r="B37" s="170">
        <f>POWER(I32/B32,1/7)-1</f>
        <v>0.022628230728250376</v>
      </c>
      <c r="D37">
        <f t="shared" si="7"/>
        <v>0.30000000000000004</v>
      </c>
      <c r="E37">
        <f t="shared" si="7"/>
        <v>0.37792642140468224</v>
      </c>
      <c r="F37">
        <f t="shared" si="7"/>
        <v>-0.04854368932038833</v>
      </c>
      <c r="G37">
        <f t="shared" si="7"/>
        <v>-0.1964285714285714</v>
      </c>
      <c r="H37">
        <f t="shared" si="7"/>
        <v>-0.346031746031746</v>
      </c>
      <c r="I37">
        <f t="shared" si="7"/>
        <v>0.1796116504854368</v>
      </c>
      <c r="J37">
        <f t="shared" si="7"/>
        <v>0.10699588477366251</v>
      </c>
    </row>
    <row r="38" ht="12.75">
      <c r="B38" s="78"/>
    </row>
    <row r="39" spans="1:2" ht="12.75">
      <c r="A39" s="1" t="s">
        <v>1130</v>
      </c>
      <c r="B39" s="78"/>
    </row>
    <row r="40" spans="1:2" ht="12.75">
      <c r="A40" t="s">
        <v>1127</v>
      </c>
      <c r="B40" s="78">
        <f>STDEV(D35:J35)</f>
        <v>0.4032663350026515</v>
      </c>
    </row>
    <row r="41" spans="1:2" ht="12.75">
      <c r="A41" t="s">
        <v>1128</v>
      </c>
      <c r="B41" s="78">
        <f>STDEV(D36:J36)</f>
        <v>0.13264728430309536</v>
      </c>
    </row>
    <row r="42" spans="1:2" ht="12.75">
      <c r="A42" s="55" t="s">
        <v>1129</v>
      </c>
      <c r="B42" s="78">
        <f>STDEV(D37:J37)</f>
        <v>0.26371809380054834</v>
      </c>
    </row>
    <row r="43" ht="12.75">
      <c r="B43" s="412"/>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19.xml><?xml version="1.0" encoding="utf-8"?>
<worksheet xmlns="http://schemas.openxmlformats.org/spreadsheetml/2006/main" xmlns:r="http://schemas.openxmlformats.org/officeDocument/2006/relationships">
  <sheetPr codeName="Feuil19">
    <pageSetUpPr fitToPage="1"/>
  </sheetPr>
  <dimension ref="A1:L74"/>
  <sheetViews>
    <sheetView showGridLines="0" zoomScale="75" zoomScaleNormal="75" workbookViewId="0" topLeftCell="A1">
      <selection activeCell="A1" sqref="A1"/>
    </sheetView>
  </sheetViews>
  <sheetFormatPr defaultColWidth="11.00390625" defaultRowHeight="12.75"/>
  <cols>
    <col min="1" max="1" width="16.875" style="0" customWidth="1"/>
  </cols>
  <sheetData>
    <row r="1" ht="14.25">
      <c r="A1" s="20" t="s">
        <v>968</v>
      </c>
    </row>
    <row r="2" spans="1:2" ht="12.75">
      <c r="A2" t="s">
        <v>179</v>
      </c>
      <c r="B2" s="99">
        <v>0.1</v>
      </c>
    </row>
    <row r="3" spans="1:2" ht="12.75">
      <c r="A3" t="s">
        <v>180</v>
      </c>
      <c r="B3" s="99">
        <v>0.18</v>
      </c>
    </row>
    <row r="6" ht="12.75">
      <c r="A6" s="1" t="s">
        <v>181</v>
      </c>
    </row>
    <row r="7" spans="1:2" ht="25.5">
      <c r="A7" s="3" t="s">
        <v>193</v>
      </c>
      <c r="B7" s="99">
        <f>4/18</f>
        <v>0.2222222222222222</v>
      </c>
    </row>
    <row r="9" spans="1:2" ht="12.75">
      <c r="A9" t="s">
        <v>180</v>
      </c>
      <c r="B9" s="99">
        <f>(1-B7)*B3</f>
        <v>0.13999999999999999</v>
      </c>
    </row>
    <row r="10" ht="12.75">
      <c r="B10" s="99"/>
    </row>
    <row r="12" ht="12.75">
      <c r="A12" s="1" t="s">
        <v>182</v>
      </c>
    </row>
    <row r="13" spans="1:2" ht="25.5">
      <c r="A13" s="3" t="s">
        <v>194</v>
      </c>
      <c r="B13" s="99">
        <f>5/18</f>
        <v>0.2777777777777778</v>
      </c>
    </row>
    <row r="15" spans="1:2" ht="12.75">
      <c r="A15" t="s">
        <v>180</v>
      </c>
      <c r="B15" s="47">
        <f>B3*(1+B13)</f>
        <v>0.22999999999999998</v>
      </c>
    </row>
    <row r="17" ht="14.25">
      <c r="A17" s="41" t="s">
        <v>970</v>
      </c>
    </row>
    <row r="18" spans="1:2" ht="12.75">
      <c r="A18" t="s">
        <v>1132</v>
      </c>
      <c r="B18" s="79">
        <v>0.13</v>
      </c>
    </row>
    <row r="19" spans="1:2" ht="12.75">
      <c r="A19" t="s">
        <v>1133</v>
      </c>
      <c r="B19" s="79">
        <v>0.17</v>
      </c>
    </row>
    <row r="20" spans="1:2" ht="12.75">
      <c r="A20" t="s">
        <v>1136</v>
      </c>
      <c r="B20" s="79">
        <v>0.06</v>
      </c>
    </row>
    <row r="21" spans="1:2" ht="12.75">
      <c r="A21" t="s">
        <v>1137</v>
      </c>
      <c r="B21" s="79">
        <v>0.1</v>
      </c>
    </row>
    <row r="22" spans="1:2" ht="12.75">
      <c r="A22" t="s">
        <v>1138</v>
      </c>
      <c r="B22" s="121">
        <v>0.3</v>
      </c>
    </row>
    <row r="24" spans="1:12" ht="12.75">
      <c r="A24" t="s">
        <v>1134</v>
      </c>
      <c r="B24" s="79">
        <v>0</v>
      </c>
      <c r="C24" s="79">
        <v>0.1</v>
      </c>
      <c r="D24" s="413">
        <f>B30</f>
        <v>0.1707317073170731</v>
      </c>
      <c r="E24" s="79">
        <v>0.3</v>
      </c>
      <c r="F24" s="79">
        <v>0.4</v>
      </c>
      <c r="G24" s="79">
        <v>0.5</v>
      </c>
      <c r="H24" s="79">
        <v>0.6</v>
      </c>
      <c r="I24" s="79">
        <v>0.7</v>
      </c>
      <c r="J24" s="79">
        <v>0.8</v>
      </c>
      <c r="K24" s="79">
        <v>0.9</v>
      </c>
      <c r="L24" s="79">
        <v>1</v>
      </c>
    </row>
    <row r="25" spans="1:12" ht="12.75">
      <c r="A25" t="s">
        <v>1139</v>
      </c>
      <c r="B25" s="79">
        <f>1-B24</f>
        <v>1</v>
      </c>
      <c r="C25" s="79">
        <f aca="true" t="shared" si="0" ref="C25:L25">1-C24</f>
        <v>0.9</v>
      </c>
      <c r="D25" s="413">
        <f t="shared" si="0"/>
        <v>0.8292682926829269</v>
      </c>
      <c r="E25" s="79">
        <f t="shared" si="0"/>
        <v>0.7</v>
      </c>
      <c r="F25" s="79">
        <f t="shared" si="0"/>
        <v>0.6</v>
      </c>
      <c r="G25" s="79">
        <f t="shared" si="0"/>
        <v>0.5</v>
      </c>
      <c r="H25" s="79">
        <f t="shared" si="0"/>
        <v>0.4</v>
      </c>
      <c r="I25" s="79">
        <f t="shared" si="0"/>
        <v>0.30000000000000004</v>
      </c>
      <c r="J25" s="79">
        <f t="shared" si="0"/>
        <v>0.19999999999999996</v>
      </c>
      <c r="K25" s="79">
        <f t="shared" si="0"/>
        <v>0.09999999999999998</v>
      </c>
      <c r="L25" s="79">
        <f t="shared" si="0"/>
        <v>0</v>
      </c>
    </row>
    <row r="26" spans="1:12" ht="12.75">
      <c r="A26" t="s">
        <v>1140</v>
      </c>
      <c r="B26" s="96">
        <f>SQRT(B25*B25*$B21*$B21+B24*B24*$B19*$B19+2*B24*B25*$B22*$B21*$B19)</f>
        <v>0.1</v>
      </c>
      <c r="C26" s="96">
        <f aca="true" t="shared" si="1" ref="C26:L26">SQRT(C25*C25*$B21*$B21+C24*C24*$B19*$B19+2*C24*C25*$B22*$B21*$B19)</f>
        <v>0.09647279409242795</v>
      </c>
      <c r="D26" s="367">
        <f t="shared" si="1"/>
        <v>0.0957257260831504</v>
      </c>
      <c r="E26" s="96">
        <f t="shared" si="1"/>
        <v>0.09819877799647</v>
      </c>
      <c r="F26" s="96">
        <f t="shared" si="1"/>
        <v>0.10330537256115968</v>
      </c>
      <c r="G26" s="96">
        <f t="shared" si="1"/>
        <v>0.1107925990308017</v>
      </c>
      <c r="H26" s="96">
        <f t="shared" si="1"/>
        <v>0.12021647141718976</v>
      </c>
      <c r="I26" s="96">
        <f t="shared" si="1"/>
        <v>0.13116020738013492</v>
      </c>
      <c r="J26" s="96">
        <f t="shared" si="1"/>
        <v>0.14327595750857858</v>
      </c>
      <c r="K26" s="96">
        <f t="shared" si="1"/>
        <v>0.15629139451678076</v>
      </c>
      <c r="L26" s="96">
        <f t="shared" si="1"/>
        <v>0.17</v>
      </c>
    </row>
    <row r="27" spans="1:12" ht="12.75">
      <c r="A27" t="s">
        <v>1141</v>
      </c>
      <c r="B27" s="96">
        <f>B25*$B20+B24*$B18</f>
        <v>0.06</v>
      </c>
      <c r="C27" s="96">
        <f aca="true" t="shared" si="2" ref="C27:L27">C25*$B20+C24*$B18</f>
        <v>0.067</v>
      </c>
      <c r="D27" s="367">
        <f t="shared" si="2"/>
        <v>0.07195121951219512</v>
      </c>
      <c r="E27" s="96">
        <f t="shared" si="2"/>
        <v>0.08099999999999999</v>
      </c>
      <c r="F27" s="96">
        <f t="shared" si="2"/>
        <v>0.088</v>
      </c>
      <c r="G27" s="96">
        <f t="shared" si="2"/>
        <v>0.095</v>
      </c>
      <c r="H27" s="96">
        <f t="shared" si="2"/>
        <v>0.10200000000000001</v>
      </c>
      <c r="I27" s="96">
        <f t="shared" si="2"/>
        <v>0.109</v>
      </c>
      <c r="J27" s="96">
        <f t="shared" si="2"/>
        <v>0.116</v>
      </c>
      <c r="K27" s="96">
        <f t="shared" si="2"/>
        <v>0.123</v>
      </c>
      <c r="L27" s="96">
        <f t="shared" si="2"/>
        <v>0.13</v>
      </c>
    </row>
    <row r="29" spans="1:2" ht="12.75">
      <c r="A29" t="s">
        <v>1142</v>
      </c>
      <c r="B29" s="79">
        <f>(B19*B19-B22*B21*B19)/(B21*B21+B19*B19-2*B22*B21*B19)</f>
        <v>0.8292682926829269</v>
      </c>
    </row>
    <row r="30" spans="1:2" ht="12.75">
      <c r="A30" t="s">
        <v>1135</v>
      </c>
      <c r="B30" s="99">
        <f>1-B29</f>
        <v>0.1707317073170731</v>
      </c>
    </row>
    <row r="45" ht="14.25">
      <c r="A45" s="41" t="s">
        <v>1337</v>
      </c>
    </row>
    <row r="46" spans="1:3" ht="12.75">
      <c r="A46" t="s">
        <v>183</v>
      </c>
      <c r="B46" s="4" t="s">
        <v>1203</v>
      </c>
      <c r="C46" s="4" t="s">
        <v>1204</v>
      </c>
    </row>
    <row r="47" spans="1:3" ht="12.75">
      <c r="A47" t="s">
        <v>184</v>
      </c>
      <c r="B47" s="47">
        <v>0.1</v>
      </c>
      <c r="C47" s="47">
        <v>0.2</v>
      </c>
    </row>
    <row r="48" spans="1:3" ht="12.75">
      <c r="A48" t="s">
        <v>185</v>
      </c>
      <c r="B48" s="47">
        <v>0.15</v>
      </c>
      <c r="C48" s="47">
        <v>0.3</v>
      </c>
    </row>
    <row r="49" spans="2:3" ht="12.75">
      <c r="B49" s="47"/>
      <c r="C49" s="47"/>
    </row>
    <row r="50" spans="1:2" ht="12.75">
      <c r="A50" t="s">
        <v>186</v>
      </c>
      <c r="B50" s="47">
        <v>0.25</v>
      </c>
    </row>
    <row r="52" spans="1:8" ht="12.75">
      <c r="A52" t="s">
        <v>187</v>
      </c>
      <c r="C52" s="4" t="s">
        <v>192</v>
      </c>
      <c r="D52" s="4" t="s">
        <v>1228</v>
      </c>
      <c r="E52" s="4" t="s">
        <v>191</v>
      </c>
      <c r="F52" s="4" t="s">
        <v>190</v>
      </c>
      <c r="G52" s="4" t="s">
        <v>189</v>
      </c>
      <c r="H52" s="4" t="s">
        <v>188</v>
      </c>
    </row>
    <row r="53" spans="1:8" ht="12.75">
      <c r="A53" t="s">
        <v>1203</v>
      </c>
      <c r="B53" s="99">
        <v>2</v>
      </c>
      <c r="C53" s="99">
        <v>1</v>
      </c>
      <c r="D53" s="99">
        <f>(C48*C48-B50*B48*C48)/(B48*B48+C48*C48-2*B50*B48*C48)</f>
        <v>0.875</v>
      </c>
      <c r="E53" s="99">
        <v>0.75</v>
      </c>
      <c r="F53" s="99">
        <v>0.5</v>
      </c>
      <c r="G53" s="99">
        <v>0.25</v>
      </c>
      <c r="H53" s="99">
        <v>0</v>
      </c>
    </row>
    <row r="54" spans="1:8" ht="12.75">
      <c r="A54" t="s">
        <v>1204</v>
      </c>
      <c r="B54" s="99">
        <f aca="true" t="shared" si="3" ref="B54:H54">1-B53</f>
        <v>-1</v>
      </c>
      <c r="C54" s="99">
        <f t="shared" si="3"/>
        <v>0</v>
      </c>
      <c r="D54" s="99">
        <f t="shared" si="3"/>
        <v>0.125</v>
      </c>
      <c r="E54" s="99">
        <f t="shared" si="3"/>
        <v>0.25</v>
      </c>
      <c r="F54" s="99">
        <f t="shared" si="3"/>
        <v>0.5</v>
      </c>
      <c r="G54" s="99">
        <f t="shared" si="3"/>
        <v>0.75</v>
      </c>
      <c r="H54" s="99">
        <f t="shared" si="3"/>
        <v>1</v>
      </c>
    </row>
    <row r="55" spans="1:8" ht="12.75">
      <c r="A55" t="s">
        <v>185</v>
      </c>
      <c r="B55" s="96">
        <f aca="true" t="shared" si="4" ref="B55:H55">SQRT(B53*B53*$B$48*$B$48+B54*B54*$C$48*$C$48+2*B53*B54*$B$50*$B$48*$C$48)</f>
        <v>0.3674234614174767</v>
      </c>
      <c r="C55" s="96">
        <f t="shared" si="4"/>
        <v>0.15</v>
      </c>
      <c r="D55" s="96">
        <f t="shared" si="4"/>
        <v>0.14523687548277814</v>
      </c>
      <c r="E55" s="96">
        <f t="shared" si="4"/>
        <v>0.15</v>
      </c>
      <c r="F55" s="96">
        <f t="shared" si="4"/>
        <v>0.18371173070873834</v>
      </c>
      <c r="G55" s="96">
        <f t="shared" si="4"/>
        <v>0.23717082451262844</v>
      </c>
      <c r="H55" s="96">
        <f t="shared" si="4"/>
        <v>0.3</v>
      </c>
    </row>
    <row r="56" spans="1:8" ht="12.75">
      <c r="A56" t="s">
        <v>184</v>
      </c>
      <c r="B56" s="95">
        <f>$B$47*B53+$C$47*B54</f>
        <v>0</v>
      </c>
      <c r="C56" s="95">
        <f aca="true" t="shared" si="5" ref="C56:H56">$B$47*C53+$C$47*C54</f>
        <v>0.1</v>
      </c>
      <c r="D56" s="95">
        <f t="shared" si="5"/>
        <v>0.11250000000000002</v>
      </c>
      <c r="E56" s="95">
        <f t="shared" si="5"/>
        <v>0.125</v>
      </c>
      <c r="F56" s="95">
        <f t="shared" si="5"/>
        <v>0.15000000000000002</v>
      </c>
      <c r="G56" s="95">
        <f t="shared" si="5"/>
        <v>0.17500000000000002</v>
      </c>
      <c r="H56" s="95">
        <f t="shared" si="5"/>
        <v>0.2</v>
      </c>
    </row>
    <row r="74" ht="12.75">
      <c r="A74" s="131"/>
    </row>
  </sheetData>
  <printOptions/>
  <pageMargins left="0.7874015748031497" right="0.7874015748031497" top="0.984251968503937" bottom="0.984251968503937" header="0.5118110236220472" footer="0.5118110236220472"/>
  <pageSetup fitToHeight="5" fitToWidth="1" horizontalDpi="200" verticalDpi="200" orientation="landscape" paperSize="9" scale="82" r:id="rId2"/>
  <headerFooter alignWithMargins="0">
    <oddFooter>&amp;L&amp;"Verdana,Italique"&amp;9&amp;F - &amp;A&amp;C&amp;P / &amp;N&amp;R&amp;"Verdana,Italique"&amp;9&amp;D - &amp;T</oddFooter>
  </headerFooter>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BZ96"/>
  <sheetViews>
    <sheetView showGridLines="0" zoomScale="75" zoomScaleNormal="75" workbookViewId="0" topLeftCell="A1">
      <selection activeCell="A43" sqref="A43"/>
    </sheetView>
  </sheetViews>
  <sheetFormatPr defaultColWidth="11.00390625" defaultRowHeight="12.75"/>
  <cols>
    <col min="1" max="1" width="39.00390625" style="0" bestFit="1" customWidth="1"/>
    <col min="2" max="2" width="12.75390625" style="23" bestFit="1" customWidth="1"/>
    <col min="3" max="3" width="11.75390625" style="0" bestFit="1" customWidth="1"/>
    <col min="7" max="7" width="13.50390625" style="0" bestFit="1" customWidth="1"/>
    <col min="10" max="10" width="11.75390625" style="0" bestFit="1" customWidth="1"/>
  </cols>
  <sheetData>
    <row r="1" spans="1:3" ht="14.25">
      <c r="A1" s="20" t="s">
        <v>721</v>
      </c>
      <c r="B1" s="39" t="s">
        <v>28</v>
      </c>
      <c r="C1" s="3" t="s">
        <v>28</v>
      </c>
    </row>
    <row r="2" spans="1:5" ht="12.75">
      <c r="A2" s="21" t="s">
        <v>722</v>
      </c>
      <c r="E2" s="21" t="s">
        <v>541</v>
      </c>
    </row>
    <row r="3" spans="1:7" ht="12.75">
      <c r="A3" t="s">
        <v>725</v>
      </c>
      <c r="B3" s="23">
        <f>J30</f>
        <v>340500</v>
      </c>
      <c r="C3" s="23"/>
      <c r="E3" t="s">
        <v>906</v>
      </c>
      <c r="G3" s="121">
        <f>I30*B43</f>
        <v>340500</v>
      </c>
    </row>
    <row r="4" spans="1:3" ht="12.75">
      <c r="A4" t="s">
        <v>726</v>
      </c>
      <c r="B4" s="23">
        <f>B5+B6</f>
        <v>19175</v>
      </c>
      <c r="C4" s="23"/>
    </row>
    <row r="5" spans="1:9" s="28" customFormat="1" ht="12.75">
      <c r="A5" s="26" t="s">
        <v>867</v>
      </c>
      <c r="B5" s="27">
        <f>G30*B30</f>
        <v>14300</v>
      </c>
      <c r="C5" s="27"/>
      <c r="I5"/>
    </row>
    <row r="6" spans="1:3" s="28" customFormat="1" ht="10.5">
      <c r="A6" s="26" t="s">
        <v>865</v>
      </c>
      <c r="B6" s="27">
        <f>G30/B42*B44</f>
        <v>4875</v>
      </c>
      <c r="C6" s="52"/>
    </row>
    <row r="7" spans="1:9" ht="12.75">
      <c r="A7" s="1" t="s">
        <v>727</v>
      </c>
      <c r="B7" s="23">
        <f>B3+B4</f>
        <v>359675</v>
      </c>
      <c r="C7" s="23"/>
      <c r="H7" t="s">
        <v>28</v>
      </c>
      <c r="I7" t="s">
        <v>28</v>
      </c>
    </row>
    <row r="8" spans="1:7" ht="12.75">
      <c r="A8" t="s">
        <v>728</v>
      </c>
      <c r="B8" s="23">
        <f>B9+B10+B11+B12</f>
        <v>354000</v>
      </c>
      <c r="C8" s="23"/>
      <c r="E8" t="s">
        <v>544</v>
      </c>
      <c r="G8" s="121">
        <f>G9+G10+G11</f>
        <v>339825</v>
      </c>
    </row>
    <row r="9" spans="1:7" s="28" customFormat="1" ht="10.5">
      <c r="A9" s="26" t="s">
        <v>715</v>
      </c>
      <c r="B9" s="27">
        <f>B44</f>
        <v>90000</v>
      </c>
      <c r="C9" s="27"/>
      <c r="E9" s="28" t="s">
        <v>542</v>
      </c>
      <c r="G9" s="378">
        <f>B9*I30/(I30+G30)</f>
        <v>85125</v>
      </c>
    </row>
    <row r="10" spans="1:7" s="28" customFormat="1" ht="10.5">
      <c r="A10" s="26" t="s">
        <v>784</v>
      </c>
      <c r="B10" s="27">
        <f>J31</f>
        <v>267050</v>
      </c>
      <c r="C10" s="27"/>
      <c r="E10" s="28" t="s">
        <v>543</v>
      </c>
      <c r="G10" s="378">
        <f>I30*SUM(B32:B39)</f>
        <v>249700</v>
      </c>
    </row>
    <row r="11" spans="1:7" s="28" customFormat="1" ht="10.5">
      <c r="A11" s="26" t="s">
        <v>785</v>
      </c>
      <c r="B11" s="27">
        <f>-H31</f>
        <v>-3050</v>
      </c>
      <c r="C11" s="27"/>
      <c r="E11" s="26" t="s">
        <v>793</v>
      </c>
      <c r="G11" s="378">
        <f>B15</f>
        <v>5000</v>
      </c>
    </row>
    <row r="12" spans="1:3" s="28" customFormat="1" ht="10.5">
      <c r="A12" s="26" t="s">
        <v>796</v>
      </c>
      <c r="B12" s="27">
        <f>B55*B56</f>
        <v>0</v>
      </c>
      <c r="C12" s="27"/>
    </row>
    <row r="13" spans="1:3" ht="12.75">
      <c r="A13" s="1" t="s">
        <v>729</v>
      </c>
      <c r="B13" s="23">
        <f>B7-B8</f>
        <v>5675</v>
      </c>
      <c r="C13" s="23"/>
    </row>
    <row r="14" spans="1:3" ht="12.75">
      <c r="A14" t="s">
        <v>730</v>
      </c>
      <c r="B14" s="23">
        <f>B15</f>
        <v>5000</v>
      </c>
      <c r="C14" s="23"/>
    </row>
    <row r="15" spans="1:3" s="28" customFormat="1" ht="10.5">
      <c r="A15" s="26" t="s">
        <v>793</v>
      </c>
      <c r="B15" s="27">
        <f>B48/B51*(12-B56)/12</f>
        <v>5000</v>
      </c>
      <c r="C15" s="27"/>
    </row>
    <row r="16" spans="1:3" ht="12.75">
      <c r="A16" t="s">
        <v>765</v>
      </c>
      <c r="B16" s="23">
        <v>0</v>
      </c>
      <c r="C16" s="23"/>
    </row>
    <row r="17" spans="1:7" ht="12.75">
      <c r="A17" s="1" t="s">
        <v>766</v>
      </c>
      <c r="B17" s="23">
        <f>B13-B14-B16</f>
        <v>675</v>
      </c>
      <c r="C17" s="23"/>
      <c r="E17" s="1" t="s">
        <v>766</v>
      </c>
      <c r="G17" s="121">
        <f>G3-G8</f>
        <v>675</v>
      </c>
    </row>
    <row r="18" spans="1:4" ht="12.75">
      <c r="A18" t="s">
        <v>767</v>
      </c>
      <c r="C18" s="23"/>
      <c r="D18" s="23">
        <f>D19</f>
        <v>600</v>
      </c>
    </row>
    <row r="19" spans="1:4" s="28" customFormat="1" ht="10.5">
      <c r="A19" s="26" t="s">
        <v>797</v>
      </c>
      <c r="C19" s="27"/>
      <c r="D19" s="27">
        <f>$B58*$B59*B60/12</f>
        <v>600</v>
      </c>
    </row>
    <row r="20" spans="1:4" ht="12.75">
      <c r="A20" s="1" t="s">
        <v>768</v>
      </c>
      <c r="C20" s="23"/>
      <c r="D20" s="23">
        <f>B17-D18</f>
        <v>75</v>
      </c>
    </row>
    <row r="21" spans="1:4" ht="12.75">
      <c r="A21" t="s">
        <v>769</v>
      </c>
      <c r="C21" s="23"/>
      <c r="D21" s="23">
        <v>45000</v>
      </c>
    </row>
    <row r="22" spans="1:4" s="28" customFormat="1" ht="10.5">
      <c r="A22" s="26" t="s">
        <v>788</v>
      </c>
      <c r="D22" s="27">
        <f>B53</f>
        <v>45000</v>
      </c>
    </row>
    <row r="23" spans="1:4" ht="12.75">
      <c r="A23" t="s">
        <v>770</v>
      </c>
      <c r="C23" s="23"/>
      <c r="D23" s="23">
        <f>(D20+D21)*$B62</f>
        <v>15776.249999999998</v>
      </c>
    </row>
    <row r="24" spans="1:4" ht="12.75">
      <c r="A24" s="1" t="s">
        <v>771</v>
      </c>
      <c r="C24" s="23"/>
      <c r="D24" s="23">
        <f>D20+D21-D23</f>
        <v>29298.75</v>
      </c>
    </row>
    <row r="25" spans="1:4" ht="12.75">
      <c r="A25" t="s">
        <v>772</v>
      </c>
      <c r="D25" s="23"/>
    </row>
    <row r="26" spans="1:4" ht="12.75">
      <c r="A26" s="1" t="s">
        <v>773</v>
      </c>
      <c r="C26" s="23"/>
      <c r="D26" s="23">
        <f>D24-D25</f>
        <v>29298.75</v>
      </c>
    </row>
    <row r="29" spans="1:9" ht="12.75">
      <c r="A29" t="s">
        <v>714</v>
      </c>
      <c r="B29" t="s">
        <v>775</v>
      </c>
      <c r="C29" s="23" t="s">
        <v>859</v>
      </c>
      <c r="D29" t="s">
        <v>861</v>
      </c>
      <c r="E29" t="s">
        <v>860</v>
      </c>
      <c r="F29" t="s">
        <v>862</v>
      </c>
      <c r="G29" t="s">
        <v>863</v>
      </c>
      <c r="I29" t="s">
        <v>868</v>
      </c>
    </row>
    <row r="30" spans="1:10" s="13" customFormat="1" ht="10.5">
      <c r="A30" s="22" t="s">
        <v>774</v>
      </c>
      <c r="B30" s="24">
        <f>SUM(B32:B39)</f>
        <v>1100</v>
      </c>
      <c r="C30" s="13">
        <v>14</v>
      </c>
      <c r="D30" s="24">
        <f>B30*C30</f>
        <v>15400</v>
      </c>
      <c r="E30" s="13">
        <v>27</v>
      </c>
      <c r="F30" s="24">
        <f>B30*E30</f>
        <v>29700</v>
      </c>
      <c r="G30" s="13">
        <f>E30-C30</f>
        <v>13</v>
      </c>
      <c r="H30" s="24">
        <f aca="true" t="shared" si="0" ref="H30:H39">F30-D30</f>
        <v>14300</v>
      </c>
      <c r="I30" s="13">
        <f>B42+C30-E30</f>
        <v>227</v>
      </c>
      <c r="J30" s="24">
        <f>I30*B43</f>
        <v>340500</v>
      </c>
    </row>
    <row r="31" spans="1:10" ht="12.75">
      <c r="A31" t="s">
        <v>786</v>
      </c>
      <c r="B31"/>
      <c r="C31" s="23"/>
      <c r="D31" s="23">
        <f>SUM(D32:D39)</f>
        <v>5400</v>
      </c>
      <c r="F31" s="23">
        <f>SUM(F32:F39)</f>
        <v>8450</v>
      </c>
      <c r="G31" s="24"/>
      <c r="H31" s="23">
        <f t="shared" si="0"/>
        <v>3050</v>
      </c>
      <c r="I31" t="s">
        <v>864</v>
      </c>
      <c r="J31" s="23">
        <f>SUM(J32:J39)</f>
        <v>267050</v>
      </c>
    </row>
    <row r="32" spans="1:10" s="13" customFormat="1" ht="10.5">
      <c r="A32" s="22" t="s">
        <v>776</v>
      </c>
      <c r="B32" s="24">
        <v>50</v>
      </c>
      <c r="C32" s="13">
        <v>5</v>
      </c>
      <c r="D32" s="24">
        <f>B32*C32</f>
        <v>250</v>
      </c>
      <c r="E32" s="13">
        <v>13</v>
      </c>
      <c r="F32" s="24">
        <f>B32*E32</f>
        <v>650</v>
      </c>
      <c r="G32" s="13">
        <f aca="true" t="shared" si="1" ref="G32:G39">E32-C32</f>
        <v>8</v>
      </c>
      <c r="H32" s="24">
        <f t="shared" si="0"/>
        <v>400</v>
      </c>
      <c r="I32" s="13">
        <f>B$42+G32</f>
        <v>248</v>
      </c>
      <c r="J32" s="24">
        <f>I32*B32</f>
        <v>12400</v>
      </c>
    </row>
    <row r="33" spans="1:10" s="13" customFormat="1" ht="10.5">
      <c r="A33" s="22" t="s">
        <v>777</v>
      </c>
      <c r="B33" s="24">
        <v>200</v>
      </c>
      <c r="C33" s="13">
        <v>8</v>
      </c>
      <c r="D33" s="24">
        <f aca="true" t="shared" si="2" ref="D33:D39">B33*C33</f>
        <v>1600</v>
      </c>
      <c r="E33" s="13">
        <v>2</v>
      </c>
      <c r="F33" s="24">
        <f aca="true" t="shared" si="3" ref="F33:F39">B33*E33</f>
        <v>400</v>
      </c>
      <c r="G33" s="13">
        <f t="shared" si="1"/>
        <v>-6</v>
      </c>
      <c r="H33" s="24">
        <f t="shared" si="0"/>
        <v>-1200</v>
      </c>
      <c r="I33" s="13">
        <f aca="true" t="shared" si="4" ref="I33:I39">B$42+G33</f>
        <v>234</v>
      </c>
      <c r="J33" s="24">
        <f aca="true" t="shared" si="5" ref="J33:J39">I33*B33</f>
        <v>46800</v>
      </c>
    </row>
    <row r="34" spans="1:10" s="13" customFormat="1" ht="10.5">
      <c r="A34" s="22" t="s">
        <v>778</v>
      </c>
      <c r="B34" s="24">
        <v>300</v>
      </c>
      <c r="C34" s="13">
        <v>4</v>
      </c>
      <c r="D34" s="24">
        <f t="shared" si="2"/>
        <v>1200</v>
      </c>
      <c r="E34" s="13">
        <v>11</v>
      </c>
      <c r="F34" s="24">
        <f t="shared" si="3"/>
        <v>3300</v>
      </c>
      <c r="G34" s="13">
        <f t="shared" si="1"/>
        <v>7</v>
      </c>
      <c r="H34" s="24">
        <f t="shared" si="0"/>
        <v>2100</v>
      </c>
      <c r="I34" s="13">
        <f t="shared" si="4"/>
        <v>247</v>
      </c>
      <c r="J34" s="24">
        <f t="shared" si="5"/>
        <v>74100</v>
      </c>
    </row>
    <row r="35" spans="1:10" s="13" customFormat="1" ht="10.5">
      <c r="A35" s="22" t="s">
        <v>779</v>
      </c>
      <c r="B35" s="24">
        <v>100</v>
      </c>
      <c r="C35" s="13">
        <v>6</v>
      </c>
      <c r="D35" s="24">
        <f t="shared" si="2"/>
        <v>600</v>
      </c>
      <c r="E35" s="13">
        <v>4</v>
      </c>
      <c r="F35" s="24">
        <f t="shared" si="3"/>
        <v>400</v>
      </c>
      <c r="G35" s="13">
        <f t="shared" si="1"/>
        <v>-2</v>
      </c>
      <c r="H35" s="24">
        <f t="shared" si="0"/>
        <v>-200</v>
      </c>
      <c r="I35" s="13">
        <f t="shared" si="4"/>
        <v>238</v>
      </c>
      <c r="J35" s="24">
        <f t="shared" si="5"/>
        <v>23800</v>
      </c>
    </row>
    <row r="36" spans="1:10" s="13" customFormat="1" ht="10.5">
      <c r="A36" s="22" t="s">
        <v>780</v>
      </c>
      <c r="B36" s="24">
        <v>50</v>
      </c>
      <c r="C36" s="13">
        <v>1</v>
      </c>
      <c r="D36" s="24">
        <f t="shared" si="2"/>
        <v>50</v>
      </c>
      <c r="E36" s="13">
        <v>13</v>
      </c>
      <c r="F36" s="24">
        <f t="shared" si="3"/>
        <v>650</v>
      </c>
      <c r="G36" s="13">
        <f t="shared" si="1"/>
        <v>12</v>
      </c>
      <c r="H36" s="24">
        <f t="shared" si="0"/>
        <v>600</v>
      </c>
      <c r="I36" s="13">
        <f t="shared" si="4"/>
        <v>252</v>
      </c>
      <c r="J36" s="24">
        <f t="shared" si="5"/>
        <v>12600</v>
      </c>
    </row>
    <row r="37" spans="1:10" s="13" customFormat="1" ht="10.5">
      <c r="A37" s="22" t="s">
        <v>781</v>
      </c>
      <c r="B37" s="24">
        <v>150</v>
      </c>
      <c r="C37" s="13">
        <v>5</v>
      </c>
      <c r="D37" s="24">
        <f t="shared" si="2"/>
        <v>750</v>
      </c>
      <c r="E37" s="13">
        <v>10</v>
      </c>
      <c r="F37" s="24">
        <f t="shared" si="3"/>
        <v>1500</v>
      </c>
      <c r="G37" s="13">
        <f t="shared" si="1"/>
        <v>5</v>
      </c>
      <c r="H37" s="24">
        <f t="shared" si="0"/>
        <v>750</v>
      </c>
      <c r="I37" s="13">
        <f t="shared" si="4"/>
        <v>245</v>
      </c>
      <c r="J37" s="24">
        <f t="shared" si="5"/>
        <v>36750</v>
      </c>
    </row>
    <row r="38" spans="1:10" s="13" customFormat="1" ht="10.5">
      <c r="A38" s="22" t="s">
        <v>782</v>
      </c>
      <c r="B38" s="24">
        <v>200</v>
      </c>
      <c r="C38" s="13">
        <v>3</v>
      </c>
      <c r="D38" s="24">
        <f t="shared" si="2"/>
        <v>600</v>
      </c>
      <c r="E38" s="13">
        <v>3</v>
      </c>
      <c r="F38" s="24">
        <f t="shared" si="3"/>
        <v>600</v>
      </c>
      <c r="G38" s="13">
        <f t="shared" si="1"/>
        <v>0</v>
      </c>
      <c r="H38" s="24">
        <f t="shared" si="0"/>
        <v>0</v>
      </c>
      <c r="I38" s="13">
        <f t="shared" si="4"/>
        <v>240</v>
      </c>
      <c r="J38" s="24">
        <f t="shared" si="5"/>
        <v>48000</v>
      </c>
    </row>
    <row r="39" spans="1:10" s="13" customFormat="1" ht="10.5">
      <c r="A39" s="22" t="s">
        <v>783</v>
      </c>
      <c r="B39" s="24">
        <v>50</v>
      </c>
      <c r="C39" s="13">
        <v>7</v>
      </c>
      <c r="D39" s="24">
        <f t="shared" si="2"/>
        <v>350</v>
      </c>
      <c r="E39" s="13">
        <v>19</v>
      </c>
      <c r="F39" s="24">
        <f t="shared" si="3"/>
        <v>950</v>
      </c>
      <c r="G39" s="13">
        <f t="shared" si="1"/>
        <v>12</v>
      </c>
      <c r="H39" s="24">
        <f t="shared" si="0"/>
        <v>600</v>
      </c>
      <c r="I39" s="13">
        <f t="shared" si="4"/>
        <v>252</v>
      </c>
      <c r="J39" s="24">
        <f t="shared" si="5"/>
        <v>12600</v>
      </c>
    </row>
    <row r="42" spans="1:2" ht="12.75">
      <c r="A42" t="s">
        <v>1116</v>
      </c>
      <c r="B42">
        <v>240</v>
      </c>
    </row>
    <row r="43" spans="1:2" ht="12.75">
      <c r="A43" t="s">
        <v>787</v>
      </c>
      <c r="B43" s="23">
        <v>1500</v>
      </c>
    </row>
    <row r="44" spans="1:2" ht="12.75">
      <c r="A44" t="s">
        <v>866</v>
      </c>
      <c r="B44" s="23">
        <f>B45+B46</f>
        <v>90000</v>
      </c>
    </row>
    <row r="45" spans="1:2" s="28" customFormat="1" ht="10.5">
      <c r="A45" s="26" t="s">
        <v>869</v>
      </c>
      <c r="B45" s="27">
        <v>60000</v>
      </c>
    </row>
    <row r="46" spans="1:2" s="28" customFormat="1" ht="10.5">
      <c r="A46" s="26" t="s">
        <v>870</v>
      </c>
      <c r="B46" s="27">
        <f>B45*0.5</f>
        <v>30000</v>
      </c>
    </row>
    <row r="47" ht="12.75">
      <c r="B47"/>
    </row>
    <row r="48" spans="1:2" ht="12.75">
      <c r="A48" t="s">
        <v>789</v>
      </c>
      <c r="B48" s="23">
        <v>200000</v>
      </c>
    </row>
    <row r="49" spans="1:2" ht="12.75">
      <c r="A49" t="s">
        <v>871</v>
      </c>
      <c r="B49" s="23">
        <f>B48*(1-B52/B51)</f>
        <v>185000</v>
      </c>
    </row>
    <row r="50" spans="1:2" ht="12.75">
      <c r="A50" t="s">
        <v>790</v>
      </c>
      <c r="B50" s="23">
        <v>230000</v>
      </c>
    </row>
    <row r="51" spans="1:2" ht="12.75">
      <c r="A51" t="s">
        <v>791</v>
      </c>
      <c r="B51">
        <v>40</v>
      </c>
    </row>
    <row r="52" spans="1:2" ht="12.75">
      <c r="A52" t="s">
        <v>792</v>
      </c>
      <c r="B52">
        <v>3</v>
      </c>
    </row>
    <row r="53" spans="1:2" ht="12.75">
      <c r="A53" t="s">
        <v>872</v>
      </c>
      <c r="B53" s="23">
        <f>B50-B49</f>
        <v>45000</v>
      </c>
    </row>
    <row r="55" spans="1:2" ht="12.75">
      <c r="A55" t="s">
        <v>794</v>
      </c>
      <c r="B55" s="23">
        <v>1000</v>
      </c>
    </row>
    <row r="56" spans="1:3" ht="12.75">
      <c r="A56" t="s">
        <v>795</v>
      </c>
      <c r="B56" s="23">
        <v>0</v>
      </c>
      <c r="C56" s="23">
        <v>12</v>
      </c>
    </row>
    <row r="58" spans="1:2" ht="12.75">
      <c r="A58" t="s">
        <v>798</v>
      </c>
      <c r="B58" s="23">
        <v>12000</v>
      </c>
    </row>
    <row r="59" spans="1:2" ht="12.75">
      <c r="A59" t="s">
        <v>799</v>
      </c>
      <c r="B59" s="25">
        <v>0.05</v>
      </c>
    </row>
    <row r="60" spans="1:3" ht="12.75">
      <c r="A60" t="s">
        <v>800</v>
      </c>
      <c r="B60" s="23">
        <v>12</v>
      </c>
      <c r="C60" s="23">
        <v>0</v>
      </c>
    </row>
    <row r="62" spans="1:2" ht="12.75">
      <c r="A62" t="s">
        <v>801</v>
      </c>
      <c r="B62" s="25">
        <v>0.35</v>
      </c>
    </row>
    <row r="65" ht="14.25">
      <c r="A65" s="41" t="s">
        <v>678</v>
      </c>
    </row>
    <row r="66" spans="1:4" ht="12.75">
      <c r="A66" s="2" t="s">
        <v>720</v>
      </c>
      <c r="B66" s="43">
        <v>1</v>
      </c>
      <c r="C66" s="43">
        <v>2</v>
      </c>
      <c r="D66" s="43">
        <v>3</v>
      </c>
    </row>
    <row r="67" spans="1:4" ht="12.75">
      <c r="A67" s="3" t="s">
        <v>727</v>
      </c>
      <c r="B67" s="23">
        <f>B68+B69</f>
        <v>142</v>
      </c>
      <c r="C67" s="23">
        <f>C68+C69</f>
        <v>144</v>
      </c>
      <c r="D67" s="23">
        <f>D68+D69</f>
        <v>144</v>
      </c>
    </row>
    <row r="68" spans="1:4" s="24" customFormat="1" ht="10.5">
      <c r="A68" s="44" t="s">
        <v>725</v>
      </c>
      <c r="B68" s="45">
        <v>132</v>
      </c>
      <c r="C68" s="45">
        <f>'Chapitre 2'!D28</f>
        <v>144</v>
      </c>
      <c r="D68" s="45">
        <f>'Chapitre 2'!E28</f>
        <v>144</v>
      </c>
    </row>
    <row r="69" spans="1:2" s="24" customFormat="1" ht="10.5">
      <c r="A69" s="44" t="s">
        <v>726</v>
      </c>
      <c r="B69" s="45">
        <f>4+4+2</f>
        <v>10</v>
      </c>
    </row>
    <row r="70" spans="1:4" ht="12.75">
      <c r="A70" s="3" t="s">
        <v>728</v>
      </c>
      <c r="B70" s="23">
        <f>SUM(B71:B73)</f>
        <v>120</v>
      </c>
      <c r="C70" s="23">
        <f>SUM(C71:C73)</f>
        <v>120</v>
      </c>
      <c r="D70" s="23">
        <f>SUM(D71:D73)</f>
        <v>120</v>
      </c>
    </row>
    <row r="71" spans="1:78" s="13" customFormat="1" ht="10.5">
      <c r="A71" s="10" t="s">
        <v>881</v>
      </c>
      <c r="B71" s="42">
        <f>52-4</f>
        <v>48</v>
      </c>
      <c r="C71" s="42">
        <v>48</v>
      </c>
      <c r="D71" s="42">
        <v>48</v>
      </c>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row>
    <row r="72" spans="1:78" s="13" customFormat="1" ht="10.5">
      <c r="A72" s="10" t="s">
        <v>716</v>
      </c>
      <c r="B72" s="42">
        <v>24</v>
      </c>
      <c r="C72" s="42">
        <v>24</v>
      </c>
      <c r="D72" s="42">
        <v>24</v>
      </c>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row>
    <row r="73" spans="1:78" s="13" customFormat="1" ht="10.5">
      <c r="A73" s="10" t="s">
        <v>715</v>
      </c>
      <c r="B73" s="42">
        <v>48</v>
      </c>
      <c r="C73" s="42">
        <v>48</v>
      </c>
      <c r="D73" s="42">
        <v>48</v>
      </c>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row>
    <row r="74" spans="1:4" ht="12.75">
      <c r="A74" s="2" t="s">
        <v>802</v>
      </c>
      <c r="B74" s="23">
        <f>B67-B70</f>
        <v>22</v>
      </c>
      <c r="C74" s="23">
        <f>C67-C70</f>
        <v>24</v>
      </c>
      <c r="D74" s="23">
        <f>D67-D70</f>
        <v>24</v>
      </c>
    </row>
    <row r="75" spans="1:4" ht="12.75">
      <c r="A75" s="3" t="s">
        <v>803</v>
      </c>
      <c r="B75" s="23">
        <v>6</v>
      </c>
      <c r="C75" s="23">
        <f>B75</f>
        <v>6</v>
      </c>
      <c r="D75" s="23">
        <f>B75</f>
        <v>6</v>
      </c>
    </row>
    <row r="76" spans="1:4" ht="12.75">
      <c r="A76" s="2" t="s">
        <v>766</v>
      </c>
      <c r="B76" s="23">
        <f>B74-B75</f>
        <v>16</v>
      </c>
      <c r="C76" s="23">
        <f>C74-C75</f>
        <v>18</v>
      </c>
      <c r="D76" s="23">
        <f>D74-D75</f>
        <v>18</v>
      </c>
    </row>
    <row r="77" spans="1:4" ht="12.75">
      <c r="A77" s="3" t="s">
        <v>804</v>
      </c>
      <c r="B77" s="23">
        <f>SUMIF('Chapitre 2'!$C$12:$BY$12,B66,'Chapitre 2'!$C$24:$BY$24)</f>
        <v>1.9</v>
      </c>
      <c r="C77" s="23">
        <f>SUMIF('Chapitre 2'!$C$12:$BY$12,C66,'Chapitre 2'!$C$24:$BY$24)</f>
        <v>1.5</v>
      </c>
      <c r="D77" s="23">
        <f>SUMIF('Chapitre 2'!$C$12:$BY$12,D66,'Chapitre 2'!$C$24:$BY$24)</f>
        <v>1.1</v>
      </c>
    </row>
    <row r="78" spans="1:4" ht="12.75">
      <c r="A78" s="2" t="s">
        <v>805</v>
      </c>
      <c r="B78" s="23">
        <f>B76-B77</f>
        <v>14.1</v>
      </c>
      <c r="C78" s="23">
        <f>C76-C77</f>
        <v>16.5</v>
      </c>
      <c r="D78" s="23">
        <f>D76-D77</f>
        <v>16.9</v>
      </c>
    </row>
    <row r="79" spans="1:4" ht="12.75">
      <c r="A79" s="3" t="s">
        <v>770</v>
      </c>
      <c r="B79" s="23">
        <v>0</v>
      </c>
      <c r="C79" s="23">
        <v>0</v>
      </c>
      <c r="D79" s="23">
        <v>0</v>
      </c>
    </row>
    <row r="80" spans="1:4" ht="12.75">
      <c r="A80" s="2" t="s">
        <v>806</v>
      </c>
      <c r="B80" s="23">
        <f>B78-B79</f>
        <v>14.1</v>
      </c>
      <c r="C80" s="23">
        <f>C78-C79</f>
        <v>16.5</v>
      </c>
      <c r="D80" s="23">
        <f>D78-D79</f>
        <v>16.9</v>
      </c>
    </row>
    <row r="81" ht="12.75">
      <c r="A81" s="3" t="s">
        <v>772</v>
      </c>
    </row>
    <row r="82" ht="12.75">
      <c r="A82" s="3" t="s">
        <v>773</v>
      </c>
    </row>
    <row r="84" ht="14.25">
      <c r="A84" s="41" t="s">
        <v>679</v>
      </c>
    </row>
    <row r="85" ht="12.75">
      <c r="A85" s="2" t="s">
        <v>720</v>
      </c>
    </row>
    <row r="86" spans="1:4" ht="12.75">
      <c r="A86" t="s">
        <v>882</v>
      </c>
      <c r="B86" s="23">
        <f>B68</f>
        <v>132</v>
      </c>
      <c r="C86" s="23">
        <f>C68</f>
        <v>144</v>
      </c>
      <c r="D86" s="23">
        <f>D68</f>
        <v>144</v>
      </c>
    </row>
    <row r="87" spans="1:4" ht="12.75">
      <c r="A87" s="30" t="s">
        <v>885</v>
      </c>
      <c r="B87" s="23">
        <f>B70+B75-B69</f>
        <v>116</v>
      </c>
      <c r="C87" s="23">
        <f>C70+C75-C69</f>
        <v>126</v>
      </c>
      <c r="D87" s="23">
        <f>D70+D75-D69</f>
        <v>126</v>
      </c>
    </row>
    <row r="88" spans="1:4" ht="12.75">
      <c r="A88" s="30" t="s">
        <v>883</v>
      </c>
      <c r="B88" s="23">
        <v>0</v>
      </c>
      <c r="C88" s="23">
        <v>0</v>
      </c>
      <c r="D88" s="23">
        <v>0</v>
      </c>
    </row>
    <row r="89" spans="1:4" ht="12.75">
      <c r="A89" s="30" t="s">
        <v>884</v>
      </c>
      <c r="B89" s="23">
        <v>0</v>
      </c>
      <c r="C89" s="23">
        <v>0</v>
      </c>
      <c r="D89" s="23">
        <v>0</v>
      </c>
    </row>
    <row r="90" spans="1:4" ht="12.75">
      <c r="A90" s="2" t="s">
        <v>766</v>
      </c>
      <c r="B90" s="23">
        <f>B86-B87-B88-B89</f>
        <v>16</v>
      </c>
      <c r="C90" s="23">
        <f>C86-C87-C88-C89</f>
        <v>18</v>
      </c>
      <c r="D90" s="23">
        <f>D86-D87-D88-D89</f>
        <v>18</v>
      </c>
    </row>
    <row r="91" spans="1:4" ht="12.75">
      <c r="A91" s="3" t="s">
        <v>804</v>
      </c>
      <c r="B91" s="23">
        <f>B77</f>
        <v>1.9</v>
      </c>
      <c r="C91" s="23">
        <f>C77</f>
        <v>1.5</v>
      </c>
      <c r="D91" s="23">
        <f>D77</f>
        <v>1.1</v>
      </c>
    </row>
    <row r="92" spans="1:4" ht="12.75">
      <c r="A92" s="2" t="s">
        <v>805</v>
      </c>
      <c r="B92" s="23">
        <f>B90-B91</f>
        <v>14.1</v>
      </c>
      <c r="C92" s="23">
        <f>C90-C91</f>
        <v>16.5</v>
      </c>
      <c r="D92" s="23">
        <f>D90-D91</f>
        <v>16.9</v>
      </c>
    </row>
    <row r="93" spans="1:4" ht="12.75">
      <c r="A93" s="3" t="s">
        <v>770</v>
      </c>
      <c r="B93" s="23">
        <v>0</v>
      </c>
      <c r="C93" s="23">
        <v>0</v>
      </c>
      <c r="D93" s="23">
        <v>0</v>
      </c>
    </row>
    <row r="94" spans="1:4" ht="12.75">
      <c r="A94" s="2" t="s">
        <v>806</v>
      </c>
      <c r="B94" s="23">
        <f>B92-B93</f>
        <v>14.1</v>
      </c>
      <c r="C94" s="23">
        <f>C92-C93</f>
        <v>16.5</v>
      </c>
      <c r="D94" s="23">
        <f>D92-D93</f>
        <v>16.9</v>
      </c>
    </row>
    <row r="95" ht="12.75">
      <c r="A95" s="3"/>
    </row>
    <row r="96" ht="12.75">
      <c r="A96" s="3"/>
    </row>
  </sheetData>
  <printOptions/>
  <pageMargins left="0.7874015748031497" right="0.7874015748031497" top="0.984251968503937" bottom="0.984251968503937" header="0.5118110236220472" footer="0.5118110236220472"/>
  <pageSetup fitToHeight="1" fitToWidth="1" horizontalDpi="200" verticalDpi="200" orientation="landscape" paperSize="9" scale="38" r:id="rId1"/>
  <headerFooter alignWithMargins="0">
    <oddFooter>&amp;L&amp;"Verdana,Italique"&amp;9&amp;F - &amp;A&amp;C&amp;P / &amp;N&amp;R&amp;"Verdana,Italique"&amp;9&amp;D - &amp;T</oddFooter>
  </headerFooter>
</worksheet>
</file>

<file path=xl/worksheets/sheet20.xml><?xml version="1.0" encoding="utf-8"?>
<worksheet xmlns="http://schemas.openxmlformats.org/spreadsheetml/2006/main" xmlns:r="http://schemas.openxmlformats.org/officeDocument/2006/relationships">
  <sheetPr codeName="Feuil20">
    <pageSetUpPr fitToPage="1"/>
  </sheetPr>
  <dimension ref="A1:F38"/>
  <sheetViews>
    <sheetView showGridLines="0" zoomScale="75" zoomScaleNormal="75" workbookViewId="0" topLeftCell="A1">
      <selection activeCell="A1" sqref="A1"/>
    </sheetView>
  </sheetViews>
  <sheetFormatPr defaultColWidth="11.00390625" defaultRowHeight="12.75"/>
  <cols>
    <col min="1" max="1" width="19.375" style="0" bestFit="1" customWidth="1"/>
  </cols>
  <sheetData>
    <row r="1" ht="14.25">
      <c r="A1" s="20" t="s">
        <v>968</v>
      </c>
    </row>
    <row r="2" spans="1:2" ht="12.75">
      <c r="A2" t="s">
        <v>1143</v>
      </c>
      <c r="B2">
        <v>0.7</v>
      </c>
    </row>
    <row r="3" spans="1:2" ht="12.75">
      <c r="A3" t="s">
        <v>1144</v>
      </c>
      <c r="B3">
        <v>1.1</v>
      </c>
    </row>
    <row r="4" spans="1:2" ht="12.75">
      <c r="A4" t="s">
        <v>1145</v>
      </c>
      <c r="B4" s="99">
        <v>0.1</v>
      </c>
    </row>
    <row r="5" spans="1:2" ht="12.75">
      <c r="A5" t="s">
        <v>195</v>
      </c>
      <c r="B5" s="99">
        <v>0.05</v>
      </c>
    </row>
    <row r="7" spans="1:2" ht="12.75">
      <c r="A7" t="s">
        <v>1146</v>
      </c>
      <c r="B7" s="79">
        <f>B5+B2*(B4-B5)/B3</f>
        <v>0.08181818181818182</v>
      </c>
    </row>
    <row r="9" ht="14.25">
      <c r="A9" s="41" t="s">
        <v>970</v>
      </c>
    </row>
    <row r="10" spans="1:2" ht="12.75">
      <c r="A10" t="s">
        <v>195</v>
      </c>
      <c r="B10" s="95">
        <v>0.055</v>
      </c>
    </row>
    <row r="11" spans="1:2" ht="12.75">
      <c r="A11" t="s">
        <v>198</v>
      </c>
      <c r="B11" s="47">
        <v>0.04</v>
      </c>
    </row>
    <row r="13" spans="1:6" ht="12.75">
      <c r="A13" s="33" t="s">
        <v>196</v>
      </c>
      <c r="B13" s="73" t="s">
        <v>1229</v>
      </c>
      <c r="C13" s="33" t="s">
        <v>1230</v>
      </c>
      <c r="D13" s="33" t="s">
        <v>1231</v>
      </c>
      <c r="E13" s="33" t="s">
        <v>1232</v>
      </c>
      <c r="F13" s="33" t="s">
        <v>1233</v>
      </c>
    </row>
    <row r="14" spans="1:6" ht="12.75">
      <c r="A14" t="s">
        <v>191</v>
      </c>
      <c r="B14" s="132">
        <v>0.34</v>
      </c>
      <c r="C14" s="121">
        <v>0.77</v>
      </c>
      <c r="D14" s="121">
        <v>0.93</v>
      </c>
      <c r="E14" s="121">
        <v>1.47</v>
      </c>
      <c r="F14" s="121">
        <v>2.1</v>
      </c>
    </row>
    <row r="15" spans="1:6" ht="12.75">
      <c r="A15" t="s">
        <v>197</v>
      </c>
      <c r="B15" s="133">
        <v>0.09</v>
      </c>
      <c r="C15" s="99">
        <v>0.082</v>
      </c>
      <c r="D15" s="99">
        <v>0.08</v>
      </c>
      <c r="E15" s="99">
        <v>0.1</v>
      </c>
      <c r="F15" s="99">
        <v>0.18</v>
      </c>
    </row>
    <row r="16" spans="1:6" ht="12.75">
      <c r="A16" t="s">
        <v>199</v>
      </c>
      <c r="B16" s="134" t="str">
        <f>IF($B10+B14*$B11&gt;B15,"sur-é",IF($B10+B14*$B11=B15,"Ok !!","sous-é"))</f>
        <v>sous-é</v>
      </c>
      <c r="C16" s="118" t="str">
        <f>IF($B10+C14*$B11&gt;C15,"sur-é",IF($B10+C14*$B11=C15,"Ok !!","sous-é"))</f>
        <v>sur-é</v>
      </c>
      <c r="D16" s="118" t="str">
        <f>IF($B10+D14*$B11&gt;D15,"sur-é",IF($B10+D14*$B11=D15,"Ok !!","sous-é"))</f>
        <v>sur-é</v>
      </c>
      <c r="E16" s="118" t="str">
        <f>IF($B10+E14*$B11&gt;E15,"sur-é",IF($B10+E14*$B11=E15,"Ok !!","sous-é"))</f>
        <v>sur-é</v>
      </c>
      <c r="F16" s="118" t="str">
        <f>IF($B10+F14*$B11&gt;F15,"sur-é",IF($B10+F14*$B11=F15,"Ok !!","sous-é"))</f>
        <v>sous-é</v>
      </c>
    </row>
    <row r="18" ht="14.25">
      <c r="A18" s="41" t="s">
        <v>1337</v>
      </c>
    </row>
    <row r="19" spans="1:3" ht="12.75">
      <c r="A19" t="s">
        <v>1147</v>
      </c>
      <c r="B19" s="87">
        <v>40</v>
      </c>
      <c r="C19" t="s">
        <v>200</v>
      </c>
    </row>
    <row r="20" spans="1:2" ht="12.75">
      <c r="A20" t="s">
        <v>201</v>
      </c>
      <c r="B20">
        <v>2.7</v>
      </c>
    </row>
    <row r="21" spans="1:2" ht="12.75">
      <c r="A21" t="s">
        <v>209</v>
      </c>
      <c r="B21" s="47">
        <v>0.09</v>
      </c>
    </row>
    <row r="22" spans="1:2" ht="12.75">
      <c r="A22" t="s">
        <v>195</v>
      </c>
      <c r="B22" s="47">
        <v>0.05</v>
      </c>
    </row>
    <row r="24" spans="1:2" ht="12.75">
      <c r="A24" t="s">
        <v>203</v>
      </c>
      <c r="B24" s="47">
        <f>B22+(B21-B22)*B20</f>
        <v>0.15799999999999997</v>
      </c>
    </row>
    <row r="25" spans="1:3" ht="12.75">
      <c r="A25" t="s">
        <v>202</v>
      </c>
      <c r="B25" s="87">
        <f>B19/(1+B24)</f>
        <v>34.54231433506045</v>
      </c>
      <c r="C25" t="s">
        <v>200</v>
      </c>
    </row>
    <row r="27" ht="14.25">
      <c r="A27" s="41" t="s">
        <v>1301</v>
      </c>
    </row>
    <row r="28" spans="1:2" ht="12.75">
      <c r="A28" t="s">
        <v>191</v>
      </c>
      <c r="B28">
        <v>1.2</v>
      </c>
    </row>
    <row r="29" spans="1:2" ht="12.75">
      <c r="A29" t="s">
        <v>195</v>
      </c>
      <c r="B29" s="95">
        <v>0.056</v>
      </c>
    </row>
    <row r="30" spans="1:2" ht="12.75">
      <c r="A30" t="s">
        <v>198</v>
      </c>
      <c r="B30" s="47">
        <v>0.03</v>
      </c>
    </row>
    <row r="32" spans="1:3" ht="12.75">
      <c r="A32" t="s">
        <v>204</v>
      </c>
      <c r="B32">
        <v>-0.4</v>
      </c>
      <c r="C32">
        <v>0</v>
      </c>
    </row>
    <row r="33" spans="1:3" ht="12.75">
      <c r="A33" t="s">
        <v>205</v>
      </c>
      <c r="B33" s="95">
        <f>$B29+B32*2%+B38*5%</f>
        <v>0.092</v>
      </c>
      <c r="C33" s="95">
        <f>$B29+C32*2%+C38*5%</f>
        <v>0.092</v>
      </c>
    </row>
    <row r="35" spans="1:3" ht="12.75">
      <c r="A35" t="s">
        <v>208</v>
      </c>
      <c r="B35" s="95">
        <f>$B29+$B30*$B28</f>
        <v>0.092</v>
      </c>
      <c r="C35" s="95">
        <f>$B29+$B30*$B28</f>
        <v>0.092</v>
      </c>
    </row>
    <row r="36" spans="1:3" ht="12.75">
      <c r="A36" t="s">
        <v>207</v>
      </c>
      <c r="B36" s="95">
        <f>B33-B35</f>
        <v>0</v>
      </c>
      <c r="C36" s="95">
        <f>C33-C35</f>
        <v>0</v>
      </c>
    </row>
    <row r="38" spans="1:3" ht="12.75">
      <c r="A38" s="1" t="s">
        <v>206</v>
      </c>
      <c r="B38" s="1">
        <v>0.88</v>
      </c>
      <c r="C38" s="1">
        <v>0.72</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1.xml><?xml version="1.0" encoding="utf-8"?>
<worksheet xmlns="http://schemas.openxmlformats.org/spreadsheetml/2006/main" xmlns:r="http://schemas.openxmlformats.org/officeDocument/2006/relationships">
  <sheetPr codeName="Feuil21"/>
  <dimension ref="A1:F8"/>
  <sheetViews>
    <sheetView showGridLines="0" zoomScale="75" zoomScaleNormal="75" workbookViewId="0" topLeftCell="A1">
      <selection activeCell="A1" sqref="A1"/>
    </sheetView>
  </sheetViews>
  <sheetFormatPr defaultColWidth="11.00390625" defaultRowHeight="12.75"/>
  <cols>
    <col min="2" max="2" width="15.25390625" style="0" customWidth="1"/>
    <col min="3" max="3" width="14.50390625" style="0" customWidth="1"/>
    <col min="6" max="6" width="17.25390625" style="0" customWidth="1"/>
  </cols>
  <sheetData>
    <row r="1" ht="14.25">
      <c r="A1" s="41" t="s">
        <v>1021</v>
      </c>
    </row>
    <row r="3" spans="1:6" ht="12.75">
      <c r="A3" s="142" t="s">
        <v>1234</v>
      </c>
      <c r="B3" s="142" t="s">
        <v>1235</v>
      </c>
      <c r="C3" s="142" t="s">
        <v>1236</v>
      </c>
      <c r="D3" s="142" t="s">
        <v>1259</v>
      </c>
      <c r="E3" s="142" t="s">
        <v>670</v>
      </c>
      <c r="F3" s="142" t="s">
        <v>1260</v>
      </c>
    </row>
    <row r="4" spans="1:6" ht="12.75">
      <c r="A4" s="118">
        <v>1</v>
      </c>
      <c r="B4" s="118">
        <v>1</v>
      </c>
      <c r="C4" s="291">
        <v>0.07</v>
      </c>
      <c r="D4" s="292">
        <v>0.08081338482846598</v>
      </c>
      <c r="E4" s="293">
        <f>100*C4*((1-1/POWER((1+D4),B4))/D4)+100/POWER((1+D4),B4)</f>
        <v>98.999514164031</v>
      </c>
      <c r="F4" s="292">
        <f>D4</f>
        <v>0.08081338482846598</v>
      </c>
    </row>
    <row r="5" spans="1:6" ht="12.75">
      <c r="A5" s="118">
        <v>2</v>
      </c>
      <c r="B5" s="118">
        <v>2</v>
      </c>
      <c r="C5" s="291">
        <v>0.09</v>
      </c>
      <c r="D5" s="292">
        <v>0.09572890287847158</v>
      </c>
      <c r="E5" s="293">
        <f>100*C5*((1-1/POWER((1+D5),B5))/D5)+100/POWER((1+D5),B5)</f>
        <v>98.99999924554395</v>
      </c>
      <c r="F5" s="376">
        <f>(SQRT((100+C5*100)/(E5-(100*C5/(1+F4))))-1)</f>
        <v>0.09641358153678747</v>
      </c>
    </row>
    <row r="6" spans="1:6" ht="12.75">
      <c r="A6" s="118">
        <v>3</v>
      </c>
      <c r="B6" s="118">
        <v>3</v>
      </c>
      <c r="C6" s="291">
        <v>0.08</v>
      </c>
      <c r="D6" s="292">
        <v>0.10011081197224735</v>
      </c>
      <c r="E6" s="293">
        <f>100*C6*((1-1/POWER((1+D6),B6))/D6)+100/POWER((1+D6),B6)</f>
        <v>94.99971423093025</v>
      </c>
      <c r="F6" s="292">
        <f>POWER((100*C6+100)/(E6-(100*C6/(1+F4))-(100*C6/(1+F5)/(1+F5))),1/3)-1</f>
        <v>0.10090077218810833</v>
      </c>
    </row>
    <row r="7" spans="1:6" ht="12.75">
      <c r="A7" s="118">
        <v>4</v>
      </c>
      <c r="B7" s="118">
        <v>4</v>
      </c>
      <c r="C7" s="291">
        <v>0.07</v>
      </c>
      <c r="D7" s="292">
        <v>0.10508453890480668</v>
      </c>
      <c r="E7" s="293">
        <f>100*C7*((1-1/POWER((1+D7),B7))/D7)+100/POWER((1+D7),B7)</f>
        <v>88.99998485801227</v>
      </c>
      <c r="F7" s="292">
        <f>POWER((100*C7+100)/(E7-(100*C7/(1+F4))-(100*C7/(1+F5)/(1+F5))-100*C7/(1+F6)/(1+F6)/(1+F6)),1/4)-1</f>
        <v>0.1062142318701591</v>
      </c>
    </row>
    <row r="8" spans="1:6" ht="12.75">
      <c r="A8" s="118">
        <v>5</v>
      </c>
      <c r="B8" s="118">
        <v>5</v>
      </c>
      <c r="C8" s="291">
        <v>0.1</v>
      </c>
      <c r="D8" s="292">
        <v>0.10807789243563648</v>
      </c>
      <c r="E8" s="293">
        <f>100*C8*((1-1/POWER((1+D8),B8))/D8)+100/POWER((1+D8),B8)</f>
        <v>97.00000234696454</v>
      </c>
      <c r="F8" s="292">
        <f>POWER((100*C8+100)/(E8-(100*C8/(1+F4))-(100*C8/(1+F5)/(1+F5))-100*C8/(1+F6)/(1+F6)/(1+F6)-100*C8/(1+F7)/(1+F7)/(1+F7)/(1+F7)),1/5)-1</f>
        <v>0.11007898885350897</v>
      </c>
    </row>
  </sheetData>
  <printOptions/>
  <pageMargins left="0.75" right="0.75" top="1" bottom="1"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J75"/>
  <sheetViews>
    <sheetView showGridLines="0" zoomScale="74" zoomScaleNormal="74" workbookViewId="0" topLeftCell="A1">
      <selection activeCell="A1" sqref="A1"/>
    </sheetView>
  </sheetViews>
  <sheetFormatPr defaultColWidth="11.00390625" defaultRowHeight="12.75"/>
  <cols>
    <col min="1" max="1" width="16.875" style="0" customWidth="1"/>
    <col min="2" max="2" width="11.75390625" style="0" bestFit="1" customWidth="1"/>
  </cols>
  <sheetData>
    <row r="1" ht="14.25">
      <c r="A1" s="41" t="s">
        <v>266</v>
      </c>
    </row>
    <row r="2" ht="14.25">
      <c r="A2" s="41"/>
    </row>
    <row r="3" spans="1:3" ht="12.75">
      <c r="A3" t="s">
        <v>223</v>
      </c>
      <c r="B3">
        <v>1250</v>
      </c>
      <c r="C3" t="s">
        <v>224</v>
      </c>
    </row>
    <row r="4" spans="1:2" ht="12.75">
      <c r="A4" t="s">
        <v>225</v>
      </c>
      <c r="B4" s="146">
        <v>0.99731</v>
      </c>
    </row>
    <row r="5" spans="1:2" ht="12.75">
      <c r="A5" t="s">
        <v>226</v>
      </c>
      <c r="B5" s="147">
        <v>38403</v>
      </c>
    </row>
    <row r="6" spans="1:2" ht="12.75">
      <c r="A6" t="s">
        <v>227</v>
      </c>
      <c r="B6" s="147">
        <v>38403</v>
      </c>
    </row>
    <row r="7" spans="1:3" ht="12.75">
      <c r="A7" t="s">
        <v>49</v>
      </c>
      <c r="B7">
        <v>7</v>
      </c>
      <c r="C7" t="s">
        <v>228</v>
      </c>
    </row>
    <row r="8" spans="1:2" ht="12.75">
      <c r="A8" t="s">
        <v>229</v>
      </c>
      <c r="B8" s="99">
        <v>0.055</v>
      </c>
    </row>
    <row r="10" ht="12.75">
      <c r="A10" t="s">
        <v>230</v>
      </c>
    </row>
    <row r="11" spans="1:9" ht="12.75">
      <c r="A11" t="s">
        <v>98</v>
      </c>
      <c r="B11">
        <v>0</v>
      </c>
      <c r="C11">
        <v>1</v>
      </c>
      <c r="D11">
        <v>2</v>
      </c>
      <c r="E11">
        <v>3</v>
      </c>
      <c r="F11">
        <v>4</v>
      </c>
      <c r="G11">
        <v>5</v>
      </c>
      <c r="H11">
        <v>6</v>
      </c>
      <c r="I11">
        <v>7</v>
      </c>
    </row>
    <row r="12" spans="1:9" ht="12.75">
      <c r="A12" t="s">
        <v>92</v>
      </c>
      <c r="B12" s="146">
        <f>-B4</f>
        <v>-0.99731</v>
      </c>
      <c r="C12" s="146">
        <f aca="true" t="shared" si="0" ref="C12:H12">$B8</f>
        <v>0.055</v>
      </c>
      <c r="D12" s="146">
        <f t="shared" si="0"/>
        <v>0.055</v>
      </c>
      <c r="E12" s="146">
        <f t="shared" si="0"/>
        <v>0.055</v>
      </c>
      <c r="F12" s="146">
        <f t="shared" si="0"/>
        <v>0.055</v>
      </c>
      <c r="G12" s="146">
        <f t="shared" si="0"/>
        <v>0.055</v>
      </c>
      <c r="H12" s="146">
        <f t="shared" si="0"/>
        <v>0.055</v>
      </c>
      <c r="I12" s="146">
        <f>1+H12</f>
        <v>1.055</v>
      </c>
    </row>
    <row r="13" spans="1:9" ht="12.75">
      <c r="A13" t="s">
        <v>231</v>
      </c>
      <c r="B13" s="304">
        <f aca="true" t="shared" si="1" ref="B13:I13">B12/POWER(1+$B14,B11)</f>
        <v>-0.99731</v>
      </c>
      <c r="C13" s="304">
        <f t="shared" si="1"/>
        <v>0.05210948676892759</v>
      </c>
      <c r="D13" s="304">
        <f t="shared" si="1"/>
        <v>0.04937088384220072</v>
      </c>
      <c r="E13" s="304">
        <f t="shared" si="1"/>
        <v>0.04677620760628035</v>
      </c>
      <c r="F13" s="304">
        <f t="shared" si="1"/>
        <v>0.04431789402472867</v>
      </c>
      <c r="G13" s="304">
        <f t="shared" si="1"/>
        <v>0.041988776587424254</v>
      </c>
      <c r="H13" s="304">
        <f t="shared" si="1"/>
        <v>0.03978206541865165</v>
      </c>
      <c r="I13" s="304">
        <f t="shared" si="1"/>
        <v>0.7229881908133556</v>
      </c>
    </row>
    <row r="14" spans="1:2" ht="25.5">
      <c r="A14" s="2" t="s">
        <v>232</v>
      </c>
      <c r="B14" s="148">
        <v>0.05547</v>
      </c>
    </row>
    <row r="15" spans="1:2" ht="12.75">
      <c r="A15" s="15" t="s">
        <v>235</v>
      </c>
      <c r="B15" s="149">
        <f>SUM(C13:I13)</f>
        <v>0.9973335050615688</v>
      </c>
    </row>
    <row r="16" spans="1:2" ht="12.75">
      <c r="A16" t="s">
        <v>93</v>
      </c>
      <c r="B16" s="47">
        <f>SUM(B13:I13)</f>
        <v>2.3505061568784846E-05</v>
      </c>
    </row>
    <row r="18" spans="2:9" ht="12.75">
      <c r="B18" s="6">
        <f aca="true" t="shared" si="2" ref="B18:I18">B11*B12/POWER(1+$B14,B11+1)</f>
        <v>0</v>
      </c>
      <c r="C18" s="6">
        <f t="shared" si="2"/>
        <v>0.04937088384220072</v>
      </c>
      <c r="D18" s="6">
        <f t="shared" si="2"/>
        <v>0.0935524152125607</v>
      </c>
      <c r="E18" s="6">
        <f t="shared" si="2"/>
        <v>0.132953682074186</v>
      </c>
      <c r="F18" s="6">
        <f t="shared" si="2"/>
        <v>0.16795510634969701</v>
      </c>
      <c r="G18" s="6">
        <f t="shared" si="2"/>
        <v>0.1989103270932583</v>
      </c>
      <c r="H18" s="6">
        <f t="shared" si="2"/>
        <v>0.22614796489896435</v>
      </c>
      <c r="I18" s="6">
        <f t="shared" si="2"/>
        <v>4.79494190805375</v>
      </c>
    </row>
    <row r="19" spans="1:2" ht="12.75">
      <c r="A19" s="1" t="s">
        <v>233</v>
      </c>
      <c r="B19" s="157">
        <f>SUM(B18:I18)/B15</f>
        <v>5.678975246274283</v>
      </c>
    </row>
    <row r="20" spans="1:2" ht="12.75">
      <c r="A20" s="1"/>
      <c r="B20" s="1"/>
    </row>
    <row r="21" spans="1:9" ht="12.75">
      <c r="A21" s="1"/>
      <c r="B21" s="198">
        <f aca="true" t="shared" si="3" ref="B21:I21">B11*B12/POWER(1+$B14,B11)</f>
        <v>0</v>
      </c>
      <c r="C21" s="198">
        <f t="shared" si="3"/>
        <v>0.05210948676892759</v>
      </c>
      <c r="D21" s="198">
        <f t="shared" si="3"/>
        <v>0.09874176768440145</v>
      </c>
      <c r="E21" s="198">
        <f t="shared" si="3"/>
        <v>0.14032862281884106</v>
      </c>
      <c r="F21" s="198">
        <f t="shared" si="3"/>
        <v>0.17727157609891467</v>
      </c>
      <c r="G21" s="198">
        <f t="shared" si="3"/>
        <v>0.2099438829371213</v>
      </c>
      <c r="H21" s="198">
        <f t="shared" si="3"/>
        <v>0.23869239251190993</v>
      </c>
      <c r="I21" s="198">
        <f t="shared" si="3"/>
        <v>5.06091733569349</v>
      </c>
    </row>
    <row r="22" spans="1:2" ht="12.75">
      <c r="A22" s="1" t="s">
        <v>234</v>
      </c>
      <c r="B22" s="140">
        <f>SUM(B21:I21)/B15</f>
        <v>5.993988003185116</v>
      </c>
    </row>
    <row r="23" ht="12.75">
      <c r="B23" s="140">
        <f>B19*(1+B14)</f>
        <v>5.993988003185117</v>
      </c>
    </row>
    <row r="25" ht="12.75">
      <c r="A25" s="131" t="s">
        <v>267</v>
      </c>
    </row>
    <row r="26" spans="1:9" ht="12.75">
      <c r="A26" t="s">
        <v>231</v>
      </c>
      <c r="B26" s="304"/>
      <c r="C26" s="304"/>
      <c r="D26" s="304">
        <f aca="true" t="shared" si="4" ref="D26:I26">D12/POWER(1+$B27,D11-1)</f>
        <v>0.05238095238095238</v>
      </c>
      <c r="E26" s="304">
        <f t="shared" si="4"/>
        <v>0.04988662131519274</v>
      </c>
      <c r="F26" s="304">
        <f t="shared" si="4"/>
        <v>0.04751106791923118</v>
      </c>
      <c r="G26" s="304">
        <f t="shared" si="4"/>
        <v>0.04524863611355351</v>
      </c>
      <c r="H26" s="304">
        <f t="shared" si="4"/>
        <v>0.043093939155765246</v>
      </c>
      <c r="I26" s="304">
        <f t="shared" si="4"/>
        <v>0.7872572434516422</v>
      </c>
    </row>
    <row r="27" spans="1:2" ht="12.75">
      <c r="A27" s="15" t="s">
        <v>236</v>
      </c>
      <c r="B27" s="222">
        <v>0.05</v>
      </c>
    </row>
    <row r="28" spans="1:2" ht="12.75">
      <c r="A28" s="2" t="s">
        <v>235</v>
      </c>
      <c r="B28" s="130">
        <f>SUM(C26:I26)</f>
        <v>1.0253784603363372</v>
      </c>
    </row>
    <row r="30" spans="3:9" ht="12.75">
      <c r="C30">
        <f aca="true" t="shared" si="5" ref="C30:I30">(C11-1)*C12/POWER(1+$B27,C11)</f>
        <v>0</v>
      </c>
      <c r="D30">
        <f t="shared" si="5"/>
        <v>0.04988662131519274</v>
      </c>
      <c r="E30">
        <f t="shared" si="5"/>
        <v>0.09502213583846236</v>
      </c>
      <c r="F30">
        <f t="shared" si="5"/>
        <v>0.13574590834066053</v>
      </c>
      <c r="G30">
        <f t="shared" si="5"/>
        <v>0.17237575662306098</v>
      </c>
      <c r="H30">
        <f t="shared" si="5"/>
        <v>0.20520923407507263</v>
      </c>
      <c r="I30">
        <f t="shared" si="5"/>
        <v>4.498612819723669</v>
      </c>
    </row>
    <row r="31" spans="1:2" ht="12.75">
      <c r="A31" s="1" t="s">
        <v>233</v>
      </c>
      <c r="B31" s="151">
        <f>SUM(B30:I30)/B28</f>
        <v>5.029218649887189</v>
      </c>
    </row>
    <row r="33" spans="1:9" ht="12.75">
      <c r="A33" s="1"/>
      <c r="B33" s="78"/>
      <c r="C33" s="78">
        <f aca="true" t="shared" si="6" ref="C33:I33">(C11-1)*C12/POWER(1+$B27,C11-1)</f>
        <v>0</v>
      </c>
      <c r="D33" s="78">
        <f t="shared" si="6"/>
        <v>0.05238095238095238</v>
      </c>
      <c r="E33" s="78">
        <f t="shared" si="6"/>
        <v>0.09977324263038548</v>
      </c>
      <c r="F33" s="78">
        <f t="shared" si="6"/>
        <v>0.14253320375769354</v>
      </c>
      <c r="G33" s="78">
        <f t="shared" si="6"/>
        <v>0.18099454445421403</v>
      </c>
      <c r="H33" s="78">
        <f t="shared" si="6"/>
        <v>0.21546969577882624</v>
      </c>
      <c r="I33" s="78">
        <f t="shared" si="6"/>
        <v>4.723543460709853</v>
      </c>
    </row>
    <row r="34" spans="1:2" ht="12.75">
      <c r="A34" s="1" t="s">
        <v>234</v>
      </c>
      <c r="B34" s="157">
        <f>SUM(B33:I33)/B28</f>
        <v>5.280679582381548</v>
      </c>
    </row>
    <row r="35" ht="12.75">
      <c r="B35" s="151">
        <f>B31*(1+B27)</f>
        <v>5.280679582381548</v>
      </c>
    </row>
    <row r="37" ht="14.25">
      <c r="A37" s="41" t="s">
        <v>238</v>
      </c>
    </row>
    <row r="38" spans="1:3" ht="12.75">
      <c r="A38" t="s">
        <v>239</v>
      </c>
      <c r="B38">
        <v>10</v>
      </c>
      <c r="C38" t="s">
        <v>228</v>
      </c>
    </row>
    <row r="39" spans="1:2" ht="12.75">
      <c r="A39" t="s">
        <v>46</v>
      </c>
      <c r="B39" s="47">
        <v>0.08</v>
      </c>
    </row>
    <row r="40" ht="12.75">
      <c r="B40" s="47"/>
    </row>
    <row r="41" spans="1:6" ht="12.75">
      <c r="A41" t="s">
        <v>1194</v>
      </c>
      <c r="F41" s="308"/>
    </row>
    <row r="42" spans="1:10" ht="12.75">
      <c r="A42" t="s">
        <v>240</v>
      </c>
      <c r="B42" s="95">
        <v>0.079</v>
      </c>
      <c r="C42" s="95">
        <v>0.08</v>
      </c>
      <c r="D42" s="95">
        <v>0.081</v>
      </c>
      <c r="E42" s="95">
        <v>0.082</v>
      </c>
      <c r="F42" s="309">
        <v>0.083</v>
      </c>
      <c r="G42" s="95">
        <v>0.084</v>
      </c>
      <c r="H42" s="95">
        <v>0.085</v>
      </c>
      <c r="I42" s="95">
        <v>0.086</v>
      </c>
      <c r="J42" s="95">
        <v>0.087</v>
      </c>
    </row>
    <row r="43" spans="2:10" ht="12.75">
      <c r="B43" s="95"/>
      <c r="C43" s="95"/>
      <c r="D43" s="95"/>
      <c r="E43" s="95"/>
      <c r="F43" s="309"/>
      <c r="G43" s="95"/>
      <c r="H43" s="95"/>
      <c r="I43" s="95"/>
      <c r="J43" s="95"/>
    </row>
    <row r="44" spans="1:10" ht="12.75">
      <c r="A44" t="s">
        <v>241</v>
      </c>
      <c r="B44" s="95">
        <f aca="true" t="shared" si="7" ref="B44:J44">$B39+1.5*(B42-8.3%)</f>
        <v>0.074</v>
      </c>
      <c r="C44" s="95">
        <f t="shared" si="7"/>
        <v>0.0755</v>
      </c>
      <c r="D44" s="95">
        <f t="shared" si="7"/>
        <v>0.077</v>
      </c>
      <c r="E44" s="95">
        <f t="shared" si="7"/>
        <v>0.0785</v>
      </c>
      <c r="F44" s="309">
        <f t="shared" si="7"/>
        <v>0.08</v>
      </c>
      <c r="G44" s="95">
        <f t="shared" si="7"/>
        <v>0.0815</v>
      </c>
      <c r="H44" s="95">
        <f t="shared" si="7"/>
        <v>0.083</v>
      </c>
      <c r="I44" s="95">
        <f t="shared" si="7"/>
        <v>0.08449999999999999</v>
      </c>
      <c r="J44" s="95">
        <f t="shared" si="7"/>
        <v>0.086</v>
      </c>
    </row>
    <row r="45" spans="1:10" ht="12.75">
      <c r="A45" t="s">
        <v>1395</v>
      </c>
      <c r="B45" s="311" t="s">
        <v>1403</v>
      </c>
      <c r="C45" s="311" t="s">
        <v>1402</v>
      </c>
      <c r="D45" s="311" t="s">
        <v>1401</v>
      </c>
      <c r="E45" s="311" t="s">
        <v>1397</v>
      </c>
      <c r="F45" s="308"/>
      <c r="G45" s="311" t="s">
        <v>1396</v>
      </c>
      <c r="H45" s="311" t="s">
        <v>1398</v>
      </c>
      <c r="I45" s="311" t="s">
        <v>1399</v>
      </c>
      <c r="J45" s="311" t="s">
        <v>1400</v>
      </c>
    </row>
    <row r="46" ht="12.75">
      <c r="F46" s="308"/>
    </row>
    <row r="47" spans="1:10" ht="12.75">
      <c r="A47" t="s">
        <v>242</v>
      </c>
      <c r="B47" s="305">
        <f aca="true" t="shared" si="8" ref="B47:J47">$B39-1.5*(B42-8.3%)</f>
        <v>0.08600000000000001</v>
      </c>
      <c r="C47" s="305">
        <f t="shared" si="8"/>
        <v>0.0845</v>
      </c>
      <c r="D47" s="305">
        <f t="shared" si="8"/>
        <v>0.083</v>
      </c>
      <c r="E47" s="305">
        <f t="shared" si="8"/>
        <v>0.0815</v>
      </c>
      <c r="F47" s="310">
        <f t="shared" si="8"/>
        <v>0.08</v>
      </c>
      <c r="G47" s="305">
        <f t="shared" si="8"/>
        <v>0.0785</v>
      </c>
      <c r="H47" s="305">
        <f t="shared" si="8"/>
        <v>0.077</v>
      </c>
      <c r="I47" s="305">
        <f t="shared" si="8"/>
        <v>0.07550000000000001</v>
      </c>
      <c r="J47" s="305">
        <f t="shared" si="8"/>
        <v>0.07400000000000001</v>
      </c>
    </row>
    <row r="48" spans="1:10" ht="12.75">
      <c r="A48" t="s">
        <v>1395</v>
      </c>
      <c r="B48" s="311" t="s">
        <v>1400</v>
      </c>
      <c r="C48" s="311" t="s">
        <v>1399</v>
      </c>
      <c r="D48" s="311" t="s">
        <v>1398</v>
      </c>
      <c r="E48" s="311" t="s">
        <v>1396</v>
      </c>
      <c r="F48" s="308"/>
      <c r="G48" s="311" t="s">
        <v>1397</v>
      </c>
      <c r="H48" s="311" t="s">
        <v>1401</v>
      </c>
      <c r="I48" s="311" t="s">
        <v>1402</v>
      </c>
      <c r="J48" s="311" t="s">
        <v>1403</v>
      </c>
    </row>
    <row r="50" ht="12.75">
      <c r="A50" t="s">
        <v>1195</v>
      </c>
    </row>
    <row r="51" ht="12.75">
      <c r="A51" t="s">
        <v>1404</v>
      </c>
    </row>
    <row r="53" ht="12.75">
      <c r="A53" t="s">
        <v>1405</v>
      </c>
    </row>
    <row r="54" ht="12.75">
      <c r="A54" t="s">
        <v>1406</v>
      </c>
    </row>
    <row r="56" ht="12.75">
      <c r="A56" t="s">
        <v>1407</v>
      </c>
    </row>
    <row r="57" ht="12.75">
      <c r="A57" t="s">
        <v>1408</v>
      </c>
    </row>
    <row r="59" ht="14.25">
      <c r="A59" s="41" t="s">
        <v>243</v>
      </c>
    </row>
    <row r="60" ht="14.25">
      <c r="A60" s="41"/>
    </row>
    <row r="61" spans="1:6" ht="38.25">
      <c r="A61" s="153" t="s">
        <v>244</v>
      </c>
      <c r="B61" s="153" t="s">
        <v>720</v>
      </c>
      <c r="C61" s="153" t="s">
        <v>245</v>
      </c>
      <c r="D61" s="153"/>
      <c r="E61" s="154" t="s">
        <v>246</v>
      </c>
      <c r="F61" s="154" t="s">
        <v>1394</v>
      </c>
    </row>
    <row r="62" spans="1:6" ht="12.75">
      <c r="A62" s="152">
        <v>37672</v>
      </c>
      <c r="B62" s="306">
        <v>1</v>
      </c>
      <c r="C62" s="6">
        <v>96.25</v>
      </c>
      <c r="D62" s="118" t="s">
        <v>247</v>
      </c>
      <c r="E62" s="307">
        <f aca="true" t="shared" si="9" ref="E62:E68">POWER(100/C62,1/B62)-1</f>
        <v>0.03896103896103886</v>
      </c>
      <c r="F62" s="155">
        <f aca="true" t="shared" si="10" ref="F62:F68">E62+B$70</f>
        <v>0.04476103896103886</v>
      </c>
    </row>
    <row r="63" spans="1:6" ht="12.75">
      <c r="A63" s="152">
        <f>A62+365</f>
        <v>38037</v>
      </c>
      <c r="B63" s="306">
        <f aca="true" t="shared" si="11" ref="B63:B68">B62+1</f>
        <v>2</v>
      </c>
      <c r="C63" s="6">
        <v>91.92</v>
      </c>
      <c r="D63" s="118" t="s">
        <v>248</v>
      </c>
      <c r="E63" s="307">
        <f t="shared" si="9"/>
        <v>0.04302565832958094</v>
      </c>
      <c r="F63" s="155">
        <f t="shared" si="10"/>
        <v>0.04882565832958094</v>
      </c>
    </row>
    <row r="64" spans="1:6" ht="12.75">
      <c r="A64" s="152">
        <f>A63+366</f>
        <v>38403</v>
      </c>
      <c r="B64" s="306">
        <f t="shared" si="11"/>
        <v>3</v>
      </c>
      <c r="C64" s="6">
        <v>87.38</v>
      </c>
      <c r="D64" s="118" t="s">
        <v>249</v>
      </c>
      <c r="E64" s="307">
        <f t="shared" si="9"/>
        <v>0.045994304732602354</v>
      </c>
      <c r="F64" s="155">
        <f t="shared" si="10"/>
        <v>0.05179430473260235</v>
      </c>
    </row>
    <row r="65" spans="1:6" ht="12.75">
      <c r="A65" s="152">
        <f>A64+365</f>
        <v>38768</v>
      </c>
      <c r="B65" s="306">
        <f t="shared" si="11"/>
        <v>4</v>
      </c>
      <c r="C65" s="6">
        <v>82.9</v>
      </c>
      <c r="D65" s="118" t="s">
        <v>250</v>
      </c>
      <c r="E65" s="307">
        <f t="shared" si="9"/>
        <v>0.048000204425897364</v>
      </c>
      <c r="F65" s="155">
        <f t="shared" si="10"/>
        <v>0.05380020442589736</v>
      </c>
    </row>
    <row r="66" spans="1:6" ht="12.75">
      <c r="A66" s="152">
        <f>A65+365</f>
        <v>39133</v>
      </c>
      <c r="B66" s="306">
        <f t="shared" si="11"/>
        <v>5</v>
      </c>
      <c r="C66" s="6">
        <v>78.35</v>
      </c>
      <c r="D66" s="118" t="s">
        <v>251</v>
      </c>
      <c r="E66" s="307">
        <f t="shared" si="9"/>
        <v>0.05000701325459089</v>
      </c>
      <c r="F66" s="155">
        <f t="shared" si="10"/>
        <v>0.05580701325459089</v>
      </c>
    </row>
    <row r="67" spans="1:6" ht="12.75">
      <c r="A67" s="152">
        <f>A66+365</f>
        <v>39498</v>
      </c>
      <c r="B67" s="306">
        <f t="shared" si="11"/>
        <v>6</v>
      </c>
      <c r="C67" s="6">
        <v>74.2</v>
      </c>
      <c r="D67" s="118" t="s">
        <v>252</v>
      </c>
      <c r="E67" s="307">
        <f t="shared" si="9"/>
        <v>0.05099185205701917</v>
      </c>
      <c r="F67" s="155">
        <f t="shared" si="10"/>
        <v>0.05679185205701917</v>
      </c>
    </row>
    <row r="68" spans="1:6" ht="12.75">
      <c r="A68" s="152">
        <f>A67+366</f>
        <v>39864</v>
      </c>
      <c r="B68" s="306">
        <f t="shared" si="11"/>
        <v>7</v>
      </c>
      <c r="C68">
        <v>70.13</v>
      </c>
      <c r="D68" s="118" t="s">
        <v>112</v>
      </c>
      <c r="E68" s="307">
        <f t="shared" si="9"/>
        <v>0.051995149273845964</v>
      </c>
      <c r="F68" s="155">
        <f t="shared" si="10"/>
        <v>0.057795149273845964</v>
      </c>
    </row>
    <row r="70" spans="1:2" ht="12.75">
      <c r="A70" t="s">
        <v>1391</v>
      </c>
      <c r="B70" s="95">
        <v>0.0058</v>
      </c>
    </row>
    <row r="71" ht="12.75">
      <c r="B71" s="95"/>
    </row>
    <row r="72" spans="1:9" ht="12.75">
      <c r="A72" t="s">
        <v>98</v>
      </c>
      <c r="B72">
        <f aca="true" t="shared" si="12" ref="B72:I72">B11</f>
        <v>0</v>
      </c>
      <c r="C72">
        <f t="shared" si="12"/>
        <v>1</v>
      </c>
      <c r="D72">
        <f t="shared" si="12"/>
        <v>2</v>
      </c>
      <c r="E72">
        <f t="shared" si="12"/>
        <v>3</v>
      </c>
      <c r="F72">
        <f t="shared" si="12"/>
        <v>4</v>
      </c>
      <c r="G72">
        <f t="shared" si="12"/>
        <v>5</v>
      </c>
      <c r="H72">
        <f t="shared" si="12"/>
        <v>6</v>
      </c>
      <c r="I72">
        <f t="shared" si="12"/>
        <v>7</v>
      </c>
    </row>
    <row r="73" spans="1:9" ht="12.75">
      <c r="A73" t="s">
        <v>1392</v>
      </c>
      <c r="B73" s="146"/>
      <c r="C73" s="146">
        <f aca="true" t="shared" si="13" ref="C73:I73">C12</f>
        <v>0.055</v>
      </c>
      <c r="D73" s="146">
        <f t="shared" si="13"/>
        <v>0.055</v>
      </c>
      <c r="E73" s="146">
        <f t="shared" si="13"/>
        <v>0.055</v>
      </c>
      <c r="F73" s="146">
        <f t="shared" si="13"/>
        <v>0.055</v>
      </c>
      <c r="G73" s="146">
        <f t="shared" si="13"/>
        <v>0.055</v>
      </c>
      <c r="H73" s="146">
        <f t="shared" si="13"/>
        <v>0.055</v>
      </c>
      <c r="I73" s="146">
        <f t="shared" si="13"/>
        <v>1.055</v>
      </c>
    </row>
    <row r="74" spans="1:9" ht="12.75">
      <c r="A74" t="s">
        <v>231</v>
      </c>
      <c r="B74" s="146"/>
      <c r="C74" s="146">
        <f aca="true" t="shared" si="14" ref="C74:I74">C73/POWER(1+VLOOKUP(C72,$B62:$E68,4,FALSE)+$B$70,C72)</f>
        <v>0.05264361700805255</v>
      </c>
      <c r="D74" s="146">
        <f t="shared" si="14"/>
        <v>0.04999839725271949</v>
      </c>
      <c r="E74" s="146">
        <f t="shared" si="14"/>
        <v>0.047268328481858024</v>
      </c>
      <c r="F74" s="146">
        <f t="shared" si="14"/>
        <v>0.04459945744774482</v>
      </c>
      <c r="G74" s="146">
        <f t="shared" si="14"/>
        <v>0.041921805336454294</v>
      </c>
      <c r="H74" s="146">
        <f t="shared" si="14"/>
        <v>0.03948443723182516</v>
      </c>
      <c r="I74" s="146">
        <f t="shared" si="14"/>
        <v>0.7119368318432253</v>
      </c>
    </row>
    <row r="75" spans="1:2" ht="12.75">
      <c r="A75" s="1" t="s">
        <v>1393</v>
      </c>
      <c r="B75" s="100">
        <f>SUM(B74:I74)</f>
        <v>0.9878528746018796</v>
      </c>
    </row>
  </sheetData>
  <printOptions/>
  <pageMargins left="0.7874015748031497" right="0.7874015748031497" top="0.984251968503937" bottom="0.984251968503937" header="0.5118110236220472" footer="0.5118110236220472"/>
  <pageSetup fitToHeight="3" fitToWidth="1" horizontalDpi="200" verticalDpi="200" orientation="landscape" paperSize="9" scale="98" r:id="rId2"/>
  <headerFooter alignWithMargins="0">
    <oddFooter>&amp;L&amp;"Verdana,Italique"&amp;9&amp;F - &amp;A&amp;C&amp;P / &amp;N&amp;R&amp;"Verdana,Italique"&amp;9&amp;D - &amp;T</oddFooter>
  </headerFooter>
  <drawing r:id="rId1"/>
</worksheet>
</file>

<file path=xl/worksheets/sheet23.xml><?xml version="1.0" encoding="utf-8"?>
<worksheet xmlns="http://schemas.openxmlformats.org/spreadsheetml/2006/main" xmlns:r="http://schemas.openxmlformats.org/officeDocument/2006/relationships">
  <sheetPr codeName="Feuil24">
    <pageSetUpPr fitToPage="1"/>
  </sheetPr>
  <dimension ref="A1:L57"/>
  <sheetViews>
    <sheetView showGridLines="0" zoomScale="75" zoomScaleNormal="75" workbookViewId="0" topLeftCell="A21">
      <selection activeCell="C43" sqref="C43"/>
    </sheetView>
  </sheetViews>
  <sheetFormatPr defaultColWidth="11.00390625" defaultRowHeight="12.75"/>
  <cols>
    <col min="1" max="1" width="18.75390625" style="0" bestFit="1" customWidth="1"/>
    <col min="2" max="2" width="16.75390625" style="0" bestFit="1" customWidth="1"/>
  </cols>
  <sheetData>
    <row r="1" ht="14.25">
      <c r="A1" s="41" t="s">
        <v>968</v>
      </c>
    </row>
    <row r="2" ht="14.25">
      <c r="A2" s="41"/>
    </row>
    <row r="3" spans="1:3" ht="12.75">
      <c r="A3" t="s">
        <v>256</v>
      </c>
      <c r="B3">
        <v>500</v>
      </c>
      <c r="C3" t="s">
        <v>200</v>
      </c>
    </row>
    <row r="4" spans="1:3" ht="12.75">
      <c r="A4" t="s">
        <v>257</v>
      </c>
      <c r="B4">
        <v>33.3</v>
      </c>
      <c r="C4" t="s">
        <v>200</v>
      </c>
    </row>
    <row r="5" spans="1:2" ht="12.75">
      <c r="A5" t="s">
        <v>258</v>
      </c>
      <c r="B5" s="47">
        <v>0.25</v>
      </c>
    </row>
    <row r="6" spans="1:2" ht="12.75">
      <c r="A6" t="s">
        <v>254</v>
      </c>
      <c r="B6" s="47">
        <v>0.15</v>
      </c>
    </row>
    <row r="8" spans="1:6" ht="12.75">
      <c r="A8" t="s">
        <v>98</v>
      </c>
      <c r="B8">
        <v>0</v>
      </c>
      <c r="C8">
        <v>1</v>
      </c>
      <c r="D8">
        <v>2</v>
      </c>
      <c r="E8">
        <v>3</v>
      </c>
      <c r="F8">
        <v>3</v>
      </c>
    </row>
    <row r="9" spans="1:6" ht="12.75">
      <c r="A9" t="s">
        <v>230</v>
      </c>
      <c r="B9" s="6">
        <f>-B3</f>
        <v>-500</v>
      </c>
      <c r="C9" s="6">
        <f>$B4*$B5*POWER(1+$B6,C8)</f>
        <v>9.573749999999999</v>
      </c>
      <c r="D9" s="6">
        <f>$B4*$B5*POWER(1+$B6,D8)</f>
        <v>11.009812499999997</v>
      </c>
      <c r="E9" s="6">
        <f>$B4*$B5*POWER(1+$B6,E8)</f>
        <v>12.661284374999996</v>
      </c>
      <c r="F9" s="6">
        <f>B14</f>
        <v>665.4624136250002</v>
      </c>
    </row>
    <row r="10" spans="1:2" ht="12.75">
      <c r="A10" t="s">
        <v>54</v>
      </c>
      <c r="B10" s="47">
        <v>0.12</v>
      </c>
    </row>
    <row r="11" spans="1:6" ht="12.75">
      <c r="A11" t="s">
        <v>231</v>
      </c>
      <c r="B11" s="6">
        <f>B9/POWER(1+$B10,B8)</f>
        <v>-500</v>
      </c>
      <c r="C11" s="6">
        <f>C9/POWER(1+$B10,C8)</f>
        <v>8.54799107142857</v>
      </c>
      <c r="D11" s="6">
        <f>D9/POWER(1+$B10,D8)</f>
        <v>8.77695511798469</v>
      </c>
      <c r="E11" s="6">
        <f>E9/POWER(1+$B10,E8)</f>
        <v>9.012052130073563</v>
      </c>
      <c r="F11" s="6">
        <f>F9/POWER(1+$B10,F8)</f>
        <v>473.66300168051316</v>
      </c>
    </row>
    <row r="12" spans="1:2" ht="12.75">
      <c r="A12" t="s">
        <v>93</v>
      </c>
      <c r="B12">
        <f>SUM(B11:F11)</f>
        <v>0</v>
      </c>
    </row>
    <row r="14" spans="1:2" ht="25.5">
      <c r="A14" s="3" t="s">
        <v>262</v>
      </c>
      <c r="B14" s="6">
        <v>665.4624136250002</v>
      </c>
    </row>
    <row r="15" spans="1:2" ht="25.5">
      <c r="A15" s="3" t="s">
        <v>261</v>
      </c>
      <c r="B15" s="6">
        <f>E9/B5</f>
        <v>50.64513749999998</v>
      </c>
    </row>
    <row r="16" spans="1:2" ht="12.75">
      <c r="A16" s="1" t="s">
        <v>260</v>
      </c>
      <c r="B16" s="157">
        <f>B14/B15</f>
        <v>13.139709880835063</v>
      </c>
    </row>
    <row r="18" ht="14.25">
      <c r="A18" s="41" t="s">
        <v>970</v>
      </c>
    </row>
    <row r="19" spans="1:7" ht="14.25">
      <c r="A19" s="20"/>
      <c r="C19" s="428" t="s">
        <v>257</v>
      </c>
      <c r="D19" s="429"/>
      <c r="E19" s="429"/>
      <c r="F19" s="49"/>
      <c r="G19" s="55"/>
    </row>
    <row r="20" spans="1:12" ht="21">
      <c r="A20" s="135" t="s">
        <v>289</v>
      </c>
      <c r="B20" s="136" t="s">
        <v>245</v>
      </c>
      <c r="C20" s="136">
        <v>2001</v>
      </c>
      <c r="D20" s="135">
        <f>C20+1</f>
        <v>2002</v>
      </c>
      <c r="E20" s="135">
        <f>D20+1</f>
        <v>2003</v>
      </c>
      <c r="F20" s="136" t="s">
        <v>1412</v>
      </c>
      <c r="G20" s="136" t="s">
        <v>1422</v>
      </c>
      <c r="H20" s="136" t="s">
        <v>258</v>
      </c>
      <c r="I20" s="136" t="s">
        <v>292</v>
      </c>
      <c r="J20" s="136" t="s">
        <v>293</v>
      </c>
      <c r="K20" s="136" t="s">
        <v>1411</v>
      </c>
      <c r="L20" s="136" t="s">
        <v>191</v>
      </c>
    </row>
    <row r="21" spans="1:12" ht="12.75">
      <c r="A21" t="s">
        <v>1409</v>
      </c>
      <c r="B21" s="191">
        <v>147</v>
      </c>
      <c r="C21" s="49">
        <v>5.52</v>
      </c>
      <c r="D21" s="55">
        <v>5.99</v>
      </c>
      <c r="E21" s="55">
        <v>6.39</v>
      </c>
      <c r="F21" s="161">
        <v>0.24</v>
      </c>
      <c r="G21" s="161">
        <f>E21/D21-1</f>
        <v>0.06677796327212016</v>
      </c>
      <c r="H21" s="161">
        <v>0.56</v>
      </c>
      <c r="I21" s="160">
        <f>H21*C21/B21</f>
        <v>0.02102857142857143</v>
      </c>
      <c r="J21" s="49">
        <v>57.4</v>
      </c>
      <c r="K21" s="49">
        <v>24.5</v>
      </c>
      <c r="L21" s="49">
        <v>0.5</v>
      </c>
    </row>
    <row r="22" spans="1:12" ht="12.75">
      <c r="A22" t="s">
        <v>290</v>
      </c>
      <c r="B22" s="191">
        <v>27.25</v>
      </c>
      <c r="C22" s="49">
        <v>0.81</v>
      </c>
      <c r="D22" s="55">
        <v>0.75</v>
      </c>
      <c r="E22" s="55">
        <v>0.95</v>
      </c>
      <c r="F22" s="161">
        <v>0.2</v>
      </c>
      <c r="G22" s="161">
        <f>E22/D22-1</f>
        <v>0.2666666666666666</v>
      </c>
      <c r="H22" s="161">
        <v>0.72</v>
      </c>
      <c r="I22" s="160">
        <f>H22*C22/B22</f>
        <v>0.021401834862385324</v>
      </c>
      <c r="J22" s="49">
        <v>2.5</v>
      </c>
      <c r="K22" s="49">
        <v>36.3</v>
      </c>
      <c r="L22" s="49">
        <v>1.5</v>
      </c>
    </row>
    <row r="23" spans="1:12" ht="12.75">
      <c r="A23" t="s">
        <v>1410</v>
      </c>
      <c r="B23" s="191">
        <v>16.79</v>
      </c>
      <c r="C23" s="49">
        <v>1.29</v>
      </c>
      <c r="D23" s="55">
        <v>0.34</v>
      </c>
      <c r="E23" s="55">
        <v>1.35</v>
      </c>
      <c r="F23" s="161">
        <v>0.32</v>
      </c>
      <c r="G23" s="161">
        <f>E23/D23-1</f>
        <v>2.9705882352941178</v>
      </c>
      <c r="H23" s="161">
        <v>0.39</v>
      </c>
      <c r="I23" s="160">
        <f>H23*C23/B23</f>
        <v>0.029964264443120905</v>
      </c>
      <c r="J23" s="49">
        <v>26.2</v>
      </c>
      <c r="K23" s="49">
        <v>49.4</v>
      </c>
      <c r="L23" s="49">
        <v>1</v>
      </c>
    </row>
    <row r="24" ht="12.75">
      <c r="B24" s="6"/>
    </row>
    <row r="25" ht="12.75">
      <c r="B25" s="6"/>
    </row>
    <row r="26" spans="1:2" ht="12.75">
      <c r="A26" t="s">
        <v>1413</v>
      </c>
      <c r="B26" s="99">
        <v>0.053</v>
      </c>
    </row>
    <row r="27" spans="1:2" ht="12.75">
      <c r="A27" t="s">
        <v>1414</v>
      </c>
      <c r="B27" s="99">
        <v>0.039</v>
      </c>
    </row>
    <row r="28" ht="12.75">
      <c r="B28" s="6"/>
    </row>
    <row r="29" spans="1:8" ht="14.25">
      <c r="A29" s="54"/>
      <c r="B29" s="142" t="s">
        <v>1425</v>
      </c>
      <c r="C29" s="142" t="s">
        <v>1417</v>
      </c>
      <c r="D29" s="142" t="s">
        <v>326</v>
      </c>
      <c r="E29" s="142" t="s">
        <v>271</v>
      </c>
      <c r="F29" s="142" t="s">
        <v>328</v>
      </c>
      <c r="G29" s="142" t="s">
        <v>1416</v>
      </c>
      <c r="H29" s="142" t="s">
        <v>1415</v>
      </c>
    </row>
    <row r="30" spans="1:8" ht="12.75">
      <c r="A30" s="67" t="str">
        <f>A21</f>
        <v>Danone</v>
      </c>
      <c r="B30" s="118" t="s">
        <v>1418</v>
      </c>
      <c r="C30" s="118" t="s">
        <v>1420</v>
      </c>
      <c r="D30" s="118" t="s">
        <v>1423</v>
      </c>
      <c r="E30" s="293">
        <f>B21/J21</f>
        <v>2.5609756097560976</v>
      </c>
      <c r="F30" s="118" t="s">
        <v>1396</v>
      </c>
      <c r="G30" s="312">
        <f>$B$26+L21*$B$27</f>
        <v>0.0725</v>
      </c>
      <c r="H30" s="313">
        <f>D21/J21</f>
        <v>0.10435540069686412</v>
      </c>
    </row>
    <row r="31" spans="1:8" ht="12.75">
      <c r="A31" s="67" t="str">
        <f>A22</f>
        <v>M6</v>
      </c>
      <c r="B31" s="118" t="s">
        <v>1419</v>
      </c>
      <c r="C31" s="118" t="s">
        <v>1426</v>
      </c>
      <c r="D31" s="118" t="s">
        <v>1419</v>
      </c>
      <c r="E31" s="293">
        <f>B22/J22</f>
        <v>10.9</v>
      </c>
      <c r="F31" s="311" t="s">
        <v>1398</v>
      </c>
      <c r="G31" s="312">
        <f>$B$26+L22*$B$27</f>
        <v>0.11149999999999999</v>
      </c>
      <c r="H31" s="313">
        <f>D22/J22</f>
        <v>0.3</v>
      </c>
    </row>
    <row r="32" spans="1:8" ht="12.75">
      <c r="A32" s="67" t="str">
        <f>A23</f>
        <v>Thyssen Krupp</v>
      </c>
      <c r="B32" s="118" t="s">
        <v>1424</v>
      </c>
      <c r="C32" s="118" t="s">
        <v>1427</v>
      </c>
      <c r="D32" s="118" t="s">
        <v>1428</v>
      </c>
      <c r="E32" s="293">
        <f>B23/J23</f>
        <v>0.6408396946564885</v>
      </c>
      <c r="F32" s="311" t="s">
        <v>1402</v>
      </c>
      <c r="G32" s="312">
        <f>$B$26+L23*$B$27</f>
        <v>0.092</v>
      </c>
      <c r="H32" s="313">
        <f>D23/J23</f>
        <v>0.012977099236641223</v>
      </c>
    </row>
    <row r="34" ht="14.25">
      <c r="A34" s="41" t="s">
        <v>1337</v>
      </c>
    </row>
    <row r="35" ht="14.25">
      <c r="A35" s="41"/>
    </row>
    <row r="36" spans="1:5" ht="12.75">
      <c r="A36" s="54" t="s">
        <v>196</v>
      </c>
      <c r="B36" s="142" t="s">
        <v>1201</v>
      </c>
      <c r="C36" s="142" t="s">
        <v>1202</v>
      </c>
      <c r="D36" s="142" t="s">
        <v>1203</v>
      </c>
      <c r="E36" s="142" t="s">
        <v>1204</v>
      </c>
    </row>
    <row r="37" spans="1:5" ht="12.75">
      <c r="A37" s="67" t="s">
        <v>259</v>
      </c>
      <c r="B37" s="118">
        <v>10</v>
      </c>
      <c r="C37" s="118">
        <v>25</v>
      </c>
      <c r="D37" s="118">
        <v>7</v>
      </c>
      <c r="E37" s="118">
        <v>50</v>
      </c>
    </row>
    <row r="38" spans="1:5" ht="12.75">
      <c r="A38" s="67" t="s">
        <v>258</v>
      </c>
      <c r="B38" s="291">
        <v>0.95</v>
      </c>
      <c r="C38" s="291">
        <v>0.2</v>
      </c>
      <c r="D38" s="291">
        <v>0.2</v>
      </c>
      <c r="E38" s="315" t="s">
        <v>1429</v>
      </c>
    </row>
    <row r="39" spans="1:5" ht="12.75">
      <c r="A39" s="67" t="s">
        <v>254</v>
      </c>
      <c r="B39" s="315" t="s">
        <v>1420</v>
      </c>
      <c r="C39" s="291">
        <v>0.3</v>
      </c>
      <c r="D39" s="291">
        <v>0.05</v>
      </c>
      <c r="E39" s="291">
        <v>0.3</v>
      </c>
    </row>
    <row r="40" spans="1:5" ht="12.75">
      <c r="A40" s="67" t="s">
        <v>263</v>
      </c>
      <c r="B40" s="316">
        <v>0.15</v>
      </c>
      <c r="C40" s="316">
        <v>0.2</v>
      </c>
      <c r="D40" s="316">
        <v>0.25</v>
      </c>
      <c r="E40" s="316">
        <v>8</v>
      </c>
    </row>
    <row r="41" spans="1:5" ht="14.25">
      <c r="A41" s="314" t="s">
        <v>1415</v>
      </c>
      <c r="B41" s="291">
        <v>0.1</v>
      </c>
      <c r="C41" s="291">
        <v>0.3</v>
      </c>
      <c r="D41" s="317">
        <f>D42/D37</f>
        <v>0.05714285714285715</v>
      </c>
      <c r="E41" s="291">
        <v>0.9</v>
      </c>
    </row>
    <row r="42" spans="1:5" ht="12.75">
      <c r="A42" s="67" t="s">
        <v>271</v>
      </c>
      <c r="B42" s="118">
        <v>1</v>
      </c>
      <c r="C42" s="315">
        <f>C37*C41</f>
        <v>7.5</v>
      </c>
      <c r="D42" s="118">
        <v>0.4</v>
      </c>
      <c r="E42" s="118">
        <v>45</v>
      </c>
    </row>
    <row r="44" spans="1:5" ht="12.75">
      <c r="A44" t="s">
        <v>271</v>
      </c>
      <c r="B44">
        <f>B37*B41</f>
        <v>1</v>
      </c>
      <c r="C44">
        <f>C37*C41</f>
        <v>7.5</v>
      </c>
      <c r="D44">
        <f>D37*D41</f>
        <v>0.4</v>
      </c>
      <c r="E44">
        <f>E37*E41</f>
        <v>45</v>
      </c>
    </row>
    <row r="45" spans="1:5" ht="12.75">
      <c r="A45" t="s">
        <v>270</v>
      </c>
      <c r="B45" s="96">
        <f>B42/B37</f>
        <v>0.1</v>
      </c>
      <c r="C45" s="96">
        <f>C42/C37</f>
        <v>0.3</v>
      </c>
      <c r="D45" s="96">
        <f>D42/D37</f>
        <v>0.05714285714285715</v>
      </c>
      <c r="E45" s="96">
        <f>E42/E37</f>
        <v>0.9</v>
      </c>
    </row>
    <row r="48" ht="14.25">
      <c r="A48" s="41" t="s">
        <v>892</v>
      </c>
    </row>
    <row r="49" spans="1:6" ht="31.5">
      <c r="A49" s="33"/>
      <c r="B49" s="136" t="s">
        <v>214</v>
      </c>
      <c r="C49" s="135" t="s">
        <v>215</v>
      </c>
      <c r="D49" s="135" t="s">
        <v>216</v>
      </c>
      <c r="E49" s="138" t="s">
        <v>221</v>
      </c>
      <c r="F49" s="138" t="s">
        <v>218</v>
      </c>
    </row>
    <row r="50" spans="1:6" ht="12.75">
      <c r="A50" t="s">
        <v>210</v>
      </c>
      <c r="B50" s="415">
        <v>3577</v>
      </c>
      <c r="C50" s="416">
        <v>4</v>
      </c>
      <c r="D50" s="416">
        <v>115</v>
      </c>
      <c r="E50" s="87">
        <f>(B50+C50)/D50</f>
        <v>31.139130434782608</v>
      </c>
      <c r="F50" s="47">
        <v>0.2</v>
      </c>
    </row>
    <row r="51" spans="1:6" ht="12.75">
      <c r="A51" t="s">
        <v>211</v>
      </c>
      <c r="B51" s="415">
        <v>2029</v>
      </c>
      <c r="C51" s="416">
        <v>114</v>
      </c>
      <c r="D51" s="416">
        <v>60</v>
      </c>
      <c r="E51" s="87">
        <f>(B51+C51)/D51</f>
        <v>35.71666666666667</v>
      </c>
      <c r="F51" s="47">
        <v>0.25</v>
      </c>
    </row>
    <row r="52" spans="1:6" ht="12.75">
      <c r="A52" t="s">
        <v>212</v>
      </c>
      <c r="B52" s="415">
        <v>2977</v>
      </c>
      <c r="C52" s="416">
        <v>3</v>
      </c>
      <c r="D52" s="416">
        <v>94</v>
      </c>
      <c r="E52" s="87">
        <f>(B52+C52)/D52</f>
        <v>31.70212765957447</v>
      </c>
      <c r="F52" s="47">
        <v>0.2</v>
      </c>
    </row>
    <row r="53" spans="1:6" ht="12.75">
      <c r="A53" t="s">
        <v>213</v>
      </c>
      <c r="B53" s="415">
        <v>1152</v>
      </c>
      <c r="C53" s="416">
        <v>119</v>
      </c>
      <c r="D53" s="416">
        <v>50</v>
      </c>
      <c r="E53" s="87">
        <f>(B53+C53)/D53</f>
        <v>25.42</v>
      </c>
      <c r="F53" s="47">
        <v>0.15</v>
      </c>
    </row>
    <row r="55" spans="1:6" ht="31.5">
      <c r="A55" s="33"/>
      <c r="B55" s="135" t="s">
        <v>219</v>
      </c>
      <c r="C55" s="135" t="s">
        <v>220</v>
      </c>
      <c r="D55" s="33"/>
      <c r="E55" s="135" t="s">
        <v>222</v>
      </c>
      <c r="F55" s="33"/>
    </row>
    <row r="56" spans="1:6" ht="12.75">
      <c r="A56" t="s">
        <v>217</v>
      </c>
      <c r="B56" s="380">
        <f>MIN(E50:E53)*D56</f>
        <v>254.20000000000002</v>
      </c>
      <c r="C56" s="380">
        <f>MAX(E50:E53)*D56</f>
        <v>357.1666666666667</v>
      </c>
      <c r="D56" s="414">
        <v>10</v>
      </c>
      <c r="E56" s="140">
        <f>INDEX(LINEST(E50:E53,F50:F53),1)*F56+INDEX(LINEST(E50:E53,F50:F53),2)</f>
        <v>26.87581452358926</v>
      </c>
      <c r="F56" s="47">
        <v>0.16</v>
      </c>
    </row>
    <row r="57" spans="2:3" ht="12.75">
      <c r="B57" s="417"/>
      <c r="C57" s="379"/>
    </row>
  </sheetData>
  <mergeCells count="1">
    <mergeCell ref="C19:E19"/>
  </mergeCells>
  <printOptions/>
  <pageMargins left="0.7874015748031497" right="0.7874015748031497" top="0.984251968503937" bottom="0.984251968503937" header="0.5118110236220472" footer="0.5118110236220472"/>
  <pageSetup fitToHeight="3"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24.xml><?xml version="1.0" encoding="utf-8"?>
<worksheet xmlns="http://schemas.openxmlformats.org/spreadsheetml/2006/main" xmlns:r="http://schemas.openxmlformats.org/officeDocument/2006/relationships">
  <sheetPr codeName="Feuil25">
    <pageSetUpPr fitToPage="1"/>
  </sheetPr>
  <dimension ref="A1:D51"/>
  <sheetViews>
    <sheetView showGridLines="0" zoomScale="75" zoomScaleNormal="75" workbookViewId="0" topLeftCell="A1">
      <selection activeCell="A1" sqref="A1"/>
    </sheetView>
  </sheetViews>
  <sheetFormatPr defaultColWidth="11.00390625" defaultRowHeight="12.75"/>
  <cols>
    <col min="1" max="1" width="18.125" style="0" customWidth="1"/>
  </cols>
  <sheetData>
    <row r="1" ht="14.25">
      <c r="A1" s="41" t="s">
        <v>968</v>
      </c>
    </row>
    <row r="9" ht="14.25">
      <c r="A9" s="20" t="s">
        <v>970</v>
      </c>
    </row>
    <row r="10" ht="14.25">
      <c r="A10" s="20"/>
    </row>
    <row r="11" spans="1:3" ht="12.75">
      <c r="A11" t="s">
        <v>294</v>
      </c>
      <c r="B11" t="s">
        <v>311</v>
      </c>
      <c r="C11" t="s">
        <v>310</v>
      </c>
    </row>
    <row r="12" spans="1:4" ht="12.75">
      <c r="A12" t="s">
        <v>295</v>
      </c>
      <c r="B12">
        <v>4</v>
      </c>
      <c r="C12">
        <v>6</v>
      </c>
      <c r="D12" t="s">
        <v>1275</v>
      </c>
    </row>
    <row r="13" spans="1:4" ht="12.75">
      <c r="A13" t="s">
        <v>303</v>
      </c>
      <c r="B13">
        <v>21</v>
      </c>
      <c r="C13">
        <v>20</v>
      </c>
      <c r="D13" t="s">
        <v>200</v>
      </c>
    </row>
    <row r="14" spans="1:4" ht="12.75">
      <c r="A14" t="s">
        <v>1431</v>
      </c>
      <c r="B14">
        <v>20</v>
      </c>
      <c r="C14">
        <v>20</v>
      </c>
      <c r="D14" t="s">
        <v>200</v>
      </c>
    </row>
    <row r="15" spans="1:3" ht="14.25">
      <c r="A15" t="s">
        <v>1430</v>
      </c>
      <c r="B15" s="47">
        <v>0.03</v>
      </c>
      <c r="C15" s="47">
        <f>B15</f>
        <v>0.03</v>
      </c>
    </row>
    <row r="16" ht="12.75">
      <c r="B16" s="47"/>
    </row>
    <row r="17" spans="1:3" ht="12.75">
      <c r="A17" s="131" t="s">
        <v>308</v>
      </c>
      <c r="B17" s="47"/>
      <c r="C17" s="131"/>
    </row>
    <row r="18" spans="1:3" ht="12.75">
      <c r="A18" t="s">
        <v>299</v>
      </c>
      <c r="B18">
        <f>B12/12</f>
        <v>0.3333333333333333</v>
      </c>
      <c r="C18">
        <f>C12/12</f>
        <v>0.5</v>
      </c>
    </row>
    <row r="19" spans="1:3" ht="12.75">
      <c r="A19" t="s">
        <v>302</v>
      </c>
      <c r="B19" s="79">
        <f>LN(B14/B13)</f>
        <v>-0.048790164169432056</v>
      </c>
      <c r="C19" s="79">
        <f>LN(C14/C13)</f>
        <v>0</v>
      </c>
    </row>
    <row r="20" spans="1:3" ht="14.25">
      <c r="A20" t="s">
        <v>1432</v>
      </c>
      <c r="B20" s="99">
        <f>(B15+B29*B29/2)*B18</f>
        <v>0.024016666666666665</v>
      </c>
      <c r="C20" s="99">
        <f>(C15+C29*C29/2)*C18</f>
        <v>0.036025</v>
      </c>
    </row>
    <row r="21" spans="1:3" ht="12.75">
      <c r="A21" t="s">
        <v>305</v>
      </c>
      <c r="B21" s="99">
        <f>B29*SQRT(B18)</f>
        <v>0.16743157806499145</v>
      </c>
      <c r="C21" s="99">
        <f>C29*SQRT(C18)</f>
        <v>0.20506096654409878</v>
      </c>
    </row>
    <row r="23" spans="1:3" ht="12.75">
      <c r="A23" t="s">
        <v>300</v>
      </c>
      <c r="B23" s="25">
        <f>(B19+B20)/B21</f>
        <v>-0.14796191846886333</v>
      </c>
      <c r="C23" s="25">
        <f>(C19+C20)/C21</f>
        <v>0.175679460636175</v>
      </c>
    </row>
    <row r="24" spans="1:3" ht="12.75">
      <c r="A24" t="s">
        <v>301</v>
      </c>
      <c r="B24" s="47">
        <f>B23-B21</f>
        <v>-0.3153934965338548</v>
      </c>
      <c r="C24" s="47">
        <f>C23-C21</f>
        <v>-0.029381505907923766</v>
      </c>
    </row>
    <row r="25" spans="1:3" ht="12.75">
      <c r="A25" t="s">
        <v>297</v>
      </c>
      <c r="B25" s="6">
        <f>NORMDIST(B23,0,1,TRUE)</f>
        <v>0.44118639011164973</v>
      </c>
      <c r="C25" s="6">
        <f>NORMDIST(C23,0,1,TRUE)</f>
        <v>0.5697271108263093</v>
      </c>
    </row>
    <row r="26" spans="1:3" ht="12.75">
      <c r="A26" t="s">
        <v>296</v>
      </c>
      <c r="B26" s="6">
        <f>NORMDIST(B24,0,1,TRUE)</f>
        <v>0.37623151729189686</v>
      </c>
      <c r="C26" s="6">
        <f>NORMDIST(C24,0,1,TRUE)</f>
        <v>0.48828010888029705</v>
      </c>
    </row>
    <row r="27" spans="1:3" ht="12.75">
      <c r="A27" t="s">
        <v>306</v>
      </c>
      <c r="B27" s="6">
        <f>EXP(-B18*B15)</f>
        <v>0.9900498337491681</v>
      </c>
      <c r="C27" s="6">
        <f>EXP(-C18*C15)</f>
        <v>0.9851119396030626</v>
      </c>
    </row>
    <row r="28" spans="1:3" ht="12.75">
      <c r="A28" s="1" t="s">
        <v>309</v>
      </c>
      <c r="B28" s="162">
        <f>B25*B14-B26*B13*B27</f>
        <v>1.0014808281661596</v>
      </c>
      <c r="C28" s="319">
        <f>C25*C14-C26*C13*C27</f>
        <v>1.7743309139529053</v>
      </c>
    </row>
    <row r="29" spans="1:4" ht="12.75">
      <c r="A29" s="1" t="s">
        <v>307</v>
      </c>
      <c r="B29" s="318">
        <v>0.29</v>
      </c>
      <c r="C29" s="163">
        <f>B29</f>
        <v>0.29</v>
      </c>
      <c r="D29" s="47"/>
    </row>
    <row r="31" ht="14.25">
      <c r="A31" s="41" t="s">
        <v>1337</v>
      </c>
    </row>
    <row r="32" ht="14.25">
      <c r="A32" s="41"/>
    </row>
    <row r="33" spans="1:3" ht="25.5">
      <c r="A33" s="3" t="s">
        <v>312</v>
      </c>
      <c r="B33" s="76" t="s">
        <v>1117</v>
      </c>
      <c r="C33" s="76" t="s">
        <v>1118</v>
      </c>
    </row>
    <row r="34" spans="1:4" ht="12.75">
      <c r="A34" t="s">
        <v>295</v>
      </c>
      <c r="B34">
        <v>6</v>
      </c>
      <c r="C34">
        <v>6</v>
      </c>
      <c r="D34" t="s">
        <v>1275</v>
      </c>
    </row>
    <row r="35" spans="1:4" ht="12.75">
      <c r="A35" t="s">
        <v>303</v>
      </c>
      <c r="B35">
        <v>20</v>
      </c>
      <c r="C35">
        <v>20</v>
      </c>
      <c r="D35" t="s">
        <v>200</v>
      </c>
    </row>
    <row r="36" spans="1:4" ht="12.75">
      <c r="A36" t="s">
        <v>298</v>
      </c>
      <c r="B36">
        <v>30</v>
      </c>
      <c r="C36">
        <v>15</v>
      </c>
      <c r="D36" t="s">
        <v>200</v>
      </c>
    </row>
    <row r="37" spans="1:3" ht="14.25">
      <c r="A37" t="s">
        <v>1430</v>
      </c>
      <c r="B37" s="47">
        <v>0.03</v>
      </c>
      <c r="C37" s="47">
        <f>B37</f>
        <v>0.03</v>
      </c>
    </row>
    <row r="38" ht="12.75">
      <c r="B38" s="47"/>
    </row>
    <row r="39" spans="1:3" ht="12.75">
      <c r="A39" s="131" t="s">
        <v>1433</v>
      </c>
      <c r="B39" s="47"/>
      <c r="C39" s="131"/>
    </row>
    <row r="40" spans="1:3" ht="12.75">
      <c r="A40" t="s">
        <v>299</v>
      </c>
      <c r="B40">
        <f>B34/12</f>
        <v>0.5</v>
      </c>
      <c r="C40">
        <f>C34/12</f>
        <v>0.5</v>
      </c>
    </row>
    <row r="41" spans="1:3" ht="12.75">
      <c r="A41" t="s">
        <v>302</v>
      </c>
      <c r="B41" s="79">
        <f>LN(B36/B35)</f>
        <v>0.4054651081081644</v>
      </c>
      <c r="C41" s="79">
        <f>LN(C36/C35)</f>
        <v>-0.2876820724517809</v>
      </c>
    </row>
    <row r="42" spans="1:3" ht="12.75">
      <c r="A42" t="s">
        <v>304</v>
      </c>
      <c r="B42" s="99">
        <f>(B37+B51*B51/2)*B40</f>
        <v>0.036025</v>
      </c>
      <c r="C42" s="99">
        <f>(C37+C51*C51/2)*C40</f>
        <v>0.036025</v>
      </c>
    </row>
    <row r="43" spans="1:3" ht="12.75">
      <c r="A43" t="s">
        <v>305</v>
      </c>
      <c r="B43" s="99">
        <f>B51*SQRT(B40)</f>
        <v>0.20506096654409878</v>
      </c>
      <c r="C43" s="99">
        <f>C51*SQRT(C40)</f>
        <v>0.20506096654409878</v>
      </c>
    </row>
    <row r="45" spans="1:3" ht="12.75">
      <c r="A45" t="s">
        <v>300</v>
      </c>
      <c r="B45" s="25">
        <f>(B41+B42)/B43</f>
        <v>2.1529699949659653</v>
      </c>
      <c r="C45" s="25">
        <f>(C41+C42)/C43</f>
        <v>-1.2272304997531627</v>
      </c>
    </row>
    <row r="46" spans="1:3" ht="12.75">
      <c r="A46" t="s">
        <v>301</v>
      </c>
      <c r="B46" s="47">
        <f>B45-B43</f>
        <v>1.9479090284218665</v>
      </c>
      <c r="C46" s="47">
        <f>C45-C43</f>
        <v>-1.4322914662972615</v>
      </c>
    </row>
    <row r="47" spans="1:3" ht="12.75">
      <c r="A47" t="s">
        <v>297</v>
      </c>
      <c r="B47" s="6">
        <f>NORMDIST(B45,0,1,TRUE)</f>
        <v>0.9843395378793549</v>
      </c>
      <c r="C47" s="6">
        <f>NORMDIST(C45,0,1,TRUE)</f>
        <v>0.10986804870619771</v>
      </c>
    </row>
    <row r="48" spans="1:3" ht="12.75">
      <c r="A48" t="s">
        <v>296</v>
      </c>
      <c r="B48" s="6">
        <f>NORMDIST(B46,0,1,TRUE)</f>
        <v>0.9742871450058841</v>
      </c>
      <c r="C48" s="6">
        <f>NORMDIST(C46,0,1,TRUE)</f>
        <v>0.07603025725050672</v>
      </c>
    </row>
    <row r="49" spans="1:3" ht="12.75">
      <c r="A49" t="s">
        <v>306</v>
      </c>
      <c r="B49" s="6">
        <f>EXP(-B40*B37)</f>
        <v>0.9851119396030626</v>
      </c>
      <c r="C49" s="6">
        <f>EXP(-C40*C37)</f>
        <v>0.9851119396030626</v>
      </c>
    </row>
    <row r="50" spans="1:3" ht="12.75">
      <c r="A50" s="1" t="s">
        <v>309</v>
      </c>
      <c r="B50" s="319">
        <f>B47*B36-B48*B35*B49</f>
        <v>10.334548153439108</v>
      </c>
      <c r="C50" s="319">
        <f>C47*C36-C48*C35*C49</f>
        <v>0.15005444682163582</v>
      </c>
    </row>
    <row r="51" spans="1:4" ht="12.75">
      <c r="A51" s="78" t="s">
        <v>307</v>
      </c>
      <c r="B51" s="163">
        <f>B29</f>
        <v>0.29</v>
      </c>
      <c r="C51" s="163">
        <f>B51</f>
        <v>0.29</v>
      </c>
      <c r="D51" s="47"/>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5.xml><?xml version="1.0" encoding="utf-8"?>
<worksheet xmlns="http://schemas.openxmlformats.org/spreadsheetml/2006/main" xmlns:r="http://schemas.openxmlformats.org/officeDocument/2006/relationships">
  <sheetPr codeName="Feuil38"/>
  <dimension ref="A1:D23"/>
  <sheetViews>
    <sheetView showGridLines="0" zoomScale="75" zoomScaleNormal="75" workbookViewId="0" topLeftCell="A1">
      <selection activeCell="A1" sqref="A1"/>
    </sheetView>
  </sheetViews>
  <sheetFormatPr defaultColWidth="11.00390625" defaultRowHeight="12.75"/>
  <cols>
    <col min="1" max="1" width="18.375" style="203" customWidth="1"/>
    <col min="2" max="2" width="14.375" style="232" bestFit="1" customWidth="1"/>
    <col min="3" max="3" width="14.625" style="0" customWidth="1"/>
    <col min="4" max="4" width="14.375" style="0" bestFit="1" customWidth="1"/>
  </cols>
  <sheetData>
    <row r="1" ht="14.25">
      <c r="A1" s="41" t="s">
        <v>731</v>
      </c>
    </row>
    <row r="2" spans="1:4" s="236" customFormat="1" ht="33.75">
      <c r="A2" s="234"/>
      <c r="B2" s="235" t="s">
        <v>656</v>
      </c>
      <c r="C2" s="235" t="s">
        <v>660</v>
      </c>
      <c r="D2" s="235" t="s">
        <v>661</v>
      </c>
    </row>
    <row r="3" spans="1:4" ht="12.75">
      <c r="A3" s="204" t="s">
        <v>926</v>
      </c>
      <c r="B3" s="232">
        <f>B4*B5</f>
        <v>4000000000</v>
      </c>
      <c r="C3" s="233">
        <f>B3</f>
        <v>4000000000</v>
      </c>
      <c r="D3" s="232">
        <f>C3</f>
        <v>4000000000</v>
      </c>
    </row>
    <row r="4" spans="1:4" ht="12.75">
      <c r="A4" s="231" t="s">
        <v>650</v>
      </c>
      <c r="B4" s="233">
        <v>2000000</v>
      </c>
      <c r="C4" s="233">
        <f aca="true" t="shared" si="0" ref="C4:D9">B4</f>
        <v>2000000</v>
      </c>
      <c r="D4" s="232">
        <f>C4</f>
        <v>2000000</v>
      </c>
    </row>
    <row r="5" spans="1:4" ht="12.75">
      <c r="A5" s="231" t="s">
        <v>775</v>
      </c>
      <c r="B5" s="233">
        <v>2000</v>
      </c>
      <c r="C5" s="233">
        <f t="shared" si="0"/>
        <v>2000</v>
      </c>
      <c r="D5" s="232">
        <f t="shared" si="0"/>
        <v>2000</v>
      </c>
    </row>
    <row r="6" spans="1:4" ht="12.75">
      <c r="A6" s="204" t="s">
        <v>1333</v>
      </c>
      <c r="B6" s="232">
        <f>B7*B8</f>
        <v>500000000</v>
      </c>
      <c r="C6" s="233">
        <f t="shared" si="0"/>
        <v>500000000</v>
      </c>
      <c r="D6" s="232">
        <f t="shared" si="0"/>
        <v>500000000</v>
      </c>
    </row>
    <row r="7" spans="1:4" ht="12.75">
      <c r="A7" s="231" t="s">
        <v>651</v>
      </c>
      <c r="B7" s="233">
        <v>500000</v>
      </c>
      <c r="C7" s="233">
        <f t="shared" si="0"/>
        <v>500000</v>
      </c>
      <c r="D7" s="232">
        <f t="shared" si="0"/>
        <v>500000</v>
      </c>
    </row>
    <row r="8" spans="1:4" ht="12.75">
      <c r="A8" s="231" t="s">
        <v>652</v>
      </c>
      <c r="B8" s="233">
        <v>1000</v>
      </c>
      <c r="C8" s="233">
        <f t="shared" si="0"/>
        <v>1000</v>
      </c>
      <c r="D8" s="232">
        <f t="shared" si="0"/>
        <v>1000</v>
      </c>
    </row>
    <row r="9" spans="1:4" ht="12.75">
      <c r="A9" s="231" t="s">
        <v>657</v>
      </c>
      <c r="B9" s="79">
        <v>0.05</v>
      </c>
      <c r="C9" s="79">
        <f t="shared" si="0"/>
        <v>0.05</v>
      </c>
      <c r="D9" s="79">
        <f t="shared" si="0"/>
        <v>0.05</v>
      </c>
    </row>
    <row r="10" spans="1:4" ht="22.5">
      <c r="A10" s="231" t="s">
        <v>658</v>
      </c>
      <c r="B10" s="79"/>
      <c r="C10" s="233">
        <v>2100</v>
      </c>
      <c r="D10" s="232">
        <f>C10</f>
        <v>2100</v>
      </c>
    </row>
    <row r="11" spans="1:4" ht="22.5">
      <c r="A11" s="231" t="s">
        <v>659</v>
      </c>
      <c r="B11" s="79"/>
      <c r="C11" s="79">
        <v>0.08</v>
      </c>
      <c r="D11" s="79">
        <f>C11</f>
        <v>0.08</v>
      </c>
    </row>
    <row r="13" spans="1:4" ht="12.75">
      <c r="A13" s="204" t="s">
        <v>653</v>
      </c>
      <c r="B13" s="232">
        <v>300000000</v>
      </c>
      <c r="C13" s="232">
        <f>B13</f>
        <v>300000000</v>
      </c>
      <c r="D13" s="232">
        <f>C13</f>
        <v>300000000</v>
      </c>
    </row>
    <row r="14" spans="1:4" ht="12.75">
      <c r="A14" s="204" t="s">
        <v>654</v>
      </c>
      <c r="B14" s="79">
        <v>0.367</v>
      </c>
      <c r="C14" s="99">
        <f>B14</f>
        <v>0.367</v>
      </c>
      <c r="D14" s="99">
        <f>C14</f>
        <v>0.367</v>
      </c>
    </row>
    <row r="16" spans="1:4" ht="12.75">
      <c r="A16" s="208" t="s">
        <v>655</v>
      </c>
      <c r="B16" s="237">
        <f>(B13+B9*B8*B7*(1-B14))/(B4+B7)</f>
        <v>126.33</v>
      </c>
      <c r="C16" s="263">
        <f>(C13+C10*C7*C11*(1-C14))/(C4+C7)</f>
        <v>141.2688</v>
      </c>
      <c r="D16" s="237">
        <f>(D13)/(D4+D7*(1-D10/D5))</f>
        <v>151.8987341772152</v>
      </c>
    </row>
    <row r="18" ht="12.75">
      <c r="A18" s="238" t="s">
        <v>663</v>
      </c>
    </row>
    <row r="19" spans="1:4" ht="12.75">
      <c r="A19" s="204" t="s">
        <v>662</v>
      </c>
      <c r="C19" s="99">
        <v>0.08</v>
      </c>
      <c r="D19" s="99">
        <f>C19</f>
        <v>0.08</v>
      </c>
    </row>
    <row r="21" spans="1:4" ht="12.75">
      <c r="A21" s="204" t="s">
        <v>664</v>
      </c>
      <c r="C21" s="232">
        <f>(C19-C9)*C8*C7*(1-C14)</f>
        <v>9495000</v>
      </c>
      <c r="D21" s="232">
        <f>(D19-D9)*D8*D7*(1-D14)</f>
        <v>9495000</v>
      </c>
    </row>
    <row r="22" spans="1:4" ht="25.5">
      <c r="A22" s="204" t="s">
        <v>665</v>
      </c>
      <c r="C22" s="237">
        <f>C21/(C4+C7)</f>
        <v>3.798</v>
      </c>
      <c r="D22" s="237">
        <f>D21/(D4+D7*(1-D10/D5))</f>
        <v>4.807594936708861</v>
      </c>
    </row>
    <row r="23" spans="1:4" ht="12.75">
      <c r="A23" s="208" t="s">
        <v>257</v>
      </c>
      <c r="C23" s="237">
        <f>C16+C22</f>
        <v>145.0668</v>
      </c>
      <c r="D23" s="237">
        <f>D16+D22</f>
        <v>156.70632911392406</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26.xml><?xml version="1.0" encoding="utf-8"?>
<worksheet xmlns="http://schemas.openxmlformats.org/spreadsheetml/2006/main" xmlns:r="http://schemas.openxmlformats.org/officeDocument/2006/relationships">
  <sheetPr codeName="Feuil26">
    <pageSetUpPr fitToPage="1"/>
  </sheetPr>
  <dimension ref="A1:C47"/>
  <sheetViews>
    <sheetView showGridLines="0" zoomScale="75" zoomScaleNormal="75" workbookViewId="0" topLeftCell="A1">
      <selection activeCell="A1" sqref="A1"/>
    </sheetView>
  </sheetViews>
  <sheetFormatPr defaultColWidth="11.00390625" defaultRowHeight="12.75"/>
  <cols>
    <col min="1" max="1" width="20.75390625" style="0" bestFit="1" customWidth="1"/>
    <col min="2" max="2" width="18.00390625" style="0" customWidth="1"/>
  </cols>
  <sheetData>
    <row r="1" ht="14.25">
      <c r="A1" s="41" t="s">
        <v>1434</v>
      </c>
    </row>
    <row r="2" ht="14.25">
      <c r="A2" s="41"/>
    </row>
    <row r="3" spans="1:2" ht="12.75">
      <c r="A3" t="s">
        <v>405</v>
      </c>
      <c r="B3" s="50">
        <v>100</v>
      </c>
    </row>
    <row r="4" spans="1:3" ht="12.75">
      <c r="A4" t="s">
        <v>1436</v>
      </c>
      <c r="B4" s="50">
        <v>6127395</v>
      </c>
      <c r="C4" s="112"/>
    </row>
    <row r="5" spans="1:3" ht="12.75">
      <c r="A5" t="s">
        <v>1437</v>
      </c>
      <c r="B5" s="50">
        <v>125.7</v>
      </c>
      <c r="C5" s="112"/>
    </row>
    <row r="6" spans="1:2" ht="12.75">
      <c r="A6" t="s">
        <v>1435</v>
      </c>
      <c r="B6" s="50">
        <v>1225479</v>
      </c>
    </row>
    <row r="7" spans="1:2" ht="12.75">
      <c r="A7" t="s">
        <v>225</v>
      </c>
      <c r="B7" s="23">
        <v>99</v>
      </c>
    </row>
    <row r="8" ht="12.75">
      <c r="B8" s="23"/>
    </row>
    <row r="9" spans="1:2" ht="12.75">
      <c r="A9" t="s">
        <v>1194</v>
      </c>
      <c r="B9" s="23"/>
    </row>
    <row r="10" spans="1:2" ht="12.75">
      <c r="A10" t="s">
        <v>620</v>
      </c>
      <c r="B10" s="23">
        <f>B4/B6</f>
        <v>5</v>
      </c>
    </row>
    <row r="11" ht="12.75">
      <c r="B11" s="23"/>
    </row>
    <row r="12" spans="1:3" ht="12.75">
      <c r="A12" s="321" t="s">
        <v>1438</v>
      </c>
      <c r="B12" s="322">
        <f>B5</f>
        <v>125.7</v>
      </c>
      <c r="C12" s="323" t="s">
        <v>1440</v>
      </c>
    </row>
    <row r="13" spans="1:3" ht="12.75">
      <c r="A13" s="325" t="s">
        <v>1445</v>
      </c>
      <c r="B13" s="430" t="s">
        <v>1445</v>
      </c>
      <c r="C13" s="431"/>
    </row>
    <row r="14" spans="1:3" ht="12.75">
      <c r="A14" s="73" t="s">
        <v>1439</v>
      </c>
      <c r="B14" s="38">
        <f>B7</f>
        <v>99</v>
      </c>
      <c r="C14" s="324" t="s">
        <v>1441</v>
      </c>
    </row>
    <row r="15" spans="2:3" ht="12.75">
      <c r="B15" s="23"/>
      <c r="C15" s="30"/>
    </row>
    <row r="16" spans="1:2" ht="12.75">
      <c r="A16" t="s">
        <v>1442</v>
      </c>
      <c r="B16" s="23">
        <f>(B5-B7)/(1+B10)</f>
        <v>4.45</v>
      </c>
    </row>
    <row r="17" ht="12.75">
      <c r="B17" s="23"/>
    </row>
    <row r="18" spans="1:2" ht="12.75">
      <c r="A18" t="s">
        <v>1195</v>
      </c>
      <c r="B18" s="23"/>
    </row>
    <row r="19" spans="1:2" ht="12.75">
      <c r="A19" t="s">
        <v>1443</v>
      </c>
      <c r="B19" s="23">
        <f>B5*B4+B7*B6</f>
        <v>891535972.5</v>
      </c>
    </row>
    <row r="20" spans="1:2" ht="12.75">
      <c r="A20" t="s">
        <v>619</v>
      </c>
      <c r="B20" s="23">
        <f>B4+B6</f>
        <v>7352874</v>
      </c>
    </row>
    <row r="21" spans="1:2" ht="12.75">
      <c r="A21" t="s">
        <v>1444</v>
      </c>
      <c r="B21" s="23">
        <f>B19/B20</f>
        <v>121.25</v>
      </c>
    </row>
    <row r="22" ht="12.75">
      <c r="B22" s="23"/>
    </row>
    <row r="23" spans="1:2" ht="12.75">
      <c r="A23" t="s">
        <v>1405</v>
      </c>
      <c r="B23" s="23"/>
    </row>
    <row r="24" ht="12.75">
      <c r="A24" s="326" t="s">
        <v>1446</v>
      </c>
    </row>
    <row r="26" spans="1:3" ht="12.75">
      <c r="A26" s="118" t="s">
        <v>650</v>
      </c>
      <c r="B26" s="118" t="s">
        <v>670</v>
      </c>
      <c r="C26" s="118" t="s">
        <v>165</v>
      </c>
    </row>
    <row r="27" spans="1:3" ht="12.75">
      <c r="A27" s="118">
        <v>28</v>
      </c>
      <c r="B27" s="320">
        <f>B5</f>
        <v>125.7</v>
      </c>
      <c r="C27" s="330">
        <f>A27*B27</f>
        <v>3519.6</v>
      </c>
    </row>
    <row r="29" ht="12.75">
      <c r="A29" s="31" t="s">
        <v>1450</v>
      </c>
    </row>
    <row r="30" ht="12.75">
      <c r="A30" s="31"/>
    </row>
    <row r="31" ht="12.75">
      <c r="A31" s="329" t="s">
        <v>1449</v>
      </c>
    </row>
    <row r="32" spans="1:3" ht="12.75">
      <c r="A32" s="118" t="s">
        <v>1442</v>
      </c>
      <c r="B32" s="118" t="s">
        <v>670</v>
      </c>
      <c r="C32" s="118"/>
    </row>
    <row r="33" spans="1:3" ht="12.75">
      <c r="A33" s="118">
        <v>23</v>
      </c>
      <c r="B33" s="320">
        <f>B16</f>
        <v>4.45</v>
      </c>
      <c r="C33" s="118">
        <f>A33*B33</f>
        <v>102.35000000000001</v>
      </c>
    </row>
    <row r="35" ht="12.75">
      <c r="A35" s="329" t="s">
        <v>964</v>
      </c>
    </row>
    <row r="36" spans="1:3" ht="12.75">
      <c r="A36" s="118" t="s">
        <v>183</v>
      </c>
      <c r="B36" s="118" t="s">
        <v>670</v>
      </c>
      <c r="C36" s="118"/>
    </row>
    <row r="37" spans="1:3" ht="12.75">
      <c r="A37" s="118">
        <v>1</v>
      </c>
      <c r="B37" s="320">
        <f>B7</f>
        <v>99</v>
      </c>
      <c r="C37" s="118">
        <f>-A37*B37</f>
        <v>-99</v>
      </c>
    </row>
    <row r="39" ht="12.75">
      <c r="A39" s="31" t="s">
        <v>1447</v>
      </c>
    </row>
    <row r="41" ht="12.75">
      <c r="A41" s="331" t="s">
        <v>1453</v>
      </c>
    </row>
    <row r="42" spans="1:3" ht="12.75">
      <c r="A42" s="118" t="s">
        <v>1451</v>
      </c>
      <c r="B42" s="118" t="s">
        <v>670</v>
      </c>
      <c r="C42" s="118" t="s">
        <v>165</v>
      </c>
    </row>
    <row r="43" spans="1:3" ht="12.75">
      <c r="A43" s="118">
        <v>29</v>
      </c>
      <c r="B43" s="320">
        <f>B21</f>
        <v>121.25</v>
      </c>
      <c r="C43" s="293">
        <f>A43*B43</f>
        <v>3516.25</v>
      </c>
    </row>
    <row r="44" spans="1:3" ht="12.75">
      <c r="A44" s="118"/>
      <c r="B44" s="320"/>
      <c r="C44" s="118"/>
    </row>
    <row r="45" spans="1:3" ht="12.75">
      <c r="A45" s="331" t="s">
        <v>1452</v>
      </c>
      <c r="B45" s="118"/>
      <c r="C45" s="293">
        <f>C33+C37</f>
        <v>3.3500000000000085</v>
      </c>
    </row>
    <row r="46" ht="12.75">
      <c r="C46" s="142"/>
    </row>
    <row r="47" spans="1:3" ht="12.75">
      <c r="A47" s="1" t="s">
        <v>717</v>
      </c>
      <c r="B47" s="1"/>
      <c r="C47" s="330">
        <f>C43+C45</f>
        <v>3519.6</v>
      </c>
    </row>
  </sheetData>
  <mergeCells count="1">
    <mergeCell ref="B13:C13"/>
  </mergeCells>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7.xml><?xml version="1.0" encoding="utf-8"?>
<worksheet xmlns="http://schemas.openxmlformats.org/spreadsheetml/2006/main" xmlns:r="http://schemas.openxmlformats.org/officeDocument/2006/relationships">
  <sheetPr codeName="Feuil27">
    <pageSetUpPr fitToPage="1"/>
  </sheetPr>
  <dimension ref="A1:E63"/>
  <sheetViews>
    <sheetView showGridLines="0" zoomScale="75" zoomScaleNormal="75" workbookViewId="0" topLeftCell="A1">
      <selection activeCell="A1" sqref="A1"/>
    </sheetView>
  </sheetViews>
  <sheetFormatPr defaultColWidth="11.00390625" defaultRowHeight="12.75"/>
  <cols>
    <col min="1" max="1" width="20.75390625" style="0" bestFit="1" customWidth="1"/>
    <col min="3" max="3" width="11.75390625" style="0" bestFit="1" customWidth="1"/>
    <col min="4" max="4" width="9.375" style="0" bestFit="1" customWidth="1"/>
  </cols>
  <sheetData>
    <row r="1" ht="14.25">
      <c r="A1" s="20" t="s">
        <v>316</v>
      </c>
    </row>
    <row r="2" spans="1:2" ht="12.75">
      <c r="A2" t="s">
        <v>317</v>
      </c>
      <c r="B2" s="50">
        <v>100</v>
      </c>
    </row>
    <row r="3" spans="1:2" ht="12.75">
      <c r="A3" t="s">
        <v>318</v>
      </c>
      <c r="B3" s="50">
        <v>25</v>
      </c>
    </row>
    <row r="4" spans="1:2" ht="12.75">
      <c r="A4" t="s">
        <v>93</v>
      </c>
      <c r="B4" s="23">
        <f>B3/B6-B2</f>
        <v>8.256341743617668E-08</v>
      </c>
    </row>
    <row r="6" spans="1:2" s="78" customFormat="1" ht="12.75">
      <c r="A6" s="78" t="s">
        <v>1454</v>
      </c>
      <c r="B6" s="163">
        <v>0.24999999979359144</v>
      </c>
    </row>
    <row r="7" spans="1:2" ht="12.75">
      <c r="A7" s="1"/>
      <c r="B7" s="159"/>
    </row>
    <row r="8" ht="12.75">
      <c r="A8" t="s">
        <v>1455</v>
      </c>
    </row>
    <row r="10" spans="1:4" ht="12.75">
      <c r="A10" t="s">
        <v>318</v>
      </c>
      <c r="B10" s="50">
        <v>10</v>
      </c>
      <c r="C10" s="50">
        <v>50</v>
      </c>
      <c r="D10" s="50"/>
    </row>
    <row r="12" spans="1:4" ht="12.75">
      <c r="A12" s="78" t="s">
        <v>319</v>
      </c>
      <c r="B12" s="50">
        <f>B10/$B$6</f>
        <v>40.00000003302537</v>
      </c>
      <c r="C12" s="50">
        <f>C10/$B$6</f>
        <v>200.00000016512683</v>
      </c>
      <c r="D12" s="40"/>
    </row>
    <row r="13" spans="1:4" ht="12.75">
      <c r="A13" s="78"/>
      <c r="B13" s="50"/>
      <c r="C13" s="50"/>
      <c r="D13" s="40"/>
    </row>
    <row r="14" spans="1:4" ht="12.75">
      <c r="A14" s="78" t="s">
        <v>1407</v>
      </c>
      <c r="B14" s="50"/>
      <c r="C14" s="50"/>
      <c r="D14" s="40"/>
    </row>
    <row r="15" spans="1:4" ht="12.75">
      <c r="A15" s="78"/>
      <c r="B15" s="50"/>
      <c r="C15" s="50"/>
      <c r="D15" s="40"/>
    </row>
    <row r="16" spans="1:4" ht="12.75">
      <c r="A16" s="78" t="s">
        <v>1456</v>
      </c>
      <c r="B16" s="50"/>
      <c r="C16" s="50"/>
      <c r="D16" s="40"/>
    </row>
    <row r="17" spans="1:4" ht="12.75">
      <c r="A17" s="78"/>
      <c r="B17" s="50"/>
      <c r="C17" s="50"/>
      <c r="D17" s="40"/>
    </row>
    <row r="18" spans="1:4" ht="12.75">
      <c r="A18" s="78" t="s">
        <v>1457</v>
      </c>
      <c r="B18" s="50"/>
      <c r="C18" s="50"/>
      <c r="D18" s="40"/>
    </row>
    <row r="19" spans="1:4" ht="12.75">
      <c r="A19" s="78"/>
      <c r="B19" s="50"/>
      <c r="C19" s="50"/>
      <c r="D19" s="40"/>
    </row>
    <row r="20" spans="1:5" ht="12.75">
      <c r="A20" s="78" t="s">
        <v>1421</v>
      </c>
      <c r="B20" s="78"/>
      <c r="C20" s="78" t="s">
        <v>1459</v>
      </c>
      <c r="D20" s="118" t="s">
        <v>1460</v>
      </c>
      <c r="E20" t="s">
        <v>1458</v>
      </c>
    </row>
    <row r="21" spans="1:4" ht="12.75">
      <c r="A21" s="78"/>
      <c r="B21" s="78"/>
      <c r="C21" s="78"/>
      <c r="D21" s="118"/>
    </row>
    <row r="22" spans="1:5" ht="12.75">
      <c r="A22" s="78" t="s">
        <v>1461</v>
      </c>
      <c r="B22" s="78"/>
      <c r="C22" s="78" t="s">
        <v>1459</v>
      </c>
      <c r="D22" s="118" t="s">
        <v>1462</v>
      </c>
      <c r="E22" t="s">
        <v>1458</v>
      </c>
    </row>
    <row r="23" spans="1:4" ht="12.75">
      <c r="A23" s="1"/>
      <c r="D23" s="118"/>
    </row>
    <row r="24" spans="1:4" ht="12.75">
      <c r="A24" s="1"/>
      <c r="D24" s="118"/>
    </row>
    <row r="25" ht="14.25">
      <c r="A25" s="41" t="s">
        <v>1021</v>
      </c>
    </row>
    <row r="26" ht="14.25">
      <c r="A26" s="41"/>
    </row>
    <row r="27" spans="1:3" ht="12.75">
      <c r="A27" s="33" t="s">
        <v>321</v>
      </c>
      <c r="B27" s="53" t="s">
        <v>1201</v>
      </c>
      <c r="C27" s="53" t="s">
        <v>1202</v>
      </c>
    </row>
    <row r="28" spans="1:3" ht="12.75">
      <c r="A28" s="3" t="s">
        <v>935</v>
      </c>
      <c r="B28" s="75">
        <v>1000</v>
      </c>
      <c r="C28" s="75">
        <v>1000</v>
      </c>
    </row>
    <row r="29" spans="1:3" ht="25.5">
      <c r="A29" s="3" t="s">
        <v>322</v>
      </c>
      <c r="B29" s="432">
        <v>0.15</v>
      </c>
      <c r="C29" s="432"/>
    </row>
    <row r="30" spans="1:3" ht="25.5">
      <c r="A30" s="3" t="s">
        <v>323</v>
      </c>
      <c r="B30" s="75">
        <v>50</v>
      </c>
      <c r="C30" s="75">
        <v>300</v>
      </c>
    </row>
    <row r="31" spans="1:3" ht="12.75">
      <c r="A31" t="s">
        <v>326</v>
      </c>
      <c r="B31" s="75">
        <v>50</v>
      </c>
      <c r="C31" s="75"/>
    </row>
    <row r="32" ht="12.75">
      <c r="A32" t="s">
        <v>1194</v>
      </c>
    </row>
    <row r="33" spans="1:3" ht="12.75">
      <c r="A33" s="2" t="s">
        <v>329</v>
      </c>
      <c r="B33" s="77">
        <f>B30/$B$29</f>
        <v>333.33333333333337</v>
      </c>
      <c r="C33" s="77">
        <f>C30/$B$29</f>
        <v>2000</v>
      </c>
    </row>
    <row r="34" spans="1:3" ht="12.75">
      <c r="A34" s="2"/>
      <c r="B34" s="77"/>
      <c r="C34" s="77"/>
    </row>
    <row r="35" ht="12.75">
      <c r="A35" t="s">
        <v>1195</v>
      </c>
    </row>
    <row r="36" spans="1:3" ht="12.75">
      <c r="A36" t="s">
        <v>327</v>
      </c>
      <c r="B36" s="75">
        <v>0</v>
      </c>
      <c r="C36" s="75">
        <f>$B$30+$C$30-B$31-B36</f>
        <v>300</v>
      </c>
    </row>
    <row r="37" spans="1:3" ht="12.75">
      <c r="A37" t="s">
        <v>144</v>
      </c>
      <c r="B37" s="25">
        <f>B$30/B$28</f>
        <v>0.05</v>
      </c>
      <c r="C37" s="25">
        <f>C$30/C$28</f>
        <v>0.3</v>
      </c>
    </row>
    <row r="38" spans="1:3" ht="12.75">
      <c r="A38" t="s">
        <v>331</v>
      </c>
      <c r="B38" s="75">
        <f>B$28*B37</f>
        <v>50</v>
      </c>
      <c r="C38" s="75">
        <f>C$28*C37</f>
        <v>300</v>
      </c>
    </row>
    <row r="39" spans="1:3" ht="25.5">
      <c r="A39" s="3" t="s">
        <v>330</v>
      </c>
      <c r="B39" s="75">
        <f>B36*B37</f>
        <v>0</v>
      </c>
      <c r="C39" s="75">
        <f>C36*C37</f>
        <v>90</v>
      </c>
    </row>
    <row r="40" spans="1:3" ht="12.75">
      <c r="A40" s="3" t="s">
        <v>717</v>
      </c>
      <c r="B40" s="75">
        <f>B38+B39</f>
        <v>50</v>
      </c>
      <c r="C40" s="75">
        <f>C38+C39</f>
        <v>390</v>
      </c>
    </row>
    <row r="41" spans="1:3" ht="12.75">
      <c r="A41" s="3" t="s">
        <v>332</v>
      </c>
      <c r="B41" s="75">
        <f>B40/B$29</f>
        <v>333.33333333333337</v>
      </c>
      <c r="C41" s="75">
        <f>C40/B$29</f>
        <v>2600</v>
      </c>
    </row>
    <row r="42" spans="1:3" ht="12.75">
      <c r="A42" s="3" t="s">
        <v>861</v>
      </c>
      <c r="B42" s="75">
        <f>B$33+B36</f>
        <v>333.33333333333337</v>
      </c>
      <c r="C42" s="75">
        <f>C$33+C36</f>
        <v>2300</v>
      </c>
    </row>
    <row r="43" spans="1:4" ht="12.75">
      <c r="A43" s="1" t="s">
        <v>328</v>
      </c>
      <c r="B43" s="75">
        <f>B41-B42</f>
        <v>0</v>
      </c>
      <c r="C43" s="75">
        <f>C41-C42</f>
        <v>300</v>
      </c>
      <c r="D43" s="103">
        <f>SUM(B43:C43)</f>
        <v>300</v>
      </c>
    </row>
    <row r="44" spans="1:4" ht="12.75">
      <c r="A44" s="1"/>
      <c r="B44" s="75"/>
      <c r="C44" s="75"/>
      <c r="D44" s="168"/>
    </row>
    <row r="45" ht="12.75">
      <c r="A45" s="3" t="s">
        <v>1405</v>
      </c>
    </row>
    <row r="46" spans="1:3" ht="12.75">
      <c r="A46" t="s">
        <v>327</v>
      </c>
      <c r="B46" s="75">
        <v>300</v>
      </c>
      <c r="C46" s="75">
        <f>$B$30+$C$30-B$31-B46</f>
        <v>0</v>
      </c>
    </row>
    <row r="47" spans="1:3" ht="12.75">
      <c r="A47" t="s">
        <v>144</v>
      </c>
      <c r="B47" s="25">
        <f>B$30/B$28</f>
        <v>0.05</v>
      </c>
      <c r="C47" s="25">
        <f>C$30/C$28</f>
        <v>0.3</v>
      </c>
    </row>
    <row r="48" spans="1:3" ht="12.75">
      <c r="A48" t="s">
        <v>331</v>
      </c>
      <c r="B48" s="75">
        <f>B$28*B47</f>
        <v>50</v>
      </c>
      <c r="C48" s="75">
        <f>C$28*C47</f>
        <v>300</v>
      </c>
    </row>
    <row r="49" spans="1:3" ht="25.5">
      <c r="A49" s="3" t="s">
        <v>330</v>
      </c>
      <c r="B49" s="75">
        <f>B46*B47</f>
        <v>15</v>
      </c>
      <c r="C49" s="75">
        <f>C46*C47</f>
        <v>0</v>
      </c>
    </row>
    <row r="50" spans="1:3" ht="12.75">
      <c r="A50" s="3" t="s">
        <v>717</v>
      </c>
      <c r="B50" s="75">
        <f>B48+B49</f>
        <v>65</v>
      </c>
      <c r="C50" s="75">
        <f>C48+C49</f>
        <v>300</v>
      </c>
    </row>
    <row r="51" spans="1:3" ht="12.75">
      <c r="A51" s="3" t="s">
        <v>332</v>
      </c>
      <c r="B51" s="75">
        <f>B50/B$29</f>
        <v>433.33333333333337</v>
      </c>
      <c r="C51" s="75">
        <f>C50/B$29</f>
        <v>2000</v>
      </c>
    </row>
    <row r="52" spans="1:3" ht="12.75">
      <c r="A52" s="3" t="s">
        <v>333</v>
      </c>
      <c r="B52" s="75">
        <f>B$33+B46</f>
        <v>633.3333333333334</v>
      </c>
      <c r="C52" s="75">
        <f>C$33+C46</f>
        <v>2000</v>
      </c>
    </row>
    <row r="53" spans="1:4" ht="12.75">
      <c r="A53" s="1" t="s">
        <v>328</v>
      </c>
      <c r="B53" s="75">
        <f>B51-B52</f>
        <v>-200</v>
      </c>
      <c r="C53" s="75">
        <f>C51-C52</f>
        <v>0</v>
      </c>
      <c r="D53" s="103">
        <f>SUM(B53:C53)</f>
        <v>-200</v>
      </c>
    </row>
    <row r="54" spans="1:4" ht="12.75">
      <c r="A54" s="1"/>
      <c r="B54" s="75"/>
      <c r="C54" s="75"/>
      <c r="D54" s="103"/>
    </row>
    <row r="55" ht="12.75">
      <c r="A55" s="3" t="s">
        <v>1407</v>
      </c>
    </row>
    <row r="56" spans="1:3" ht="12.75">
      <c r="A56" t="s">
        <v>327</v>
      </c>
      <c r="B56" s="75">
        <v>150</v>
      </c>
      <c r="C56" s="75">
        <f>$B$30+$C$30-B$31-B56</f>
        <v>150</v>
      </c>
    </row>
    <row r="57" spans="1:3" ht="12.75">
      <c r="A57" t="s">
        <v>144</v>
      </c>
      <c r="B57" s="25">
        <f>B$30/B$28</f>
        <v>0.05</v>
      </c>
      <c r="C57" s="25">
        <f>C$30/C$28</f>
        <v>0.3</v>
      </c>
    </row>
    <row r="58" spans="1:3" ht="12.75">
      <c r="A58" t="s">
        <v>331</v>
      </c>
      <c r="B58" s="75">
        <f>B$28*B57</f>
        <v>50</v>
      </c>
      <c r="C58" s="75">
        <f>C$28*C57</f>
        <v>300</v>
      </c>
    </row>
    <row r="59" spans="1:3" ht="25.5">
      <c r="A59" s="3" t="s">
        <v>330</v>
      </c>
      <c r="B59" s="75">
        <f>B56*B57</f>
        <v>7.5</v>
      </c>
      <c r="C59" s="75">
        <f>C56*C57</f>
        <v>45</v>
      </c>
    </row>
    <row r="60" spans="1:3" ht="12.75">
      <c r="A60" s="3" t="s">
        <v>717</v>
      </c>
      <c r="B60" s="75">
        <f>B58+B59</f>
        <v>57.5</v>
      </c>
      <c r="C60" s="75">
        <f>C58+C59</f>
        <v>345</v>
      </c>
    </row>
    <row r="61" spans="1:3" ht="12.75">
      <c r="A61" s="3" t="s">
        <v>332</v>
      </c>
      <c r="B61" s="75">
        <f>B60/B$29</f>
        <v>383.33333333333337</v>
      </c>
      <c r="C61" s="75">
        <f>C60/B$29</f>
        <v>2300</v>
      </c>
    </row>
    <row r="62" spans="1:3" ht="12.75">
      <c r="A62" s="3" t="s">
        <v>333</v>
      </c>
      <c r="B62" s="75">
        <f>B$33+B56</f>
        <v>483.33333333333337</v>
      </c>
      <c r="C62" s="75">
        <f>C$33+C56</f>
        <v>2150</v>
      </c>
    </row>
    <row r="63" spans="1:4" ht="12.75">
      <c r="A63" s="1" t="s">
        <v>328</v>
      </c>
      <c r="B63" s="75">
        <f>B61-B62</f>
        <v>-100</v>
      </c>
      <c r="C63" s="75">
        <f>C61-C62</f>
        <v>150</v>
      </c>
      <c r="D63" s="103">
        <f>SUM(B63:C63)</f>
        <v>50</v>
      </c>
    </row>
  </sheetData>
  <mergeCells count="1">
    <mergeCell ref="B29:C29"/>
  </mergeCells>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28.xml><?xml version="1.0" encoding="utf-8"?>
<worksheet xmlns="http://schemas.openxmlformats.org/spreadsheetml/2006/main" xmlns:r="http://schemas.openxmlformats.org/officeDocument/2006/relationships">
  <sheetPr codeName="Feuil28">
    <pageSetUpPr fitToPage="1"/>
  </sheetPr>
  <dimension ref="A1:F32"/>
  <sheetViews>
    <sheetView showGridLines="0" zoomScale="75" zoomScaleNormal="75" workbookViewId="0" topLeftCell="A1">
      <selection activeCell="A1" sqref="A1"/>
    </sheetView>
  </sheetViews>
  <sheetFormatPr defaultColWidth="11.00390625" defaultRowHeight="12.75"/>
  <cols>
    <col min="1" max="1" width="38.00390625" style="0" customWidth="1"/>
  </cols>
  <sheetData>
    <row r="1" ht="14.25">
      <c r="A1" s="20" t="s">
        <v>968</v>
      </c>
    </row>
    <row r="2" ht="14.25">
      <c r="A2" s="20"/>
    </row>
    <row r="3" spans="2:3" ht="12.75">
      <c r="B3" t="s">
        <v>1203</v>
      </c>
      <c r="C3" t="s">
        <v>1204</v>
      </c>
    </row>
    <row r="4" spans="1:3" ht="12.75">
      <c r="A4" t="s">
        <v>259</v>
      </c>
      <c r="B4">
        <f>B6/B5</f>
        <v>10</v>
      </c>
      <c r="C4">
        <v>18</v>
      </c>
    </row>
    <row r="5" spans="1:3" ht="12.75">
      <c r="A5" t="s">
        <v>1463</v>
      </c>
      <c r="B5">
        <v>140</v>
      </c>
      <c r="C5">
        <f>+C6/C4</f>
        <v>55</v>
      </c>
    </row>
    <row r="6" spans="1:3" ht="12.75">
      <c r="A6" t="s">
        <v>1464</v>
      </c>
      <c r="B6">
        <v>1400</v>
      </c>
      <c r="C6">
        <v>990</v>
      </c>
    </row>
    <row r="7" spans="1:3" ht="12.75">
      <c r="A7" t="s">
        <v>1472</v>
      </c>
      <c r="B7">
        <f>B6</f>
        <v>1400</v>
      </c>
      <c r="C7">
        <f>C6</f>
        <v>990</v>
      </c>
    </row>
    <row r="8" spans="3:6" ht="12.75">
      <c r="C8" s="55"/>
      <c r="D8" s="55"/>
      <c r="E8" s="55"/>
      <c r="F8" s="55"/>
    </row>
    <row r="9" spans="1:6" ht="12.75">
      <c r="A9" t="s">
        <v>1469</v>
      </c>
      <c r="B9">
        <f>B5</f>
        <v>140</v>
      </c>
      <c r="C9" s="55"/>
      <c r="D9" s="55"/>
      <c r="E9" s="55"/>
      <c r="F9" s="55"/>
    </row>
    <row r="10" spans="1:2" ht="12.75">
      <c r="A10" t="s">
        <v>1468</v>
      </c>
      <c r="B10">
        <f>C5</f>
        <v>55</v>
      </c>
    </row>
    <row r="11" spans="1:2" ht="12.75">
      <c r="A11" t="s">
        <v>1467</v>
      </c>
      <c r="B11">
        <f>B10*50%</f>
        <v>27.5</v>
      </c>
    </row>
    <row r="12" spans="1:2" ht="12.75">
      <c r="A12" t="s">
        <v>1465</v>
      </c>
      <c r="B12">
        <f>SUM(B9:B11)</f>
        <v>222.5</v>
      </c>
    </row>
    <row r="14" spans="1:2" ht="12.75">
      <c r="A14" t="s">
        <v>1471</v>
      </c>
      <c r="B14" s="47">
        <f>B12/B9-1</f>
        <v>0.5892857142857142</v>
      </c>
    </row>
    <row r="15" spans="1:2" ht="12.75">
      <c r="A15" t="s">
        <v>1470</v>
      </c>
      <c r="B15" s="47">
        <f>C6/B6</f>
        <v>0.7071428571428572</v>
      </c>
    </row>
    <row r="16" spans="1:2" ht="12.75">
      <c r="A16" t="s">
        <v>1466</v>
      </c>
      <c r="B16" s="47">
        <f>(1+B14)/(1+B15)-1</f>
        <v>-0.06903765690376584</v>
      </c>
    </row>
    <row r="19" ht="12.75">
      <c r="A19" s="1" t="s">
        <v>970</v>
      </c>
    </row>
    <row r="20" ht="12.75">
      <c r="A20" s="1"/>
    </row>
    <row r="21" ht="12.75">
      <c r="A21" s="97" t="s">
        <v>1476</v>
      </c>
    </row>
    <row r="22" spans="1:2" ht="12.75">
      <c r="A22" s="97"/>
      <c r="B22">
        <v>2001</v>
      </c>
    </row>
    <row r="23" spans="1:2" ht="12.75">
      <c r="A23" t="s">
        <v>1473</v>
      </c>
      <c r="B23" s="95">
        <v>0.085</v>
      </c>
    </row>
    <row r="24" spans="1:2" ht="12.75">
      <c r="A24" t="s">
        <v>1477</v>
      </c>
      <c r="B24">
        <v>1400</v>
      </c>
    </row>
    <row r="26" spans="1:2" ht="12.75">
      <c r="A26" t="s">
        <v>766</v>
      </c>
      <c r="B26">
        <v>169</v>
      </c>
    </row>
    <row r="27" spans="1:2" ht="12.75">
      <c r="A27" t="s">
        <v>1474</v>
      </c>
      <c r="B27" s="47">
        <v>0.35</v>
      </c>
    </row>
    <row r="28" spans="1:2" ht="12.75">
      <c r="A28" t="s">
        <v>935</v>
      </c>
      <c r="B28">
        <v>1041</v>
      </c>
    </row>
    <row r="29" spans="1:2" ht="12.75">
      <c r="A29" t="s">
        <v>680</v>
      </c>
      <c r="B29">
        <v>631</v>
      </c>
    </row>
    <row r="31" spans="1:2" ht="12.75">
      <c r="A31" t="s">
        <v>1478</v>
      </c>
      <c r="B31">
        <f>B26*(1-B27)-B28*B23</f>
        <v>21.36500000000001</v>
      </c>
    </row>
    <row r="32" spans="1:2" ht="12.75">
      <c r="A32" t="s">
        <v>1475</v>
      </c>
      <c r="B32">
        <f>B24-B29</f>
        <v>769</v>
      </c>
    </row>
  </sheetData>
  <printOptions/>
  <pageMargins left="0.7874015748031497" right="0.7874015748031497" top="0.984251968503937" bottom="0.984251968503937" header="0.5118110236220472" footer="0.5118110236220472"/>
  <pageSetup fitToHeight="4"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29.xml><?xml version="1.0" encoding="utf-8"?>
<worksheet xmlns="http://schemas.openxmlformats.org/spreadsheetml/2006/main" xmlns:r="http://schemas.openxmlformats.org/officeDocument/2006/relationships">
  <sheetPr codeName="Feuil29">
    <pageSetUpPr fitToPage="1"/>
  </sheetPr>
  <dimension ref="A1:F133"/>
  <sheetViews>
    <sheetView showGridLines="0" zoomScale="75" zoomScaleNormal="75" workbookViewId="0" topLeftCell="A1">
      <selection activeCell="A1" sqref="A1"/>
    </sheetView>
  </sheetViews>
  <sheetFormatPr defaultColWidth="11.00390625" defaultRowHeight="12.75"/>
  <cols>
    <col min="1" max="1" width="18.75390625" style="0" bestFit="1" customWidth="1"/>
    <col min="5" max="5" width="12.375" style="0" bestFit="1" customWidth="1"/>
  </cols>
  <sheetData>
    <row r="1" ht="14.25">
      <c r="A1" s="20" t="s">
        <v>968</v>
      </c>
    </row>
    <row r="2" ht="14.25">
      <c r="A2" s="41" t="s">
        <v>732</v>
      </c>
    </row>
    <row r="3" spans="1:2" ht="12.75">
      <c r="A3" t="s">
        <v>334</v>
      </c>
      <c r="B3" s="47">
        <v>0.6</v>
      </c>
    </row>
    <row r="4" spans="1:2" ht="12.75">
      <c r="A4" t="s">
        <v>335</v>
      </c>
      <c r="B4" s="99">
        <v>0.09</v>
      </c>
    </row>
    <row r="5" spans="1:2" ht="12.75">
      <c r="A5" t="s">
        <v>336</v>
      </c>
      <c r="B5" s="47">
        <f>1-B3</f>
        <v>0.4</v>
      </c>
    </row>
    <row r="6" spans="1:2" ht="12.75">
      <c r="A6" t="s">
        <v>337</v>
      </c>
      <c r="B6" s="99">
        <v>0.05</v>
      </c>
    </row>
    <row r="8" spans="1:2" ht="12.75">
      <c r="A8" s="1" t="s">
        <v>338</v>
      </c>
      <c r="B8" s="159">
        <f>B3*B4+B5*B6</f>
        <v>0.07400000000000001</v>
      </c>
    </row>
    <row r="10" ht="14.25">
      <c r="A10" s="41" t="s">
        <v>970</v>
      </c>
    </row>
    <row r="11" ht="14.25">
      <c r="A11" s="41" t="s">
        <v>733</v>
      </c>
    </row>
    <row r="12" spans="1:3" ht="12.75">
      <c r="A12" t="s">
        <v>339</v>
      </c>
      <c r="B12" s="4" t="s">
        <v>734</v>
      </c>
      <c r="C12" s="4" t="s">
        <v>735</v>
      </c>
    </row>
    <row r="13" spans="1:3" ht="12.75">
      <c r="A13" t="s">
        <v>340</v>
      </c>
      <c r="B13" s="75">
        <v>10000</v>
      </c>
      <c r="C13" s="75">
        <v>10000</v>
      </c>
    </row>
    <row r="14" spans="1:3" ht="12.75">
      <c r="A14" s="22" t="s">
        <v>346</v>
      </c>
      <c r="B14" s="171"/>
      <c r="C14" s="171">
        <v>24000</v>
      </c>
    </row>
    <row r="15" spans="1:3" ht="12.75">
      <c r="A15" s="22" t="s">
        <v>337</v>
      </c>
      <c r="B15" s="433">
        <v>0.05</v>
      </c>
      <c r="C15" s="433"/>
    </row>
    <row r="16" spans="1:3" ht="12.75">
      <c r="A16" t="s">
        <v>910</v>
      </c>
      <c r="B16" s="75">
        <f>B14*B15</f>
        <v>0</v>
      </c>
      <c r="C16" s="75">
        <f>C14*B15</f>
        <v>1200</v>
      </c>
    </row>
    <row r="17" spans="1:3" ht="12.75">
      <c r="A17" t="s">
        <v>806</v>
      </c>
      <c r="B17" s="75">
        <f>B13-B16</f>
        <v>10000</v>
      </c>
      <c r="C17" s="75">
        <f>C13-C16</f>
        <v>8800</v>
      </c>
    </row>
    <row r="18" spans="1:3" ht="14.25">
      <c r="A18" t="s">
        <v>1416</v>
      </c>
      <c r="B18" s="99">
        <v>0.08</v>
      </c>
      <c r="C18" s="99">
        <v>0.11</v>
      </c>
    </row>
    <row r="19" spans="1:6" ht="14.25">
      <c r="A19" t="s">
        <v>1482</v>
      </c>
      <c r="B19" s="75">
        <v>125000</v>
      </c>
      <c r="C19" s="75">
        <v>80000</v>
      </c>
      <c r="E19">
        <v>1.5</v>
      </c>
      <c r="F19" s="99">
        <f>1-C23</f>
        <v>0.7692307692307692</v>
      </c>
    </row>
    <row r="20" spans="1:6" ht="14.25">
      <c r="A20" t="s">
        <v>1481</v>
      </c>
      <c r="B20" s="75">
        <f>B14</f>
        <v>0</v>
      </c>
      <c r="C20" s="75">
        <f>C14</f>
        <v>24000</v>
      </c>
      <c r="D20" s="47">
        <f>C20/C19</f>
        <v>0.3</v>
      </c>
      <c r="E20">
        <v>0.3</v>
      </c>
      <c r="F20" s="99">
        <f>1-F19</f>
        <v>0.23076923076923084</v>
      </c>
    </row>
    <row r="21" spans="1:5" ht="12.75">
      <c r="A21" t="s">
        <v>255</v>
      </c>
      <c r="B21" s="75">
        <f>B19+B20</f>
        <v>125000</v>
      </c>
      <c r="C21" s="75">
        <f>C19+C20</f>
        <v>104000</v>
      </c>
      <c r="E21" s="87">
        <f>E19*F19+E20*F20</f>
        <v>1.223076923076923</v>
      </c>
    </row>
    <row r="22" spans="1:3" ht="12.75">
      <c r="A22" t="s">
        <v>338</v>
      </c>
      <c r="B22" s="79">
        <f>B18*B19/B21+B15*B20/B21</f>
        <v>0.08</v>
      </c>
      <c r="C22" s="96">
        <f>C18*C19/C21+B15*C20/C21</f>
        <v>0.09615384615384616</v>
      </c>
    </row>
    <row r="23" spans="1:3" ht="14.25">
      <c r="A23" t="s">
        <v>1480</v>
      </c>
      <c r="B23" s="79">
        <f>B20/B21</f>
        <v>0</v>
      </c>
      <c r="C23" s="79">
        <f>C20/C21</f>
        <v>0.23076923076923078</v>
      </c>
    </row>
    <row r="24" spans="1:3" ht="12.75">
      <c r="A24" t="s">
        <v>344</v>
      </c>
      <c r="B24" s="99">
        <v>1</v>
      </c>
      <c r="C24" s="99">
        <v>1</v>
      </c>
    </row>
    <row r="26" ht="12.75">
      <c r="A26" s="131" t="s">
        <v>347</v>
      </c>
    </row>
    <row r="27" spans="1:5" ht="12.75">
      <c r="A27" s="55" t="s">
        <v>349</v>
      </c>
      <c r="B27" s="175">
        <v>0.01</v>
      </c>
      <c r="C27" s="175">
        <f>C28/C$19</f>
        <v>0.0126953125</v>
      </c>
      <c r="E27" s="90" t="s">
        <v>1479</v>
      </c>
    </row>
    <row r="28" spans="1:5" ht="12.75">
      <c r="A28" s="55" t="s">
        <v>348</v>
      </c>
      <c r="B28" s="75">
        <f>B$19*B27</f>
        <v>1250</v>
      </c>
      <c r="C28" s="262">
        <f>B28/(1+C$23)</f>
        <v>1015.625</v>
      </c>
      <c r="D28" s="25">
        <f>C28/B$28</f>
        <v>0.8125</v>
      </c>
      <c r="E28" s="171">
        <f>C28*C23</f>
        <v>234.375</v>
      </c>
    </row>
    <row r="29" spans="1:3" ht="12.75">
      <c r="A29" s="33" t="s">
        <v>345</v>
      </c>
      <c r="B29" s="174">
        <f>B$17*B27</f>
        <v>100</v>
      </c>
      <c r="C29" s="174">
        <f>C$17*C27</f>
        <v>111.71875</v>
      </c>
    </row>
    <row r="30" ht="12.75">
      <c r="A30" t="s">
        <v>351</v>
      </c>
    </row>
    <row r="31" spans="1:4" ht="12.75">
      <c r="A31" s="22" t="s">
        <v>350</v>
      </c>
      <c r="B31" s="171">
        <f>B28*B23</f>
        <v>0</v>
      </c>
      <c r="C31" s="171">
        <f>B28-C28</f>
        <v>234.375</v>
      </c>
      <c r="D31" s="25">
        <f>C31/B$28</f>
        <v>0.1875</v>
      </c>
    </row>
    <row r="32" spans="1:3" ht="12.75">
      <c r="A32" s="172" t="s">
        <v>1483</v>
      </c>
      <c r="B32" s="173">
        <f>B15</f>
        <v>0.05</v>
      </c>
      <c r="C32" s="173">
        <f>B$15</f>
        <v>0.05</v>
      </c>
    </row>
    <row r="33" spans="1:3" ht="12.75">
      <c r="A33" s="1" t="s">
        <v>352</v>
      </c>
      <c r="B33" s="75">
        <f>B29+B31*B32</f>
        <v>100</v>
      </c>
      <c r="C33" s="262">
        <f>C29+C31*C32</f>
        <v>123.4375</v>
      </c>
    </row>
    <row r="34" spans="1:3" ht="12.75">
      <c r="A34" t="s">
        <v>338</v>
      </c>
      <c r="B34" s="79">
        <f>B33/B$28</f>
        <v>0.08</v>
      </c>
      <c r="C34" s="79">
        <f>C33/C$28</f>
        <v>0.12153846153846154</v>
      </c>
    </row>
    <row r="36" ht="12.75">
      <c r="A36" s="131" t="s">
        <v>353</v>
      </c>
    </row>
    <row r="37" ht="12.75">
      <c r="A37" s="131"/>
    </row>
    <row r="38" spans="1:2" ht="12.75">
      <c r="A38" s="78" t="s">
        <v>1484</v>
      </c>
      <c r="B38" s="75">
        <f>B28</f>
        <v>1250</v>
      </c>
    </row>
    <row r="39" spans="1:3" ht="12.75">
      <c r="A39" s="78" t="s">
        <v>1492</v>
      </c>
      <c r="C39" s="75">
        <f>B38</f>
        <v>1250</v>
      </c>
    </row>
    <row r="40" spans="1:3" ht="12.75">
      <c r="A40" s="78"/>
      <c r="C40" s="75"/>
    </row>
    <row r="41" spans="1:2" ht="12.75">
      <c r="A41" s="332" t="s">
        <v>1485</v>
      </c>
      <c r="B41" s="99"/>
    </row>
    <row r="42" spans="1:2" ht="12.75">
      <c r="A42" s="332"/>
      <c r="B42" s="99"/>
    </row>
    <row r="43" spans="1:2" ht="12.75">
      <c r="A43" s="333" t="s">
        <v>1491</v>
      </c>
      <c r="B43" s="99"/>
    </row>
    <row r="44" spans="1:3" ht="12.75">
      <c r="A44" s="78" t="s">
        <v>1493</v>
      </c>
      <c r="C44" s="99">
        <f>C23</f>
        <v>0.23076923076923078</v>
      </c>
    </row>
    <row r="45" spans="1:3" ht="12.75">
      <c r="A45" s="131"/>
      <c r="C45" s="99"/>
    </row>
    <row r="46" spans="1:6" ht="12.75">
      <c r="A46" s="78" t="s">
        <v>1486</v>
      </c>
      <c r="C46" s="75">
        <f>C39*(1-C44)</f>
        <v>961.5384615384614</v>
      </c>
      <c r="D46" s="47"/>
      <c r="F46" s="87"/>
    </row>
    <row r="47" spans="1:6" ht="12.75">
      <c r="A47" s="78" t="s">
        <v>1487</v>
      </c>
      <c r="C47" s="174">
        <f>C39-C46</f>
        <v>288.46153846153857</v>
      </c>
      <c r="D47" s="47"/>
      <c r="F47" s="87"/>
    </row>
    <row r="48" spans="1:6" ht="12.75">
      <c r="A48" s="78"/>
      <c r="C48" s="334">
        <f>C46+C47</f>
        <v>1250</v>
      </c>
      <c r="E48" s="87"/>
      <c r="F48" s="87"/>
    </row>
    <row r="49" spans="1:3" ht="12.75">
      <c r="A49" s="78"/>
      <c r="C49" s="99"/>
    </row>
    <row r="50" spans="1:3" ht="12.75">
      <c r="A50" s="78" t="s">
        <v>1488</v>
      </c>
      <c r="C50" s="75">
        <f>C46*C18</f>
        <v>105.76923076923076</v>
      </c>
    </row>
    <row r="51" spans="1:3" ht="12.75">
      <c r="A51" s="78" t="s">
        <v>1489</v>
      </c>
      <c r="C51" s="174">
        <f>C47*B15</f>
        <v>14.423076923076929</v>
      </c>
    </row>
    <row r="52" spans="1:3" ht="12.75">
      <c r="A52" s="78"/>
      <c r="C52" s="75">
        <f>C50+C51</f>
        <v>120.1923076923077</v>
      </c>
    </row>
    <row r="53" spans="1:3" ht="12.75">
      <c r="A53" s="78"/>
      <c r="C53" s="99"/>
    </row>
    <row r="54" spans="1:3" ht="12.75">
      <c r="A54" s="78" t="s">
        <v>1490</v>
      </c>
      <c r="C54" s="355">
        <f>C52/C39</f>
        <v>0.09615384615384616</v>
      </c>
    </row>
    <row r="55" spans="1:3" ht="12.75">
      <c r="A55" s="131"/>
      <c r="C55" s="99"/>
    </row>
    <row r="56" spans="1:3" ht="12.75">
      <c r="A56" s="78" t="s">
        <v>1494</v>
      </c>
      <c r="C56" s="99"/>
    </row>
    <row r="57" spans="1:3" ht="12.75">
      <c r="A57" s="131"/>
      <c r="C57" s="99"/>
    </row>
    <row r="58" spans="1:3" ht="12.75">
      <c r="A58" s="131" t="s">
        <v>1495</v>
      </c>
      <c r="C58" s="99"/>
    </row>
    <row r="59" spans="1:3" ht="12.75">
      <c r="A59" s="78" t="s">
        <v>1496</v>
      </c>
      <c r="B59">
        <v>114000</v>
      </c>
      <c r="C59" s="99"/>
    </row>
    <row r="60" spans="1:3" ht="12.75">
      <c r="A60" s="131"/>
      <c r="C60" s="99"/>
    </row>
    <row r="61" spans="1:3" ht="12.75">
      <c r="A61" s="131"/>
      <c r="B61" s="142" t="s">
        <v>1202</v>
      </c>
      <c r="C61" s="356" t="s">
        <v>1203</v>
      </c>
    </row>
    <row r="62" spans="1:3" ht="12.75">
      <c r="A62" s="78" t="s">
        <v>1497</v>
      </c>
      <c r="B62" s="293">
        <f>B59/B17</f>
        <v>11.4</v>
      </c>
      <c r="C62" s="293">
        <f>(B59-C20)/C17</f>
        <v>10.227272727272727</v>
      </c>
    </row>
    <row r="63" spans="1:3" ht="12.75">
      <c r="A63" s="131"/>
      <c r="C63" s="99"/>
    </row>
    <row r="64" spans="1:3" ht="12.75">
      <c r="A64" s="131"/>
      <c r="C64" s="99"/>
    </row>
    <row r="65" spans="1:5" ht="12.75">
      <c r="A65" s="335"/>
      <c r="B65" s="336"/>
      <c r="C65" s="337"/>
      <c r="D65" s="336"/>
      <c r="E65" s="336"/>
    </row>
    <row r="66" spans="1:5" ht="12.75">
      <c r="A66" s="93" t="s">
        <v>622</v>
      </c>
      <c r="B66" s="338">
        <v>111400</v>
      </c>
      <c r="C66" s="338">
        <f>B66</f>
        <v>111400</v>
      </c>
      <c r="D66" s="336"/>
      <c r="E66" s="336"/>
    </row>
    <row r="67" spans="1:5" ht="12.75">
      <c r="A67" s="336" t="s">
        <v>342</v>
      </c>
      <c r="B67" s="338">
        <f>B20</f>
        <v>0</v>
      </c>
      <c r="C67" s="338">
        <v>21000</v>
      </c>
      <c r="D67" s="336"/>
      <c r="E67" s="336"/>
    </row>
    <row r="68" spans="1:5" ht="12.75">
      <c r="A68" s="336" t="s">
        <v>341</v>
      </c>
      <c r="B68" s="338">
        <f>B66-B67</f>
        <v>111400</v>
      </c>
      <c r="C68" s="338">
        <f>C66-C67</f>
        <v>90400</v>
      </c>
      <c r="D68" s="336"/>
      <c r="E68" s="336"/>
    </row>
    <row r="69" spans="1:5" ht="12.75">
      <c r="A69" s="336" t="s">
        <v>343</v>
      </c>
      <c r="B69" s="229">
        <f>B67/B66</f>
        <v>0</v>
      </c>
      <c r="C69" s="229">
        <f>C67/C66</f>
        <v>0.18850987432675045</v>
      </c>
      <c r="D69" s="336"/>
      <c r="E69" s="336"/>
    </row>
    <row r="70" spans="1:5" ht="12.75">
      <c r="A70" s="339" t="s">
        <v>335</v>
      </c>
      <c r="B70" s="340">
        <f>B17/B68</f>
        <v>0.08976660682226212</v>
      </c>
      <c r="C70" s="340">
        <f>C17/C68</f>
        <v>0.09734513274336283</v>
      </c>
      <c r="D70" s="336"/>
      <c r="E70" s="336"/>
    </row>
    <row r="71" spans="1:5" ht="12.75">
      <c r="A71" s="339" t="s">
        <v>337</v>
      </c>
      <c r="B71" s="340"/>
      <c r="C71" s="340">
        <f>C16/C67</f>
        <v>0.05714285714285714</v>
      </c>
      <c r="D71" s="336"/>
      <c r="E71" s="336"/>
    </row>
    <row r="72" spans="1:5" ht="12.75">
      <c r="A72" s="339" t="s">
        <v>338</v>
      </c>
      <c r="B72" s="340">
        <f>(B70*B68+B71*B67)/(B68+B67)</f>
        <v>0.08976660682226212</v>
      </c>
      <c r="C72" s="340">
        <f>(C70*C68+C71*C67)/(C68+C67)</f>
        <v>0.08976660682226212</v>
      </c>
      <c r="D72" s="336"/>
      <c r="E72" s="336"/>
    </row>
    <row r="73" spans="1:5" ht="12.75">
      <c r="A73" s="336"/>
      <c r="B73" s="338"/>
      <c r="C73" s="338"/>
      <c r="D73" s="336"/>
      <c r="E73" s="336"/>
    </row>
    <row r="74" spans="1:5" ht="12.75">
      <c r="A74" s="336" t="s">
        <v>627</v>
      </c>
      <c r="B74" s="338">
        <v>1250</v>
      </c>
      <c r="C74" s="338">
        <f>B74</f>
        <v>1250</v>
      </c>
      <c r="D74" s="336"/>
      <c r="E74" s="336"/>
    </row>
    <row r="75" spans="1:5" ht="12.75">
      <c r="A75" s="336"/>
      <c r="B75" s="338"/>
      <c r="C75" s="338"/>
      <c r="D75" s="336"/>
      <c r="E75" s="336"/>
    </row>
    <row r="76" spans="1:5" ht="12.75">
      <c r="A76" s="341" t="s">
        <v>625</v>
      </c>
      <c r="B76" s="342"/>
      <c r="C76" s="342"/>
      <c r="D76" s="336"/>
      <c r="E76" s="343"/>
    </row>
    <row r="77" spans="1:5" ht="12.75">
      <c r="A77" s="344" t="s">
        <v>626</v>
      </c>
      <c r="B77" s="345">
        <f>B78/B68</f>
        <v>0.011220825852782765</v>
      </c>
      <c r="C77" s="345">
        <f>C78/C68</f>
        <v>0.011634260620805819</v>
      </c>
      <c r="D77" s="336"/>
      <c r="E77" s="343" t="s">
        <v>354</v>
      </c>
    </row>
    <row r="78" spans="1:5" ht="12.75">
      <c r="A78" s="346" t="s">
        <v>348</v>
      </c>
      <c r="B78" s="347">
        <f>B74</f>
        <v>1250</v>
      </c>
      <c r="C78" s="347">
        <f>C74*D78</f>
        <v>1051.737160120846</v>
      </c>
      <c r="D78" s="229">
        <f>1/(1+C69)</f>
        <v>0.8413897280966768</v>
      </c>
      <c r="E78" s="347">
        <f>C78*C69</f>
        <v>198.26283987915411</v>
      </c>
    </row>
    <row r="79" spans="1:5" ht="12.75">
      <c r="A79" s="346" t="s">
        <v>345</v>
      </c>
      <c r="B79" s="348">
        <f>B17*B77</f>
        <v>112.20825852782765</v>
      </c>
      <c r="C79" s="348">
        <f>C17*C77</f>
        <v>102.3814934630912</v>
      </c>
      <c r="D79" s="336"/>
      <c r="E79" s="336"/>
    </row>
    <row r="80" spans="1:5" ht="12.75">
      <c r="A80" s="346" t="s">
        <v>338</v>
      </c>
      <c r="B80" s="349">
        <f>B79/B78</f>
        <v>0.08976660682226212</v>
      </c>
      <c r="C80" s="349">
        <f>C79/C78</f>
        <v>0.09734513274336283</v>
      </c>
      <c r="D80" s="336"/>
      <c r="E80" s="336"/>
    </row>
    <row r="81" spans="1:5" ht="12.75">
      <c r="A81" s="350" t="s">
        <v>623</v>
      </c>
      <c r="B81" s="350"/>
      <c r="C81" s="350"/>
      <c r="D81" s="336"/>
      <c r="E81" s="336"/>
    </row>
    <row r="82" spans="1:5" ht="12.75">
      <c r="A82" s="339" t="s">
        <v>350</v>
      </c>
      <c r="B82" s="351"/>
      <c r="C82" s="347">
        <f>B78-C78</f>
        <v>198.26283987915394</v>
      </c>
      <c r="D82" s="229">
        <f>C82/B78</f>
        <v>0.15861027190332316</v>
      </c>
      <c r="E82" s="336"/>
    </row>
    <row r="83" spans="1:5" ht="12.75">
      <c r="A83" s="339" t="s">
        <v>624</v>
      </c>
      <c r="B83" s="351"/>
      <c r="C83" s="347">
        <f>C82*C84</f>
        <v>9.913141993957698</v>
      </c>
      <c r="D83" s="229"/>
      <c r="E83" s="336"/>
    </row>
    <row r="84" spans="1:5" ht="12.75">
      <c r="A84" s="352" t="s">
        <v>338</v>
      </c>
      <c r="B84" s="353">
        <f>+B15</f>
        <v>0.05</v>
      </c>
      <c r="C84" s="353">
        <f>B$15</f>
        <v>0.05</v>
      </c>
      <c r="D84" s="336"/>
      <c r="E84" s="336"/>
    </row>
    <row r="85" spans="1:5" ht="12.75">
      <c r="A85" s="336" t="s">
        <v>352</v>
      </c>
      <c r="B85" s="338">
        <f>B79+B82*B84</f>
        <v>112.20825852782765</v>
      </c>
      <c r="C85" s="338">
        <f>C79+C82*C84</f>
        <v>112.2946354570489</v>
      </c>
      <c r="D85" s="338">
        <f>C85-B85</f>
        <v>0.08637692922124529</v>
      </c>
      <c r="E85" s="336"/>
    </row>
    <row r="86" spans="1:5" ht="12.75">
      <c r="A86" s="336" t="s">
        <v>338</v>
      </c>
      <c r="B86" s="354">
        <f>B85/B78</f>
        <v>0.08976660682226212</v>
      </c>
      <c r="C86" s="354">
        <f>C85/(C78+C82)</f>
        <v>0.08983570836563912</v>
      </c>
      <c r="D86" s="336"/>
      <c r="E86" s="336"/>
    </row>
    <row r="87" spans="1:5" ht="12.75">
      <c r="A87" s="93" t="s">
        <v>259</v>
      </c>
      <c r="B87" s="290">
        <f>B68/B17</f>
        <v>11.14</v>
      </c>
      <c r="C87" s="290">
        <f>C68/C17</f>
        <v>10.272727272727273</v>
      </c>
      <c r="D87" s="336"/>
      <c r="E87" s="336"/>
    </row>
    <row r="89" ht="14.25">
      <c r="A89" s="41" t="s">
        <v>1337</v>
      </c>
    </row>
    <row r="90" ht="14.25">
      <c r="A90" s="41"/>
    </row>
    <row r="91" ht="14.25">
      <c r="A91" s="301" t="s">
        <v>1194</v>
      </c>
    </row>
    <row r="92" spans="1:2" ht="12.75">
      <c r="A92" t="s">
        <v>357</v>
      </c>
      <c r="B92" s="79">
        <v>0.08</v>
      </c>
    </row>
    <row r="93" spans="1:2" ht="12.75">
      <c r="A93" s="1" t="s">
        <v>355</v>
      </c>
      <c r="B93" s="130">
        <f>B92</f>
        <v>0.08</v>
      </c>
    </row>
    <row r="94" spans="1:2" ht="12.75">
      <c r="A94" t="s">
        <v>358</v>
      </c>
      <c r="B94" s="121">
        <v>100</v>
      </c>
    </row>
    <row r="95" ht="12.75">
      <c r="B95" s="121"/>
    </row>
    <row r="96" ht="12.75">
      <c r="A96" t="s">
        <v>1195</v>
      </c>
    </row>
    <row r="97" spans="1:2" ht="12.75">
      <c r="A97" t="s">
        <v>361</v>
      </c>
      <c r="B97" s="177">
        <f>B94</f>
        <v>100</v>
      </c>
    </row>
    <row r="98" spans="1:2" ht="12.75">
      <c r="A98" t="s">
        <v>359</v>
      </c>
      <c r="B98" s="177">
        <f>B94/3</f>
        <v>33.333333333333336</v>
      </c>
    </row>
    <row r="99" spans="1:2" ht="12.75">
      <c r="A99" t="s">
        <v>356</v>
      </c>
      <c r="B99" s="79">
        <v>0.05</v>
      </c>
    </row>
    <row r="100" spans="1:2" ht="12.75">
      <c r="A100" t="s">
        <v>360</v>
      </c>
      <c r="B100" s="177">
        <f>B97-B98</f>
        <v>66.66666666666666</v>
      </c>
    </row>
    <row r="101" spans="1:2" ht="12.75">
      <c r="A101" s="1" t="s">
        <v>362</v>
      </c>
      <c r="B101" s="130">
        <f>(B92-B99*B98/B97)*B97/B100</f>
        <v>0.095</v>
      </c>
    </row>
    <row r="102" spans="1:2" ht="12.75">
      <c r="A102" t="s">
        <v>364</v>
      </c>
      <c r="B102" s="79">
        <f>B99*B98/B97+B101*B100/B97</f>
        <v>0.07999999999999999</v>
      </c>
    </row>
    <row r="103" ht="12.75">
      <c r="B103" s="79"/>
    </row>
    <row r="104" ht="12.75">
      <c r="A104" t="s">
        <v>1405</v>
      </c>
    </row>
    <row r="105" spans="1:2" ht="12.75">
      <c r="A105" t="s">
        <v>366</v>
      </c>
      <c r="B105" s="112">
        <v>1.2</v>
      </c>
    </row>
    <row r="106" spans="1:2" ht="12.75">
      <c r="A106" t="s">
        <v>198</v>
      </c>
      <c r="B106" s="47">
        <v>0.04</v>
      </c>
    </row>
    <row r="107" spans="1:2" ht="12.75">
      <c r="A107" s="1" t="s">
        <v>367</v>
      </c>
      <c r="B107" s="157">
        <f>(B105*B106+B101-B93)/B106</f>
        <v>1.5750000000000004</v>
      </c>
    </row>
    <row r="109" spans="1:2" ht="12.75">
      <c r="A109" t="s">
        <v>363</v>
      </c>
      <c r="B109" s="112">
        <f>B105</f>
        <v>1.2</v>
      </c>
    </row>
    <row r="110" spans="1:2" ht="12.75">
      <c r="A110" t="s">
        <v>365</v>
      </c>
      <c r="B110" s="112">
        <f>B109</f>
        <v>1.2</v>
      </c>
    </row>
    <row r="111" spans="1:2" ht="12.75">
      <c r="A111" s="1" t="s">
        <v>368</v>
      </c>
      <c r="B111" s="157">
        <f>(B110-B107*B100/B97)*B97/B98</f>
        <v>0.4499999999999997</v>
      </c>
    </row>
    <row r="113" ht="14.25">
      <c r="A113" s="41" t="s">
        <v>1301</v>
      </c>
    </row>
    <row r="114" spans="1:2" ht="12.75">
      <c r="A114" t="s">
        <v>1498</v>
      </c>
      <c r="B114" s="6">
        <v>1.4</v>
      </c>
    </row>
    <row r="115" spans="1:2" ht="12.75">
      <c r="A115" t="s">
        <v>1499</v>
      </c>
      <c r="B115" s="6">
        <v>1.1</v>
      </c>
    </row>
    <row r="116" ht="12.75">
      <c r="B116" s="6"/>
    </row>
    <row r="117" spans="1:2" ht="12.75">
      <c r="A117" t="s">
        <v>195</v>
      </c>
      <c r="B117" s="99">
        <v>0.035</v>
      </c>
    </row>
    <row r="118" spans="1:2" ht="12.75">
      <c r="A118" t="s">
        <v>198</v>
      </c>
      <c r="B118" s="99">
        <v>0.06</v>
      </c>
    </row>
    <row r="119" ht="12.75">
      <c r="B119" s="6"/>
    </row>
    <row r="120" spans="1:2" ht="12.75">
      <c r="A120" s="1" t="s">
        <v>1500</v>
      </c>
      <c r="B120" s="159">
        <f>B$117+B$118*B114</f>
        <v>0.119</v>
      </c>
    </row>
    <row r="121" spans="1:2" ht="12.75">
      <c r="A121" s="1" t="s">
        <v>1501</v>
      </c>
      <c r="B121" s="159">
        <f>B$117+B$118*B115</f>
        <v>0.101</v>
      </c>
    </row>
    <row r="123" spans="1:2" ht="12.75">
      <c r="A123" t="s">
        <v>1502</v>
      </c>
      <c r="B123" s="99">
        <v>0.045</v>
      </c>
    </row>
    <row r="124" spans="1:2" ht="12.75">
      <c r="A124" t="s">
        <v>1503</v>
      </c>
      <c r="B124" s="47">
        <v>1</v>
      </c>
    </row>
    <row r="125" spans="1:2" ht="12.75">
      <c r="A125" t="s">
        <v>1504</v>
      </c>
      <c r="B125" s="47">
        <f>1/(1+B124)</f>
        <v>0.5</v>
      </c>
    </row>
    <row r="126" spans="1:3" ht="12.75">
      <c r="A126" t="s">
        <v>1505</v>
      </c>
      <c r="B126" s="47">
        <f>B124/(B124+1)</f>
        <v>0.5</v>
      </c>
      <c r="C126" s="47"/>
    </row>
    <row r="127" spans="1:2" ht="12.75">
      <c r="A127" t="s">
        <v>1506</v>
      </c>
      <c r="B127" s="99">
        <f>B120*B125+B123*B126</f>
        <v>0.08199999999999999</v>
      </c>
    </row>
    <row r="128" ht="12.75">
      <c r="B128" s="47"/>
    </row>
    <row r="129" spans="1:3" ht="12.75">
      <c r="A129" t="s">
        <v>1507</v>
      </c>
      <c r="B129" s="99">
        <f>B127</f>
        <v>0.08199999999999999</v>
      </c>
      <c r="C129" s="146"/>
    </row>
    <row r="130" spans="1:2" ht="12.75">
      <c r="A130" t="s">
        <v>1508</v>
      </c>
      <c r="B130" s="99">
        <v>0.04</v>
      </c>
    </row>
    <row r="131" spans="1:2" ht="12.75">
      <c r="A131" t="s">
        <v>1509</v>
      </c>
      <c r="B131" s="47">
        <f>(B129-B130)/(B121-B130)</f>
        <v>0.6885245901639342</v>
      </c>
    </row>
    <row r="132" spans="1:2" ht="12.75">
      <c r="A132" t="s">
        <v>1510</v>
      </c>
      <c r="B132" s="47">
        <f>1-B131</f>
        <v>0.3114754098360658</v>
      </c>
    </row>
    <row r="133" spans="1:2" ht="12.75">
      <c r="A133" t="s">
        <v>1503</v>
      </c>
      <c r="B133" s="319">
        <f>B132/B131</f>
        <v>0.4523809523809529</v>
      </c>
    </row>
  </sheetData>
  <mergeCells count="1">
    <mergeCell ref="B15:C15"/>
  </mergeCells>
  <printOptions/>
  <pageMargins left="0.7874015748031497" right="0.7874015748031497" top="0.984251968503937" bottom="0.984251968503937" header="0.5118110236220472" footer="0.5118110236220472"/>
  <pageSetup fitToHeight="4" fitToWidth="1" horizontalDpi="200" verticalDpi="200" orientation="landscape" paperSize="9" scale="88" r:id="rId2"/>
  <headerFooter alignWithMargins="0">
    <oddFooter>&amp;L&amp;"Verdana,Italique"&amp;9&amp;F - &amp;A&amp;C&amp;P / &amp;N&amp;R&amp;"Verdana,Italique"&amp;9&amp;D - &amp;T</oddFooter>
  </headerFooter>
  <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BZ46"/>
  <sheetViews>
    <sheetView showGridLines="0" zoomScale="75" zoomScaleNormal="75" workbookViewId="0" topLeftCell="A1">
      <selection activeCell="A1" sqref="A1"/>
    </sheetView>
  </sheetViews>
  <sheetFormatPr defaultColWidth="11.00390625" defaultRowHeight="12.75"/>
  <cols>
    <col min="1" max="1" width="57.375" style="0" customWidth="1"/>
  </cols>
  <sheetData>
    <row r="1" ht="14.25">
      <c r="A1" s="41" t="s">
        <v>677</v>
      </c>
    </row>
    <row r="2" spans="1:5" ht="12.75">
      <c r="A2" s="2" t="s">
        <v>720</v>
      </c>
      <c r="B2" s="4" t="s">
        <v>886</v>
      </c>
      <c r="C2" s="4" t="s">
        <v>887</v>
      </c>
      <c r="D2" s="4" t="s">
        <v>888</v>
      </c>
      <c r="E2" s="4" t="s">
        <v>900</v>
      </c>
    </row>
    <row r="3" spans="1:5" ht="12.75">
      <c r="A3" s="32" t="s">
        <v>807</v>
      </c>
      <c r="B3" s="38">
        <v>0</v>
      </c>
      <c r="C3" s="38">
        <f>-'Chapitre 2'!C20-' Chapitre 3'!B75</f>
        <v>24</v>
      </c>
      <c r="D3" s="38">
        <f>C3-' Chapitre 3'!C75</f>
        <v>18</v>
      </c>
      <c r="E3" s="38">
        <f>D3-' Chapitre 3'!D75</f>
        <v>12</v>
      </c>
    </row>
    <row r="4" spans="1:5" ht="12.75">
      <c r="A4" s="34" t="s">
        <v>714</v>
      </c>
      <c r="B4" s="23">
        <f>B5+B6</f>
        <v>0</v>
      </c>
      <c r="C4" s="23">
        <f>C5+C6</f>
        <v>14</v>
      </c>
      <c r="D4" s="23">
        <f>D5+D6</f>
        <v>14</v>
      </c>
      <c r="E4" s="23">
        <f>E5+E6</f>
        <v>14</v>
      </c>
    </row>
    <row r="5" spans="1:78" s="13" customFormat="1" ht="10.5">
      <c r="A5" s="10" t="s">
        <v>889</v>
      </c>
      <c r="B5" s="42">
        <v>0</v>
      </c>
      <c r="C5" s="12">
        <f>' Chapitre 3'!B69</f>
        <v>10</v>
      </c>
      <c r="D5" s="12">
        <f>C5</f>
        <v>10</v>
      </c>
      <c r="E5" s="12">
        <f>D5</f>
        <v>10</v>
      </c>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13" customFormat="1" ht="10.5">
      <c r="A6" s="10" t="s">
        <v>890</v>
      </c>
      <c r="B6" s="42">
        <v>0</v>
      </c>
      <c r="C6" s="12">
        <v>4</v>
      </c>
      <c r="D6" s="12">
        <v>4</v>
      </c>
      <c r="E6" s="12">
        <v>4</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row>
    <row r="7" spans="1:5" ht="12.75">
      <c r="A7" s="34" t="s">
        <v>852</v>
      </c>
      <c r="B7" s="23">
        <v>0</v>
      </c>
      <c r="C7" s="23">
        <v>36</v>
      </c>
      <c r="D7" s="23">
        <f>C7</f>
        <v>36</v>
      </c>
      <c r="E7" s="23">
        <f>D7</f>
        <v>36</v>
      </c>
    </row>
    <row r="8" spans="1:5" ht="12.75">
      <c r="A8" s="34" t="s">
        <v>853</v>
      </c>
      <c r="B8" s="23">
        <v>0</v>
      </c>
      <c r="C8" s="23">
        <f>52-'Chapitre 2'!C30+'Chapitre 2'!D17</f>
        <v>14</v>
      </c>
      <c r="D8" s="23">
        <f>C8</f>
        <v>14</v>
      </c>
      <c r="E8" s="23">
        <f>D8</f>
        <v>14</v>
      </c>
    </row>
    <row r="9" spans="1:5" ht="12.75">
      <c r="A9" s="35" t="s">
        <v>854</v>
      </c>
      <c r="B9" s="23">
        <f>B4-B7+B8</f>
        <v>0</v>
      </c>
      <c r="C9" s="23">
        <f>C4+C7-C8</f>
        <v>36</v>
      </c>
      <c r="D9" s="23">
        <f>D4+D7-D8</f>
        <v>36</v>
      </c>
      <c r="E9" s="23">
        <f>E4+E7-E8</f>
        <v>36</v>
      </c>
    </row>
    <row r="10" spans="1:5" ht="12.75">
      <c r="A10" s="34" t="s">
        <v>855</v>
      </c>
      <c r="B10" s="23">
        <v>0</v>
      </c>
      <c r="C10" s="23">
        <v>0</v>
      </c>
      <c r="D10" s="23">
        <v>0</v>
      </c>
      <c r="E10" s="23">
        <v>0</v>
      </c>
    </row>
    <row r="11" spans="1:5" ht="12.75">
      <c r="A11" s="36" t="s">
        <v>856</v>
      </c>
      <c r="B11" s="38">
        <f>B9+B10</f>
        <v>0</v>
      </c>
      <c r="C11" s="38">
        <f>C9+C10</f>
        <v>36</v>
      </c>
      <c r="D11" s="38">
        <f>D9+D10</f>
        <v>36</v>
      </c>
      <c r="E11" s="38">
        <f>E9+E10</f>
        <v>36</v>
      </c>
    </row>
    <row r="12" spans="1:5" ht="12.75">
      <c r="A12" s="29" t="s">
        <v>808</v>
      </c>
      <c r="B12" s="23">
        <f>B3+B11</f>
        <v>0</v>
      </c>
      <c r="C12" s="23">
        <f>C3+C11</f>
        <v>60</v>
      </c>
      <c r="D12" s="23">
        <f>D3+D11</f>
        <v>54</v>
      </c>
      <c r="E12" s="23">
        <f>E3+E11</f>
        <v>48</v>
      </c>
    </row>
    <row r="13" spans="1:5" ht="12.75">
      <c r="A13" s="3"/>
      <c r="B13" s="23"/>
      <c r="C13" s="23"/>
      <c r="D13" s="23"/>
      <c r="E13" s="23"/>
    </row>
    <row r="14" spans="1:5" ht="12.75">
      <c r="A14" s="1" t="s">
        <v>809</v>
      </c>
      <c r="B14" s="23">
        <v>40</v>
      </c>
      <c r="C14" s="23">
        <f>B14+' Chapitre 3'!B80</f>
        <v>54.1</v>
      </c>
      <c r="D14" s="23">
        <f>C14+' Chapitre 3'!C80</f>
        <v>70.6</v>
      </c>
      <c r="E14" s="23">
        <f>D14+' Chapitre 3'!D80</f>
        <v>87.5</v>
      </c>
    </row>
    <row r="15" spans="1:5" ht="12.75">
      <c r="A15" s="33" t="s">
        <v>810</v>
      </c>
      <c r="B15" s="38">
        <v>0</v>
      </c>
      <c r="C15" s="38"/>
      <c r="D15" s="38"/>
      <c r="E15" s="38"/>
    </row>
    <row r="16" spans="1:5" ht="12.75">
      <c r="A16" t="s">
        <v>848</v>
      </c>
      <c r="B16" s="23">
        <v>0</v>
      </c>
      <c r="C16" s="23">
        <f>-SUM('Chapitre 2'!$C37:C37)</f>
        <v>16</v>
      </c>
      <c r="D16" s="23">
        <f>-SUM('Chapitre 2'!$C37:D37)</f>
        <v>12</v>
      </c>
      <c r="E16" s="23">
        <f>-SUM('Chapitre 2'!$C37:E37)</f>
        <v>8</v>
      </c>
    </row>
    <row r="17" spans="1:5" ht="12.75">
      <c r="A17" s="30" t="s">
        <v>850</v>
      </c>
      <c r="B17" s="23">
        <v>0</v>
      </c>
      <c r="C17" s="23">
        <v>0</v>
      </c>
      <c r="D17" s="23">
        <v>0</v>
      </c>
      <c r="E17" s="23">
        <v>0</v>
      </c>
    </row>
    <row r="18" spans="1:5" ht="12.75">
      <c r="A18" s="30" t="s">
        <v>849</v>
      </c>
      <c r="B18" s="23">
        <v>40</v>
      </c>
      <c r="C18" s="23">
        <f>B18+'Chapitre 2'!C39</f>
        <v>10.100000000000001</v>
      </c>
      <c r="D18" s="23">
        <f>C18+'Chapitre 2'!D39</f>
        <v>28.6</v>
      </c>
      <c r="E18" s="23">
        <f>D18+'Chapitre 2'!E39</f>
        <v>47.5</v>
      </c>
    </row>
    <row r="19" spans="1:5" ht="12.75">
      <c r="A19" s="37" t="s">
        <v>857</v>
      </c>
      <c r="B19" s="38">
        <f>B16-B17-B18</f>
        <v>-40</v>
      </c>
      <c r="C19" s="38">
        <f>C16-C17-C18</f>
        <v>5.899999999999999</v>
      </c>
      <c r="D19" s="38">
        <f>D16-D17-D18</f>
        <v>-16.6</v>
      </c>
      <c r="E19" s="38">
        <f>E16-E17-E18</f>
        <v>-39.5</v>
      </c>
    </row>
    <row r="20" spans="1:5" ht="12.75">
      <c r="A20" s="31" t="s">
        <v>851</v>
      </c>
      <c r="B20" s="23">
        <f>B14+B19</f>
        <v>0</v>
      </c>
      <c r="C20" s="23">
        <f>C14+C19</f>
        <v>60</v>
      </c>
      <c r="D20" s="23">
        <f>D14+D19</f>
        <v>53.99999999999999</v>
      </c>
      <c r="E20" s="23">
        <f>E14+E19</f>
        <v>48</v>
      </c>
    </row>
    <row r="25" ht="14.25">
      <c r="A25" s="41" t="s">
        <v>1037</v>
      </c>
    </row>
    <row r="26" ht="12.75">
      <c r="A26" s="97" t="s">
        <v>1038</v>
      </c>
    </row>
    <row r="28" spans="1:2" ht="12.75">
      <c r="A28" s="74" t="s">
        <v>1039</v>
      </c>
      <c r="B28" s="381">
        <v>17515</v>
      </c>
    </row>
    <row r="29" spans="1:2" ht="12.75">
      <c r="A29" t="s">
        <v>1040</v>
      </c>
      <c r="B29" s="379">
        <v>4838</v>
      </c>
    </row>
    <row r="30" spans="1:2" ht="12.75">
      <c r="A30" s="30" t="s">
        <v>1041</v>
      </c>
      <c r="B30" s="379">
        <v>4467</v>
      </c>
    </row>
    <row r="31" spans="1:2" ht="12.75">
      <c r="A31" s="30" t="s">
        <v>1029</v>
      </c>
      <c r="B31" s="379">
        <v>1099</v>
      </c>
    </row>
    <row r="32" spans="1:2" ht="12.75">
      <c r="A32" s="382" t="s">
        <v>1042</v>
      </c>
      <c r="B32" s="383">
        <f>SUM(B29:B31)</f>
        <v>10404</v>
      </c>
    </row>
    <row r="33" spans="1:2" ht="12.75">
      <c r="A33" t="s">
        <v>1043</v>
      </c>
      <c r="B33" s="379">
        <v>3967</v>
      </c>
    </row>
    <row r="34" spans="1:2" ht="12.75">
      <c r="A34" s="30" t="s">
        <v>1033</v>
      </c>
      <c r="B34" s="379">
        <v>3207</v>
      </c>
    </row>
    <row r="35" spans="1:2" ht="12.75">
      <c r="A35" s="382" t="s">
        <v>1044</v>
      </c>
      <c r="B35" s="383">
        <f>SUM(B33:B34)</f>
        <v>7174</v>
      </c>
    </row>
    <row r="36" spans="1:2" ht="25.5">
      <c r="A36" s="35" t="s">
        <v>1045</v>
      </c>
      <c r="B36" s="379">
        <f>B32-B35</f>
        <v>3230</v>
      </c>
    </row>
    <row r="37" spans="1:2" ht="12.75">
      <c r="A37" s="71" t="s">
        <v>1046</v>
      </c>
      <c r="B37" s="384" t="s">
        <v>1397</v>
      </c>
    </row>
    <row r="38" spans="1:2" ht="12.75">
      <c r="A38" s="102" t="s">
        <v>1047</v>
      </c>
      <c r="B38" s="383">
        <f>B36+B28</f>
        <v>20745</v>
      </c>
    </row>
    <row r="39" ht="12.75">
      <c r="B39" s="379"/>
    </row>
    <row r="40" spans="1:2" ht="12.75">
      <c r="A40" s="74" t="s">
        <v>1048</v>
      </c>
      <c r="B40" s="383">
        <v>11806</v>
      </c>
    </row>
    <row r="41" spans="1:2" ht="12.75">
      <c r="A41" t="s">
        <v>1049</v>
      </c>
      <c r="B41" s="379">
        <v>10104</v>
      </c>
    </row>
    <row r="42" spans="1:2" ht="12.75">
      <c r="A42" s="30" t="s">
        <v>1050</v>
      </c>
      <c r="B42" s="379">
        <v>1803</v>
      </c>
    </row>
    <row r="43" spans="1:2" ht="12.75">
      <c r="A43" s="30" t="s">
        <v>1051</v>
      </c>
      <c r="B43" s="379">
        <v>2968</v>
      </c>
    </row>
    <row r="44" spans="1:2" ht="12.75">
      <c r="A44" s="30" t="s">
        <v>1052</v>
      </c>
      <c r="B44" s="379">
        <f>B41+B42-B43</f>
        <v>8939</v>
      </c>
    </row>
    <row r="45" spans="1:2" ht="12.75">
      <c r="A45" s="382" t="s">
        <v>1053</v>
      </c>
      <c r="B45" s="383">
        <f>B44+B40</f>
        <v>20745</v>
      </c>
    </row>
    <row r="46" ht="12.75">
      <c r="B46" s="379"/>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30.xml><?xml version="1.0" encoding="utf-8"?>
<worksheet xmlns="http://schemas.openxmlformats.org/spreadsheetml/2006/main" xmlns:r="http://schemas.openxmlformats.org/officeDocument/2006/relationships">
  <sheetPr codeName="Feuil30">
    <pageSetUpPr fitToPage="1"/>
  </sheetPr>
  <dimension ref="A1:F62"/>
  <sheetViews>
    <sheetView showGridLines="0" workbookViewId="0" topLeftCell="J32">
      <selection activeCell="A62" sqref="A42:N62"/>
    </sheetView>
  </sheetViews>
  <sheetFormatPr defaultColWidth="11.00390625" defaultRowHeight="12.75"/>
  <cols>
    <col min="1" max="1" width="25.875" style="0" customWidth="1"/>
  </cols>
  <sheetData>
    <row r="1" ht="14.25">
      <c r="A1" s="20" t="s">
        <v>968</v>
      </c>
    </row>
    <row r="2" ht="14.25">
      <c r="A2" s="41" t="s">
        <v>736</v>
      </c>
    </row>
    <row r="3" spans="1:2" ht="12.75">
      <c r="A3" t="s">
        <v>334</v>
      </c>
      <c r="B3" s="47">
        <v>0.7</v>
      </c>
    </row>
    <row r="4" spans="1:2" ht="12.75">
      <c r="A4" t="s">
        <v>335</v>
      </c>
      <c r="B4" s="47">
        <v>0.1</v>
      </c>
    </row>
    <row r="5" spans="1:2" ht="12.75">
      <c r="A5" t="s">
        <v>336</v>
      </c>
      <c r="B5" s="47">
        <f>1-B3</f>
        <v>0.30000000000000004</v>
      </c>
    </row>
    <row r="6" spans="1:2" ht="12.75">
      <c r="A6" t="s">
        <v>337</v>
      </c>
      <c r="B6" s="47">
        <v>0.06</v>
      </c>
    </row>
    <row r="8" spans="1:4" ht="12.75">
      <c r="A8" t="s">
        <v>369</v>
      </c>
      <c r="B8" s="47">
        <v>0.2</v>
      </c>
      <c r="C8" s="47">
        <v>0.5</v>
      </c>
      <c r="D8" s="47">
        <v>0.8</v>
      </c>
    </row>
    <row r="9" spans="1:4" ht="12.75">
      <c r="A9" s="1" t="s">
        <v>338</v>
      </c>
      <c r="B9" s="100">
        <f>$B4*$B3+$B6*$B5*(1-B8)</f>
        <v>0.0844</v>
      </c>
      <c r="C9" s="100">
        <f>$B4*$B3+$B6*$B5*(1-C8)</f>
        <v>0.07899999999999999</v>
      </c>
      <c r="D9" s="100">
        <f>$B4*$B3+$B6*$B5*(1-D8)</f>
        <v>0.0736</v>
      </c>
    </row>
    <row r="11" ht="14.25">
      <c r="A11" s="20" t="s">
        <v>970</v>
      </c>
    </row>
    <row r="12" ht="14.25">
      <c r="A12" s="41" t="s">
        <v>737</v>
      </c>
    </row>
    <row r="13" spans="1:2" ht="12.75">
      <c r="A13" t="s">
        <v>370</v>
      </c>
      <c r="B13" s="87">
        <v>200</v>
      </c>
    </row>
    <row r="14" spans="1:2" ht="12.75">
      <c r="A14" t="s">
        <v>369</v>
      </c>
      <c r="B14" s="47">
        <v>0.4</v>
      </c>
    </row>
    <row r="16" spans="1:2" ht="12.75">
      <c r="A16" t="s">
        <v>359</v>
      </c>
      <c r="B16" s="87">
        <v>50</v>
      </c>
    </row>
    <row r="17" spans="1:2" ht="12.75">
      <c r="A17" t="s">
        <v>356</v>
      </c>
      <c r="B17" s="47">
        <v>0.06</v>
      </c>
    </row>
    <row r="18" spans="1:2" ht="12.75">
      <c r="A18" t="s">
        <v>360</v>
      </c>
      <c r="B18" s="87">
        <f>B13-B16</f>
        <v>150</v>
      </c>
    </row>
    <row r="19" spans="1:2" ht="12.75">
      <c r="A19" t="s">
        <v>362</v>
      </c>
      <c r="B19" s="47">
        <v>0.11</v>
      </c>
    </row>
    <row r="21" spans="1:2" ht="12.75">
      <c r="A21" t="s">
        <v>371</v>
      </c>
      <c r="B21" s="87">
        <f>B16*B17*B14/B19</f>
        <v>10.90909090909091</v>
      </c>
    </row>
    <row r="22" ht="12.75">
      <c r="B22" s="87"/>
    </row>
    <row r="23" spans="1:2" ht="12.75">
      <c r="A23" s="1" t="s">
        <v>1511</v>
      </c>
      <c r="B23" s="140">
        <f>B13+B21</f>
        <v>210.9090909090909</v>
      </c>
    </row>
    <row r="25" ht="14.25">
      <c r="A25" s="41" t="s">
        <v>1337</v>
      </c>
    </row>
    <row r="26" ht="14.25">
      <c r="A26" s="41" t="s">
        <v>738</v>
      </c>
    </row>
    <row r="27" spans="1:2" ht="12.75">
      <c r="A27" t="s">
        <v>341</v>
      </c>
      <c r="B27" s="6">
        <v>40</v>
      </c>
    </row>
    <row r="28" spans="1:2" ht="12.75">
      <c r="A28" t="s">
        <v>342</v>
      </c>
      <c r="B28" s="6">
        <v>30</v>
      </c>
    </row>
    <row r="29" spans="1:2" ht="12.75">
      <c r="A29" t="s">
        <v>337</v>
      </c>
      <c r="B29" s="47">
        <v>0.06</v>
      </c>
    </row>
    <row r="30" spans="1:2" ht="12.75">
      <c r="A30" t="s">
        <v>369</v>
      </c>
      <c r="B30" s="47">
        <v>0.4</v>
      </c>
    </row>
    <row r="31" spans="1:2" ht="12.75">
      <c r="A31" t="s">
        <v>335</v>
      </c>
      <c r="B31" s="47">
        <v>0.11</v>
      </c>
    </row>
    <row r="33" spans="1:2" ht="12.75">
      <c r="A33" s="1" t="s">
        <v>372</v>
      </c>
      <c r="B33" s="140">
        <f>B28*B29*B30/B31</f>
        <v>6.545454545454545</v>
      </c>
    </row>
    <row r="34" spans="1:2" ht="12.75">
      <c r="A34" s="1"/>
      <c r="B34" s="157"/>
    </row>
    <row r="35" spans="1:2" ht="12.75">
      <c r="A35" s="3" t="s">
        <v>373</v>
      </c>
      <c r="B35" s="87">
        <v>5</v>
      </c>
    </row>
    <row r="36" spans="1:2" ht="12.75">
      <c r="A36" s="2" t="s">
        <v>374</v>
      </c>
      <c r="B36" s="140">
        <f>(B28+B35)*(1+B29*B30/B31)-(B33+B28+B35)</f>
        <v>1.0909090909090935</v>
      </c>
    </row>
    <row r="38" spans="1:2" ht="12.75">
      <c r="A38" t="s">
        <v>371</v>
      </c>
      <c r="B38" s="87">
        <f>(B28+B35)*B29*B30/B31</f>
        <v>7.636363636363637</v>
      </c>
    </row>
    <row r="39" spans="1:2" ht="25.5">
      <c r="A39" s="3" t="s">
        <v>381</v>
      </c>
      <c r="B39" s="87">
        <f>B38/POWER(1+B31,4)</f>
        <v>5.030309257107274</v>
      </c>
    </row>
    <row r="40" spans="1:2" ht="12.75">
      <c r="A40" s="2" t="s">
        <v>375</v>
      </c>
      <c r="B40" s="140">
        <f>-B39</f>
        <v>-5.030309257107274</v>
      </c>
    </row>
    <row r="41" spans="1:2" ht="12.75">
      <c r="A41" s="2"/>
      <c r="B41" s="140"/>
    </row>
    <row r="42" spans="1:2" ht="14.25">
      <c r="A42" s="41" t="s">
        <v>1301</v>
      </c>
      <c r="B42" s="140"/>
    </row>
    <row r="43" ht="12.75">
      <c r="A43" s="166" t="s">
        <v>324</v>
      </c>
    </row>
    <row r="44" spans="2:5" ht="12.75">
      <c r="B44" s="435" t="s">
        <v>893</v>
      </c>
      <c r="C44" s="435"/>
      <c r="D44" s="436" t="s">
        <v>1512</v>
      </c>
      <c r="E44" s="436"/>
    </row>
    <row r="45" spans="1:6" ht="12.75">
      <c r="A45" t="s">
        <v>1333</v>
      </c>
      <c r="B45">
        <v>0</v>
      </c>
      <c r="C45">
        <v>500</v>
      </c>
      <c r="D45">
        <v>0</v>
      </c>
      <c r="E45">
        <v>500</v>
      </c>
      <c r="F45" s="303"/>
    </row>
    <row r="46" spans="2:6" ht="12.75">
      <c r="B46" s="432">
        <v>0.07</v>
      </c>
      <c r="C46" s="432"/>
      <c r="D46" s="432">
        <v>0.07</v>
      </c>
      <c r="E46" s="432"/>
      <c r="F46" s="55"/>
    </row>
    <row r="47" spans="1:6" ht="12.75">
      <c r="A47" t="s">
        <v>382</v>
      </c>
      <c r="B47" s="87">
        <v>128</v>
      </c>
      <c r="C47" s="87">
        <v>128</v>
      </c>
      <c r="D47" s="87">
        <v>128</v>
      </c>
      <c r="E47" s="87">
        <v>128</v>
      </c>
      <c r="F47" s="55"/>
    </row>
    <row r="48" spans="1:6" ht="12.75">
      <c r="A48" t="s">
        <v>910</v>
      </c>
      <c r="B48" s="87">
        <f>+B46*B45</f>
        <v>0</v>
      </c>
      <c r="C48" s="87">
        <f>+B46*C45</f>
        <v>35</v>
      </c>
      <c r="D48" s="87">
        <f>+D46*D45</f>
        <v>0</v>
      </c>
      <c r="E48" s="87">
        <f>+D46*E45</f>
        <v>35</v>
      </c>
      <c r="F48" s="55"/>
    </row>
    <row r="49" spans="1:6" ht="12.75">
      <c r="A49" t="s">
        <v>383</v>
      </c>
      <c r="B49" s="87">
        <f>B47-B48</f>
        <v>128</v>
      </c>
      <c r="C49" s="87">
        <f>C47-C48</f>
        <v>93</v>
      </c>
      <c r="D49" s="87">
        <f>D47-D48</f>
        <v>128</v>
      </c>
      <c r="E49" s="87">
        <f>E47-E48</f>
        <v>93</v>
      </c>
      <c r="F49" s="55"/>
    </row>
    <row r="50" spans="1:6" ht="12.75">
      <c r="A50" t="s">
        <v>1330</v>
      </c>
      <c r="B50" s="432">
        <v>0.345</v>
      </c>
      <c r="C50" s="432"/>
      <c r="D50" s="432">
        <v>0.35</v>
      </c>
      <c r="E50" s="432"/>
      <c r="F50" s="55"/>
    </row>
    <row r="51" spans="1:6" ht="12.75">
      <c r="A51" s="48" t="s">
        <v>770</v>
      </c>
      <c r="B51" s="178">
        <f>B49*B50</f>
        <v>44.16</v>
      </c>
      <c r="C51" s="178">
        <f>C49*B50</f>
        <v>32.085</v>
      </c>
      <c r="D51" s="178">
        <f>D50*D49</f>
        <v>44.8</v>
      </c>
      <c r="E51" s="178">
        <f>D50*E49</f>
        <v>32.55</v>
      </c>
      <c r="F51" s="55"/>
    </row>
    <row r="52" spans="1:6" ht="12.75">
      <c r="A52" s="3" t="s">
        <v>806</v>
      </c>
      <c r="B52" s="87">
        <f>B49-B51</f>
        <v>83.84</v>
      </c>
      <c r="C52" s="87">
        <f>C49-C51</f>
        <v>60.915</v>
      </c>
      <c r="D52" s="87">
        <f>D49-D51</f>
        <v>83.2</v>
      </c>
      <c r="E52" s="87">
        <f>E49-E51</f>
        <v>60.45</v>
      </c>
      <c r="F52" s="176"/>
    </row>
    <row r="53" spans="2:6" ht="12.75">
      <c r="B53" s="87"/>
      <c r="C53" s="87"/>
      <c r="D53" s="87"/>
      <c r="E53" s="87"/>
      <c r="F53" s="176"/>
    </row>
    <row r="54" spans="1:6" ht="12.75">
      <c r="A54" t="s">
        <v>384</v>
      </c>
      <c r="F54" s="176"/>
    </row>
    <row r="55" spans="1:6" ht="12.75">
      <c r="A55" t="s">
        <v>650</v>
      </c>
      <c r="B55" s="437">
        <f>40%*25%</f>
        <v>0.1</v>
      </c>
      <c r="C55" s="437"/>
      <c r="D55" s="432">
        <v>0.1</v>
      </c>
      <c r="E55" s="432"/>
      <c r="F55" s="176"/>
    </row>
    <row r="56" spans="1:6" ht="12.75">
      <c r="A56" t="s">
        <v>385</v>
      </c>
      <c r="B56" s="166">
        <f>B52*B55</f>
        <v>8.384</v>
      </c>
      <c r="C56" s="166">
        <f>C52*B55</f>
        <v>6.0915</v>
      </c>
      <c r="D56" s="87">
        <f>D55*D52</f>
        <v>8.32</v>
      </c>
      <c r="E56" s="87">
        <f>D55*E52</f>
        <v>6.045000000000001</v>
      </c>
      <c r="F56" s="176"/>
    </row>
    <row r="57" spans="1:6" ht="12.75">
      <c r="A57" t="s">
        <v>152</v>
      </c>
      <c r="B57" s="434">
        <f>10/35</f>
        <v>0.2857142857142857</v>
      </c>
      <c r="C57" s="434"/>
      <c r="D57" s="434">
        <f>7/35</f>
        <v>0.2</v>
      </c>
      <c r="E57" s="434"/>
      <c r="F57" s="176"/>
    </row>
    <row r="58" spans="1:6" ht="12.75">
      <c r="A58" t="s">
        <v>386</v>
      </c>
      <c r="B58" s="87">
        <f>B57*B48</f>
        <v>0</v>
      </c>
      <c r="C58" s="87">
        <f>B57*C48</f>
        <v>10</v>
      </c>
      <c r="D58" s="87">
        <f>D57*D48</f>
        <v>0</v>
      </c>
      <c r="E58" s="166">
        <f>D57*E48</f>
        <v>7</v>
      </c>
      <c r="F58" s="176"/>
    </row>
    <row r="59" spans="1:6" ht="12.75">
      <c r="A59" t="s">
        <v>387</v>
      </c>
      <c r="B59" s="166">
        <f>B48+B52-B56-B58</f>
        <v>75.456</v>
      </c>
      <c r="C59" s="166">
        <f>C48+C52-C56-C58</f>
        <v>79.8235</v>
      </c>
      <c r="D59" s="166">
        <f>D48+D52-D56-D58</f>
        <v>74.88</v>
      </c>
      <c r="E59" s="166">
        <f>E48+E52-E56-E58</f>
        <v>82.405</v>
      </c>
      <c r="F59" s="176"/>
    </row>
    <row r="60" spans="1:6" ht="12.75">
      <c r="A60" t="s">
        <v>388</v>
      </c>
      <c r="B60" s="377">
        <f>B51+B56+B58</f>
        <v>52.544</v>
      </c>
      <c r="C60" s="377">
        <f>C51+C56+C58</f>
        <v>48.176500000000004</v>
      </c>
      <c r="D60" s="377">
        <f>D51+D56+D58</f>
        <v>53.12</v>
      </c>
      <c r="E60" s="166">
        <f>E51+E56+E58</f>
        <v>45.595</v>
      </c>
      <c r="F60" s="176"/>
    </row>
    <row r="61" ht="12.75">
      <c r="F61" s="55"/>
    </row>
    <row r="62" ht="12.75">
      <c r="A62" t="s">
        <v>325</v>
      </c>
    </row>
  </sheetData>
  <mergeCells count="10">
    <mergeCell ref="B44:C44"/>
    <mergeCell ref="D44:E44"/>
    <mergeCell ref="B55:C55"/>
    <mergeCell ref="D55:E55"/>
    <mergeCell ref="B57:C57"/>
    <mergeCell ref="D57:E57"/>
    <mergeCell ref="B46:C46"/>
    <mergeCell ref="D46:E46"/>
    <mergeCell ref="B50:C50"/>
    <mergeCell ref="D50:E50"/>
  </mergeCells>
  <printOptions/>
  <pageMargins left="0.7874015748031497" right="0.7874015748031497" top="0.984251968503937" bottom="0.984251968503937" header="0.5118110236220472" footer="0.5118110236220472"/>
  <pageSetup fitToHeight="3" fitToWidth="1" horizontalDpi="200" verticalDpi="200" orientation="landscape" paperSize="9" scale="59" r:id="rId2"/>
  <headerFooter alignWithMargins="0">
    <oddFooter>&amp;L&amp;"Verdana,Italique"&amp;9&amp;F - &amp;A&amp;C&amp;P / &amp;N&amp;R&amp;"Verdana,Italique"&amp;9&amp;D - &amp;T</oddFooter>
  </headerFooter>
  <drawing r:id="rId1"/>
</worksheet>
</file>

<file path=xl/worksheets/sheet31.xml><?xml version="1.0" encoding="utf-8"?>
<worksheet xmlns="http://schemas.openxmlformats.org/spreadsheetml/2006/main" xmlns:r="http://schemas.openxmlformats.org/officeDocument/2006/relationships">
  <sheetPr codeName="Feuil31">
    <pageSetUpPr fitToPage="1"/>
  </sheetPr>
  <dimension ref="A1:F107"/>
  <sheetViews>
    <sheetView showGridLines="0" zoomScale="75" zoomScaleNormal="75" workbookViewId="0" topLeftCell="A1">
      <selection activeCell="A1" sqref="A1"/>
    </sheetView>
  </sheetViews>
  <sheetFormatPr defaultColWidth="11.00390625" defaultRowHeight="12.75"/>
  <cols>
    <col min="1" max="1" width="18.125" style="0" customWidth="1"/>
    <col min="2" max="2" width="13.50390625" style="0" bestFit="1" customWidth="1"/>
  </cols>
  <sheetData>
    <row r="1" ht="14.25">
      <c r="A1" s="20" t="s">
        <v>968</v>
      </c>
    </row>
    <row r="2" ht="12.75">
      <c r="A2" s="180" t="s">
        <v>389</v>
      </c>
    </row>
    <row r="3" spans="1:2" ht="12.75">
      <c r="A3" t="s">
        <v>390</v>
      </c>
      <c r="B3" s="181">
        <v>10000000</v>
      </c>
    </row>
    <row r="4" spans="1:2" ht="12.75">
      <c r="A4" t="s">
        <v>391</v>
      </c>
      <c r="B4" s="181">
        <v>5000</v>
      </c>
    </row>
    <row r="5" spans="1:4" ht="12.75">
      <c r="A5" t="s">
        <v>1333</v>
      </c>
      <c r="B5" s="182">
        <v>6000000</v>
      </c>
      <c r="C5" s="181">
        <v>5</v>
      </c>
      <c r="D5" t="s">
        <v>228</v>
      </c>
    </row>
    <row r="7" ht="12.75">
      <c r="A7" s="180" t="s">
        <v>392</v>
      </c>
    </row>
    <row r="8" spans="1:3" ht="21">
      <c r="A8" s="76" t="s">
        <v>393</v>
      </c>
      <c r="B8" s="76" t="s">
        <v>394</v>
      </c>
      <c r="C8" s="76" t="s">
        <v>395</v>
      </c>
    </row>
    <row r="9" spans="1:3" ht="12.75">
      <c r="A9" s="182">
        <v>1200</v>
      </c>
      <c r="B9" s="182">
        <v>1010</v>
      </c>
      <c r="C9" s="182">
        <v>1085</v>
      </c>
    </row>
    <row r="10" spans="1:3" ht="12.75">
      <c r="A10" s="182">
        <v>1600</v>
      </c>
      <c r="B10" s="182">
        <v>731</v>
      </c>
      <c r="C10" s="182">
        <v>832</v>
      </c>
    </row>
    <row r="11" spans="1:3" ht="12.75">
      <c r="A11" s="182">
        <v>2000</v>
      </c>
      <c r="B11" s="182">
        <v>510</v>
      </c>
      <c r="C11" s="182">
        <v>627</v>
      </c>
    </row>
    <row r="12" spans="1:3" ht="12.75">
      <c r="A12" s="182">
        <v>2400</v>
      </c>
      <c r="B12" s="182">
        <v>348</v>
      </c>
      <c r="C12" s="182">
        <v>468</v>
      </c>
    </row>
    <row r="13" spans="1:3" ht="12.75">
      <c r="A13" s="182"/>
      <c r="B13" s="182"/>
      <c r="C13" s="182"/>
    </row>
    <row r="14" ht="12.75">
      <c r="A14" s="179" t="s">
        <v>1513</v>
      </c>
    </row>
    <row r="15" spans="1:2" ht="25.5">
      <c r="A15" s="3" t="s">
        <v>398</v>
      </c>
      <c r="B15" s="137">
        <f>B5/B4</f>
        <v>1200</v>
      </c>
    </row>
    <row r="16" spans="1:2" ht="12" customHeight="1">
      <c r="A16" s="183" t="s">
        <v>396</v>
      </c>
      <c r="B16" s="184">
        <f>B4*B9</f>
        <v>5050000</v>
      </c>
    </row>
    <row r="17" spans="1:2" ht="12.75">
      <c r="A17" s="183" t="s">
        <v>397</v>
      </c>
      <c r="B17" s="184">
        <f>B3-B16</f>
        <v>4950000</v>
      </c>
    </row>
    <row r="19" ht="12.75">
      <c r="A19" s="179" t="s">
        <v>1514</v>
      </c>
    </row>
    <row r="20" ht="12.75">
      <c r="A20" t="s">
        <v>399</v>
      </c>
    </row>
    <row r="21" spans="1:2" ht="12.75">
      <c r="A21" s="183" t="s">
        <v>396</v>
      </c>
      <c r="B21" s="184">
        <f>C9*B4</f>
        <v>5425000</v>
      </c>
    </row>
    <row r="22" spans="1:2" ht="12.75">
      <c r="A22" s="183" t="s">
        <v>397</v>
      </c>
      <c r="B22" s="184">
        <f>B3-B21</f>
        <v>4575000</v>
      </c>
    </row>
    <row r="23" ht="12.75">
      <c r="A23" s="30" t="s">
        <v>1515</v>
      </c>
    </row>
    <row r="25" ht="12.75">
      <c r="A25" t="s">
        <v>401</v>
      </c>
    </row>
    <row r="26" spans="1:2" ht="12.75">
      <c r="A26" t="s">
        <v>400</v>
      </c>
      <c r="B26">
        <v>1250</v>
      </c>
    </row>
    <row r="27" spans="1:2" ht="25.5">
      <c r="A27" s="3" t="s">
        <v>398</v>
      </c>
      <c r="B27" s="137">
        <f>B5/(B4-B26)</f>
        <v>1600</v>
      </c>
    </row>
    <row r="28" spans="1:2" ht="12.75">
      <c r="A28" s="183" t="s">
        <v>396</v>
      </c>
      <c r="B28" s="184">
        <f>B10*(B4-B26)+B26*B3/B4</f>
        <v>5241250</v>
      </c>
    </row>
    <row r="29" spans="1:2" ht="12.75">
      <c r="A29" s="183" t="s">
        <v>397</v>
      </c>
      <c r="B29" s="184">
        <f>B3*(B4-B26)/B4-B28</f>
        <v>2258750</v>
      </c>
    </row>
    <row r="30" ht="12.75">
      <c r="A30" s="30" t="s">
        <v>1515</v>
      </c>
    </row>
    <row r="31" ht="12.75">
      <c r="A31" s="30"/>
    </row>
    <row r="32" ht="12.75">
      <c r="A32" t="s">
        <v>1516</v>
      </c>
    </row>
    <row r="33" ht="12.75">
      <c r="A33" s="30" t="s">
        <v>1517</v>
      </c>
    </row>
    <row r="34" ht="12.75">
      <c r="A34" s="30"/>
    </row>
    <row r="36" ht="14.25">
      <c r="A36" s="20" t="s">
        <v>970</v>
      </c>
    </row>
    <row r="37" spans="1:2" ht="25.5">
      <c r="A37" s="3" t="s">
        <v>405</v>
      </c>
      <c r="B37">
        <v>50</v>
      </c>
    </row>
    <row r="38" spans="1:5" ht="12.75">
      <c r="A38" s="1" t="s">
        <v>339</v>
      </c>
      <c r="B38" s="438" t="s">
        <v>1201</v>
      </c>
      <c r="C38" s="439"/>
      <c r="D38" s="427" t="s">
        <v>1202</v>
      </c>
      <c r="E38" s="427"/>
    </row>
    <row r="39" spans="1:5" ht="12.75">
      <c r="A39" s="33"/>
      <c r="B39" s="73" t="s">
        <v>403</v>
      </c>
      <c r="C39" s="54" t="s">
        <v>404</v>
      </c>
      <c r="D39" s="33" t="s">
        <v>403</v>
      </c>
      <c r="E39" s="33" t="s">
        <v>404</v>
      </c>
    </row>
    <row r="40" spans="1:5" ht="12.75">
      <c r="A40" t="s">
        <v>1518</v>
      </c>
      <c r="B40" s="49">
        <v>100</v>
      </c>
      <c r="C40" s="67">
        <v>150</v>
      </c>
      <c r="D40">
        <v>100</v>
      </c>
      <c r="E40">
        <v>150</v>
      </c>
    </row>
    <row r="41" spans="1:5" ht="12.75">
      <c r="A41" t="s">
        <v>1519</v>
      </c>
      <c r="B41" s="161">
        <v>0.1</v>
      </c>
      <c r="C41" s="185">
        <v>0.1</v>
      </c>
      <c r="D41" s="47">
        <v>0.4</v>
      </c>
      <c r="E41" s="47">
        <v>0.4</v>
      </c>
    </row>
    <row r="42" spans="1:5" ht="12.75">
      <c r="A42" t="s">
        <v>341</v>
      </c>
      <c r="B42" s="49">
        <v>7</v>
      </c>
      <c r="C42" s="186">
        <f>C40-C43</f>
        <v>54.900000000000006</v>
      </c>
      <c r="D42">
        <v>18</v>
      </c>
      <c r="E42" s="183">
        <f>E40-E43</f>
        <v>57.900000000000006</v>
      </c>
    </row>
    <row r="43" spans="1:5" ht="12.75">
      <c r="A43" t="s">
        <v>342</v>
      </c>
      <c r="B43" s="49">
        <v>93</v>
      </c>
      <c r="C43" s="67">
        <v>95.1</v>
      </c>
      <c r="D43">
        <v>82</v>
      </c>
      <c r="E43">
        <v>92.1</v>
      </c>
    </row>
    <row r="44" spans="1:5" ht="12.75">
      <c r="A44" t="s">
        <v>337</v>
      </c>
      <c r="B44" s="160">
        <v>0.075</v>
      </c>
      <c r="C44" s="155">
        <v>0.052</v>
      </c>
      <c r="D44" s="47">
        <v>0.22</v>
      </c>
      <c r="E44" s="95">
        <v>0.086</v>
      </c>
    </row>
    <row r="46" spans="1:5" ht="12.75">
      <c r="A46" s="183" t="s">
        <v>406</v>
      </c>
      <c r="B46" s="183"/>
      <c r="C46" s="183">
        <f>C42-B42</f>
        <v>47.900000000000006</v>
      </c>
      <c r="D46" s="183"/>
      <c r="E46" s="183">
        <f>E42-D42</f>
        <v>39.900000000000006</v>
      </c>
    </row>
    <row r="47" spans="1:5" ht="12.75">
      <c r="A47" s="183" t="s">
        <v>407</v>
      </c>
      <c r="B47" s="183"/>
      <c r="C47" s="183">
        <f>C43-B43</f>
        <v>2.0999999999999943</v>
      </c>
      <c r="D47" s="183"/>
      <c r="E47" s="183">
        <f>E43-D43</f>
        <v>10.099999999999994</v>
      </c>
    </row>
    <row r="49" ht="14.25">
      <c r="A49" s="20" t="s">
        <v>1337</v>
      </c>
    </row>
    <row r="50" ht="14.25">
      <c r="A50" s="20"/>
    </row>
    <row r="51" ht="12.75">
      <c r="A51" s="179" t="s">
        <v>408</v>
      </c>
    </row>
    <row r="52" spans="1:4" ht="12.75">
      <c r="A52" s="33" t="s">
        <v>945</v>
      </c>
      <c r="B52" s="187" t="s">
        <v>717</v>
      </c>
      <c r="C52" s="187" t="s">
        <v>412</v>
      </c>
      <c r="D52" s="187" t="s">
        <v>413</v>
      </c>
    </row>
    <row r="53" spans="1:4" ht="12.75">
      <c r="A53" t="s">
        <v>414</v>
      </c>
      <c r="B53" s="137">
        <f>C53*D53</f>
        <v>0</v>
      </c>
      <c r="C53" s="182"/>
      <c r="D53" s="364">
        <v>100</v>
      </c>
    </row>
    <row r="54" spans="1:6" ht="12.75">
      <c r="A54" t="s">
        <v>415</v>
      </c>
      <c r="B54" s="137">
        <f>C54*D54</f>
        <v>300000</v>
      </c>
      <c r="C54" s="182">
        <v>300</v>
      </c>
      <c r="D54" s="182">
        <v>1000</v>
      </c>
      <c r="E54" s="181">
        <v>3</v>
      </c>
      <c r="F54" t="s">
        <v>228</v>
      </c>
    </row>
    <row r="55" spans="1:5" ht="12.75">
      <c r="A55" s="33" t="s">
        <v>937</v>
      </c>
      <c r="B55" s="188"/>
      <c r="C55" s="189"/>
      <c r="D55" s="189"/>
      <c r="E55" s="181"/>
    </row>
    <row r="56" spans="1:4" ht="12.75">
      <c r="A56" t="s">
        <v>410</v>
      </c>
      <c r="B56" s="137">
        <f>C56*D56</f>
        <v>223000</v>
      </c>
      <c r="C56" s="182">
        <v>2230</v>
      </c>
      <c r="D56" s="182">
        <v>100</v>
      </c>
    </row>
    <row r="58" ht="12.75">
      <c r="A58" s="179" t="s">
        <v>409</v>
      </c>
    </row>
    <row r="59" spans="1:2" ht="12.75">
      <c r="A59" s="76" t="s">
        <v>393</v>
      </c>
      <c r="B59" s="76" t="s">
        <v>411</v>
      </c>
    </row>
    <row r="60" spans="1:2" ht="12.75">
      <c r="A60" s="182">
        <v>2600</v>
      </c>
      <c r="B60" s="182">
        <v>130</v>
      </c>
    </row>
    <row r="61" spans="1:2" ht="12.75">
      <c r="A61" s="182">
        <v>2800</v>
      </c>
      <c r="B61" s="182">
        <v>80</v>
      </c>
    </row>
    <row r="62" spans="1:2" ht="12.75">
      <c r="A62" s="182">
        <v>3000</v>
      </c>
      <c r="B62" s="182">
        <v>45</v>
      </c>
    </row>
    <row r="63" spans="1:2" ht="12.75">
      <c r="A63" s="182">
        <v>3200</v>
      </c>
      <c r="B63" s="182">
        <v>32</v>
      </c>
    </row>
    <row r="64" ht="12.75">
      <c r="A64" t="s">
        <v>1194</v>
      </c>
    </row>
    <row r="65" spans="1:2" ht="25.5">
      <c r="A65" s="3" t="s">
        <v>421</v>
      </c>
      <c r="B65" s="137">
        <f>B54/D53</f>
        <v>3000</v>
      </c>
    </row>
    <row r="66" spans="1:2" ht="12.75">
      <c r="A66" t="s">
        <v>417</v>
      </c>
      <c r="B66" s="137">
        <f>B62*D53</f>
        <v>4500</v>
      </c>
    </row>
    <row r="67" spans="1:2" ht="12.75">
      <c r="A67" t="s">
        <v>418</v>
      </c>
      <c r="B67" s="190">
        <f>B56-B66</f>
        <v>218500</v>
      </c>
    </row>
    <row r="69" spans="1:4" ht="25.5">
      <c r="A69" s="3" t="s">
        <v>416</v>
      </c>
      <c r="B69" s="182">
        <f>C69*D69</f>
        <v>13380</v>
      </c>
      <c r="C69" s="364">
        <v>2230</v>
      </c>
      <c r="D69" s="364">
        <v>6</v>
      </c>
    </row>
    <row r="70" spans="1:4" ht="12.75">
      <c r="A70" t="s">
        <v>410</v>
      </c>
      <c r="B70" s="137">
        <f>C70*D70</f>
        <v>209620</v>
      </c>
      <c r="C70" s="137">
        <v>2230</v>
      </c>
      <c r="D70" s="137">
        <f>D56-D69</f>
        <v>94</v>
      </c>
    </row>
    <row r="72" ht="12.75">
      <c r="A72" t="s">
        <v>422</v>
      </c>
    </row>
    <row r="73" spans="1:2" ht="12.75">
      <c r="A73" t="s">
        <v>423</v>
      </c>
      <c r="B73" s="190">
        <f>B54/D70</f>
        <v>3191.4893617021276</v>
      </c>
    </row>
    <row r="74" spans="1:2" ht="12.75">
      <c r="A74" t="s">
        <v>424</v>
      </c>
      <c r="B74" s="177">
        <f>INDEX(LINEST(B62:B63,A62:A63),1)*B73+INDEX(LINEST(B62:B63,A62:A63),2)</f>
        <v>32.553191489361325</v>
      </c>
    </row>
    <row r="75" spans="1:2" ht="12.75">
      <c r="A75" s="3"/>
      <c r="B75" s="137"/>
    </row>
    <row r="76" spans="1:2" ht="12.75">
      <c r="A76" s="3" t="s">
        <v>1195</v>
      </c>
      <c r="B76" s="137"/>
    </row>
    <row r="77" spans="1:2" ht="12.75">
      <c r="A77" s="183" t="s">
        <v>419</v>
      </c>
      <c r="B77" s="184">
        <f>B74*D70</f>
        <v>3059.9999999999645</v>
      </c>
    </row>
    <row r="78" spans="1:2" ht="12.75">
      <c r="A78" s="183" t="s">
        <v>420</v>
      </c>
      <c r="B78" s="184">
        <f>B70-B77</f>
        <v>206560.00000000003</v>
      </c>
    </row>
    <row r="80" spans="1:2" ht="12.75">
      <c r="A80" s="183" t="s">
        <v>406</v>
      </c>
      <c r="B80" s="77">
        <f>B77-B66+B69</f>
        <v>11939.999999999964</v>
      </c>
    </row>
    <row r="81" spans="1:2" ht="12.75">
      <c r="A81" s="183" t="s">
        <v>407</v>
      </c>
      <c r="B81" s="77">
        <f>B78-B67</f>
        <v>-11939.99999999997</v>
      </c>
    </row>
    <row r="83" spans="1:2" ht="12.75">
      <c r="A83" s="360" t="s">
        <v>1520</v>
      </c>
      <c r="B83" s="99">
        <f>POWER(B54/B78,1/3)-1</f>
        <v>0.13246557721650665</v>
      </c>
    </row>
    <row r="85" ht="12.75">
      <c r="A85" s="361" t="s">
        <v>1525</v>
      </c>
    </row>
    <row r="87" ht="12.75">
      <c r="A87" s="131" t="s">
        <v>1521</v>
      </c>
    </row>
    <row r="89" ht="12.75">
      <c r="A89" s="97" t="s">
        <v>1522</v>
      </c>
    </row>
    <row r="90" spans="1:2" ht="12.75">
      <c r="A90" t="s">
        <v>341</v>
      </c>
      <c r="B90" s="190">
        <f>B66</f>
        <v>4500</v>
      </c>
    </row>
    <row r="91" ht="12.75">
      <c r="B91" s="190"/>
    </row>
    <row r="92" ht="12.75">
      <c r="A92" s="97" t="s">
        <v>1523</v>
      </c>
    </row>
    <row r="93" spans="1:2" ht="12.75">
      <c r="A93" t="s">
        <v>341</v>
      </c>
      <c r="B93" s="362">
        <f>B77</f>
        <v>3059.9999999999645</v>
      </c>
    </row>
    <row r="94" spans="1:2" ht="12.75">
      <c r="A94" s="33" t="s">
        <v>1448</v>
      </c>
      <c r="B94" s="363">
        <f>B69</f>
        <v>13380</v>
      </c>
    </row>
    <row r="95" spans="1:2" ht="12.75">
      <c r="A95" t="s">
        <v>717</v>
      </c>
      <c r="B95" s="362">
        <f>B93+B94</f>
        <v>16439.999999999964</v>
      </c>
    </row>
    <row r="97" spans="1:2" ht="12.75">
      <c r="A97" s="1" t="s">
        <v>664</v>
      </c>
      <c r="B97" s="139">
        <f>B95-B90</f>
        <v>11939.999999999964</v>
      </c>
    </row>
    <row r="99" ht="12.75">
      <c r="A99" s="131" t="s">
        <v>1524</v>
      </c>
    </row>
    <row r="101" ht="12.75">
      <c r="A101" t="s">
        <v>1522</v>
      </c>
    </row>
    <row r="102" spans="1:2" ht="12.75">
      <c r="A102" t="s">
        <v>342</v>
      </c>
      <c r="B102" s="190">
        <f>B67</f>
        <v>218500</v>
      </c>
    </row>
    <row r="104" ht="12.75">
      <c r="A104" t="s">
        <v>1523</v>
      </c>
    </row>
    <row r="105" spans="1:2" ht="12.75">
      <c r="A105" t="s">
        <v>342</v>
      </c>
      <c r="B105" s="190">
        <f>B78</f>
        <v>206560.00000000003</v>
      </c>
    </row>
    <row r="107" spans="1:2" ht="12.75">
      <c r="A107" s="1" t="s">
        <v>664</v>
      </c>
      <c r="B107" s="139">
        <f>B105-B102</f>
        <v>-11939.99999999997</v>
      </c>
    </row>
  </sheetData>
  <mergeCells count="2">
    <mergeCell ref="B38:C38"/>
    <mergeCell ref="D38:E38"/>
  </mergeCells>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2.xml><?xml version="1.0" encoding="utf-8"?>
<worksheet xmlns="http://schemas.openxmlformats.org/spreadsheetml/2006/main" xmlns:r="http://schemas.openxmlformats.org/officeDocument/2006/relationships">
  <sheetPr codeName="Feuil39"/>
  <dimension ref="A1:G20"/>
  <sheetViews>
    <sheetView showGridLines="0" zoomScale="75" zoomScaleNormal="75" workbookViewId="0" topLeftCell="A1">
      <selection activeCell="A1" sqref="A1"/>
    </sheetView>
  </sheetViews>
  <sheetFormatPr defaultColWidth="11.00390625" defaultRowHeight="12.75"/>
  <cols>
    <col min="1" max="1" width="22.75390625" style="0" customWidth="1"/>
  </cols>
  <sheetData>
    <row r="1" ht="14.25">
      <c r="A1" s="20" t="s">
        <v>1021</v>
      </c>
    </row>
    <row r="2" s="236" customFormat="1" ht="11.25"/>
    <row r="3" spans="1:7" ht="12.75">
      <c r="A3" t="s">
        <v>720</v>
      </c>
      <c r="B3">
        <v>0</v>
      </c>
      <c r="C3">
        <v>1</v>
      </c>
      <c r="D3">
        <v>2</v>
      </c>
      <c r="E3">
        <v>3</v>
      </c>
      <c r="F3">
        <v>4</v>
      </c>
      <c r="G3">
        <v>5</v>
      </c>
    </row>
    <row r="4" spans="1:7" ht="12.75">
      <c r="A4" t="s">
        <v>92</v>
      </c>
      <c r="B4">
        <v>-100</v>
      </c>
      <c r="C4">
        <v>-10</v>
      </c>
      <c r="D4">
        <v>0</v>
      </c>
      <c r="E4">
        <v>0</v>
      </c>
      <c r="F4">
        <v>10</v>
      </c>
      <c r="G4">
        <v>150</v>
      </c>
    </row>
    <row r="6" ht="12.75">
      <c r="A6" s="180" t="s">
        <v>684</v>
      </c>
    </row>
    <row r="7" spans="1:7" ht="12.75">
      <c r="A7" t="s">
        <v>263</v>
      </c>
      <c r="B7" s="47">
        <v>0.3</v>
      </c>
      <c r="C7" s="47">
        <v>0.22</v>
      </c>
      <c r="D7" s="47">
        <v>0.22</v>
      </c>
      <c r="E7" s="47">
        <v>0.22</v>
      </c>
      <c r="F7" s="47">
        <v>0.22</v>
      </c>
      <c r="G7" s="47">
        <v>0.22</v>
      </c>
    </row>
    <row r="8" spans="1:7" ht="12.75">
      <c r="A8" t="s">
        <v>257</v>
      </c>
      <c r="B8">
        <v>10</v>
      </c>
      <c r="C8">
        <v>8.25</v>
      </c>
      <c r="D8">
        <v>9.1</v>
      </c>
      <c r="E8">
        <v>10.3</v>
      </c>
      <c r="F8">
        <v>11.8</v>
      </c>
      <c r="G8">
        <v>13.6</v>
      </c>
    </row>
    <row r="9" spans="1:7" ht="12.75">
      <c r="A9" t="s">
        <v>685</v>
      </c>
      <c r="B9" s="99"/>
      <c r="C9" s="79">
        <f>(C8-B8)/B8</f>
        <v>-0.175</v>
      </c>
      <c r="D9" s="79">
        <f>(D8-C8)/C8</f>
        <v>0.10303030303030299</v>
      </c>
      <c r="E9" s="79">
        <f>(E8-D8)/D8</f>
        <v>0.13186813186813198</v>
      </c>
      <c r="F9" s="79">
        <f>(F8-E8)/E8</f>
        <v>0.14563106796116504</v>
      </c>
      <c r="G9" s="79">
        <f>(G8-F8)/F8</f>
        <v>0.15254237288135583</v>
      </c>
    </row>
    <row r="10" spans="1:7" ht="12.75">
      <c r="A10" t="s">
        <v>1372</v>
      </c>
      <c r="B10" s="99">
        <v>0.15</v>
      </c>
      <c r="C10" s="99">
        <v>0.11</v>
      </c>
      <c r="D10" s="99">
        <v>0.11</v>
      </c>
      <c r="E10" s="99">
        <v>0.114</v>
      </c>
      <c r="F10" s="99">
        <v>0.116</v>
      </c>
      <c r="G10" s="99">
        <v>0.12</v>
      </c>
    </row>
    <row r="12" ht="12.75">
      <c r="A12" s="180" t="s">
        <v>686</v>
      </c>
    </row>
    <row r="13" spans="1:7" ht="12.75">
      <c r="A13" t="s">
        <v>263</v>
      </c>
      <c r="B13" s="47">
        <v>0.3</v>
      </c>
      <c r="C13" s="47">
        <v>0.67</v>
      </c>
      <c r="D13" s="47">
        <v>0.67</v>
      </c>
      <c r="E13" s="47">
        <v>0.67</v>
      </c>
      <c r="F13" s="47">
        <v>0.67</v>
      </c>
      <c r="G13" s="47">
        <v>0.67</v>
      </c>
    </row>
    <row r="14" spans="1:7" ht="12.75">
      <c r="A14" t="s">
        <v>257</v>
      </c>
      <c r="B14">
        <v>10</v>
      </c>
      <c r="C14">
        <v>9.23</v>
      </c>
      <c r="D14">
        <v>10.4</v>
      </c>
      <c r="E14">
        <v>12</v>
      </c>
      <c r="F14">
        <v>14.1</v>
      </c>
      <c r="G14">
        <v>16.5</v>
      </c>
    </row>
    <row r="15" spans="1:7" ht="12.75">
      <c r="A15" t="s">
        <v>685</v>
      </c>
      <c r="C15" s="79">
        <f>(C14-B14)/B14</f>
        <v>-0.07699999999999996</v>
      </c>
      <c r="D15" s="79">
        <f>(D14-C14)/C14</f>
        <v>0.1267605633802817</v>
      </c>
      <c r="E15" s="79">
        <f>(E14-D14)/D14</f>
        <v>0.1538461538461538</v>
      </c>
      <c r="F15" s="79">
        <f>(F14-E14)/E14</f>
        <v>0.17499999999999996</v>
      </c>
      <c r="G15" s="79">
        <f>(G14-F14)/F14</f>
        <v>0.17021276595744683</v>
      </c>
    </row>
    <row r="16" spans="1:7" ht="12.75">
      <c r="A16" t="s">
        <v>1372</v>
      </c>
      <c r="B16" s="47">
        <v>0.15</v>
      </c>
      <c r="C16" s="47">
        <v>0.14</v>
      </c>
      <c r="D16" s="47">
        <v>0.17</v>
      </c>
      <c r="E16" s="47">
        <v>0.18</v>
      </c>
      <c r="F16" s="47">
        <v>0.21</v>
      </c>
      <c r="G16" s="47">
        <v>0.22</v>
      </c>
    </row>
    <row r="18" spans="1:7" ht="12.75">
      <c r="A18" t="s">
        <v>235</v>
      </c>
      <c r="B18" s="6">
        <f aca="true" t="shared" si="0" ref="B18:G18">B4*POWER(1+$B20,-B3)</f>
        <v>-100</v>
      </c>
      <c r="C18" s="6">
        <f t="shared" si="0"/>
        <v>-9.256141785628147</v>
      </c>
      <c r="D18" s="6">
        <f t="shared" si="0"/>
        <v>0</v>
      </c>
      <c r="E18" s="6">
        <f t="shared" si="0"/>
        <v>0</v>
      </c>
      <c r="F18" s="6">
        <f t="shared" si="0"/>
        <v>7.340404521828226</v>
      </c>
      <c r="G18" s="6">
        <f t="shared" si="0"/>
        <v>101.91573752686206</v>
      </c>
    </row>
    <row r="19" spans="1:2" ht="12.75">
      <c r="A19" t="s">
        <v>93</v>
      </c>
      <c r="B19" s="6">
        <f>SUM(B18:G18)</f>
        <v>2.6306214806481876E-07</v>
      </c>
    </row>
    <row r="20" spans="1:2" ht="12.75">
      <c r="A20" s="1" t="s">
        <v>437</v>
      </c>
      <c r="B20" s="99">
        <v>0.08036374459246381</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33.xml><?xml version="1.0" encoding="utf-8"?>
<worksheet xmlns="http://schemas.openxmlformats.org/spreadsheetml/2006/main" xmlns:r="http://schemas.openxmlformats.org/officeDocument/2006/relationships">
  <sheetPr codeName="Feuil32">
    <pageSetUpPr fitToPage="1"/>
  </sheetPr>
  <dimension ref="A1:IV342"/>
  <sheetViews>
    <sheetView showGridLines="0" zoomScale="75" zoomScaleNormal="75" workbookViewId="0" topLeftCell="A1">
      <selection activeCell="A1" sqref="A1"/>
    </sheetView>
  </sheetViews>
  <sheetFormatPr defaultColWidth="11.00390625" defaultRowHeight="12.75"/>
  <cols>
    <col min="1" max="1" width="23.25390625" style="0" customWidth="1"/>
    <col min="2" max="12" width="11.625" style="0" bestFit="1" customWidth="1"/>
  </cols>
  <sheetData>
    <row r="1" ht="14.25">
      <c r="A1" s="20" t="s">
        <v>968</v>
      </c>
    </row>
    <row r="2" spans="1:3" ht="12.75">
      <c r="A2" s="3" t="s">
        <v>425</v>
      </c>
      <c r="B2" s="6">
        <v>20</v>
      </c>
      <c r="C2" t="s">
        <v>426</v>
      </c>
    </row>
    <row r="3" spans="1:3" ht="12.75">
      <c r="A3" s="3" t="s">
        <v>432</v>
      </c>
      <c r="B3">
        <v>5</v>
      </c>
      <c r="C3" t="s">
        <v>228</v>
      </c>
    </row>
    <row r="4" spans="1:3" ht="12.75">
      <c r="A4" s="3" t="s">
        <v>427</v>
      </c>
      <c r="B4" s="6">
        <v>1.5</v>
      </c>
      <c r="C4" t="s">
        <v>426</v>
      </c>
    </row>
    <row r="5" spans="1:3" ht="12.75">
      <c r="A5" s="3" t="s">
        <v>428</v>
      </c>
      <c r="B5">
        <v>8</v>
      </c>
      <c r="C5" t="s">
        <v>228</v>
      </c>
    </row>
    <row r="6" spans="1:2" ht="12.75">
      <c r="A6" s="3" t="s">
        <v>429</v>
      </c>
      <c r="B6" s="6">
        <v>0</v>
      </c>
    </row>
    <row r="7" spans="1:3" ht="12.75">
      <c r="A7" s="3" t="s">
        <v>430</v>
      </c>
      <c r="B7" s="6">
        <v>2.5</v>
      </c>
      <c r="C7" t="s">
        <v>426</v>
      </c>
    </row>
    <row r="8" spans="1:3" ht="25.5">
      <c r="A8" s="3" t="s">
        <v>431</v>
      </c>
      <c r="B8" s="6">
        <v>3</v>
      </c>
      <c r="C8" t="s">
        <v>426</v>
      </c>
    </row>
    <row r="9" spans="1:2" ht="12.75">
      <c r="A9" s="3" t="s">
        <v>369</v>
      </c>
      <c r="B9" s="47">
        <v>0.4</v>
      </c>
    </row>
    <row r="11" ht="12.75">
      <c r="A11" s="180" t="s">
        <v>433</v>
      </c>
    </row>
    <row r="12" spans="1:10" ht="12.75">
      <c r="A12" s="144" t="s">
        <v>720</v>
      </c>
      <c r="B12" s="73">
        <v>0</v>
      </c>
      <c r="C12" s="33">
        <v>1</v>
      </c>
      <c r="D12" s="33">
        <v>2</v>
      </c>
      <c r="E12" s="33">
        <v>3</v>
      </c>
      <c r="F12" s="33">
        <v>4</v>
      </c>
      <c r="G12" s="33">
        <v>5</v>
      </c>
      <c r="H12" s="33">
        <v>6</v>
      </c>
      <c r="I12" s="33">
        <v>7</v>
      </c>
      <c r="J12" s="33">
        <v>8</v>
      </c>
    </row>
    <row r="13" spans="1:10" ht="12.75">
      <c r="A13" s="3" t="s">
        <v>710</v>
      </c>
      <c r="B13" s="191">
        <f>-B2-B4</f>
        <v>-21.5</v>
      </c>
      <c r="J13" s="6">
        <f>B6</f>
        <v>0</v>
      </c>
    </row>
    <row r="14" spans="1:11" ht="12.75">
      <c r="A14" s="3" t="s">
        <v>436</v>
      </c>
      <c r="B14" s="49"/>
      <c r="C14" s="6">
        <f>$B8</f>
        <v>3</v>
      </c>
      <c r="D14" s="6">
        <f aca="true" t="shared" si="0" ref="D14:J14">$B8</f>
        <v>3</v>
      </c>
      <c r="E14" s="6">
        <f t="shared" si="0"/>
        <v>3</v>
      </c>
      <c r="F14" s="6">
        <f t="shared" si="0"/>
        <v>3</v>
      </c>
      <c r="G14" s="6">
        <f t="shared" si="0"/>
        <v>3</v>
      </c>
      <c r="H14" s="6">
        <f t="shared" si="0"/>
        <v>3</v>
      </c>
      <c r="I14" s="6">
        <f t="shared" si="0"/>
        <v>3</v>
      </c>
      <c r="J14" s="6">
        <f t="shared" si="0"/>
        <v>3</v>
      </c>
      <c r="K14" s="6"/>
    </row>
    <row r="15" spans="1:11" ht="12.75">
      <c r="A15" s="3" t="s">
        <v>1327</v>
      </c>
      <c r="B15" s="49"/>
      <c r="C15" s="6">
        <f>-$B7</f>
        <v>-2.5</v>
      </c>
      <c r="D15" s="6"/>
      <c r="E15" s="6"/>
      <c r="F15" s="6"/>
      <c r="G15" s="6"/>
      <c r="H15" s="6"/>
      <c r="I15" s="6"/>
      <c r="J15" s="6">
        <f>-C15</f>
        <v>2.5</v>
      </c>
      <c r="K15" s="6"/>
    </row>
    <row r="16" spans="1:256" s="55" customFormat="1" ht="12.75">
      <c r="A16" s="144" t="s">
        <v>451</v>
      </c>
      <c r="B16" s="73"/>
      <c r="C16" s="111">
        <f>-(C14-C19)*$B9</f>
        <v>0.4</v>
      </c>
      <c r="D16" s="111">
        <f aca="true" t="shared" si="1" ref="D16:J16">-(D14-D19)*$B9</f>
        <v>0.4</v>
      </c>
      <c r="E16" s="111">
        <f t="shared" si="1"/>
        <v>0.4</v>
      </c>
      <c r="F16" s="111">
        <f t="shared" si="1"/>
        <v>0.4</v>
      </c>
      <c r="G16" s="111">
        <f t="shared" si="1"/>
        <v>0.4</v>
      </c>
      <c r="H16" s="111">
        <f t="shared" si="1"/>
        <v>-1.2000000000000002</v>
      </c>
      <c r="I16" s="111">
        <f t="shared" si="1"/>
        <v>-1.2000000000000002</v>
      </c>
      <c r="J16" s="111">
        <f t="shared" si="1"/>
        <v>-1.2000000000000002</v>
      </c>
      <c r="K16" s="201"/>
      <c r="M16" s="195"/>
      <c r="N16" s="195"/>
      <c r="O16" s="195"/>
      <c r="P16" s="195"/>
      <c r="Q16" s="195"/>
      <c r="R16" s="195"/>
      <c r="S16" s="195"/>
      <c r="T16" s="195"/>
      <c r="U16" s="201"/>
      <c r="W16" s="195"/>
      <c r="X16" s="195"/>
      <c r="Y16" s="195"/>
      <c r="Z16" s="195"/>
      <c r="AA16" s="195"/>
      <c r="AB16" s="195"/>
      <c r="AC16" s="195"/>
      <c r="AD16" s="195"/>
      <c r="AE16" s="201"/>
      <c r="AG16" s="195"/>
      <c r="AH16" s="195"/>
      <c r="AI16" s="195"/>
      <c r="AJ16" s="195"/>
      <c r="AK16" s="195"/>
      <c r="AL16" s="195"/>
      <c r="AM16" s="195"/>
      <c r="AN16" s="195"/>
      <c r="AO16" s="201"/>
      <c r="AQ16" s="195"/>
      <c r="AR16" s="195"/>
      <c r="AS16" s="195"/>
      <c r="AT16" s="195"/>
      <c r="AU16" s="195"/>
      <c r="AV16" s="195"/>
      <c r="AW16" s="195"/>
      <c r="AX16" s="195"/>
      <c r="AY16" s="201"/>
      <c r="BA16" s="195"/>
      <c r="BB16" s="195"/>
      <c r="BC16" s="195"/>
      <c r="BD16" s="195"/>
      <c r="BE16" s="195"/>
      <c r="BF16" s="195"/>
      <c r="BG16" s="195"/>
      <c r="BH16" s="195"/>
      <c r="BI16" s="201"/>
      <c r="BK16" s="195"/>
      <c r="BL16" s="195"/>
      <c r="BM16" s="195"/>
      <c r="BN16" s="195"/>
      <c r="BO16" s="195"/>
      <c r="BP16" s="195"/>
      <c r="BQ16" s="195"/>
      <c r="BR16" s="195"/>
      <c r="BS16" s="201"/>
      <c r="BU16" s="195"/>
      <c r="BV16" s="195"/>
      <c r="BW16" s="195"/>
      <c r="BX16" s="195"/>
      <c r="BY16" s="195"/>
      <c r="BZ16" s="195"/>
      <c r="CA16" s="195"/>
      <c r="CB16" s="195"/>
      <c r="CC16" s="201"/>
      <c r="CE16" s="195"/>
      <c r="CF16" s="195"/>
      <c r="CG16" s="195"/>
      <c r="CH16" s="195"/>
      <c r="CI16" s="195"/>
      <c r="CJ16" s="195"/>
      <c r="CK16" s="195"/>
      <c r="CL16" s="195"/>
      <c r="CM16" s="201"/>
      <c r="CO16" s="195"/>
      <c r="CP16" s="195"/>
      <c r="CQ16" s="195"/>
      <c r="CR16" s="195"/>
      <c r="CS16" s="195"/>
      <c r="CT16" s="195"/>
      <c r="CU16" s="195"/>
      <c r="CV16" s="195"/>
      <c r="CW16" s="201"/>
      <c r="CY16" s="195"/>
      <c r="CZ16" s="195"/>
      <c r="DA16" s="195"/>
      <c r="DB16" s="195"/>
      <c r="DC16" s="195"/>
      <c r="DD16" s="195"/>
      <c r="DE16" s="195"/>
      <c r="DF16" s="195"/>
      <c r="DG16" s="201"/>
      <c r="DI16" s="195"/>
      <c r="DJ16" s="195"/>
      <c r="DK16" s="195"/>
      <c r="DL16" s="195"/>
      <c r="DM16" s="195"/>
      <c r="DN16" s="195"/>
      <c r="DO16" s="195"/>
      <c r="DP16" s="195"/>
      <c r="DQ16" s="201"/>
      <c r="DS16" s="195"/>
      <c r="DT16" s="195"/>
      <c r="DU16" s="195"/>
      <c r="DV16" s="195"/>
      <c r="DW16" s="195"/>
      <c r="DX16" s="195"/>
      <c r="DY16" s="195"/>
      <c r="DZ16" s="195"/>
      <c r="EA16" s="201"/>
      <c r="EC16" s="195"/>
      <c r="ED16" s="195"/>
      <c r="EE16" s="195"/>
      <c r="EF16" s="195"/>
      <c r="EG16" s="195"/>
      <c r="EH16" s="195"/>
      <c r="EI16" s="195"/>
      <c r="EJ16" s="195"/>
      <c r="EK16" s="201"/>
      <c r="EM16" s="195"/>
      <c r="EN16" s="195"/>
      <c r="EO16" s="195"/>
      <c r="EP16" s="195"/>
      <c r="EQ16" s="195"/>
      <c r="ER16" s="195"/>
      <c r="ES16" s="195"/>
      <c r="ET16" s="195"/>
      <c r="EU16" s="201"/>
      <c r="EW16" s="195"/>
      <c r="EX16" s="195"/>
      <c r="EY16" s="195"/>
      <c r="EZ16" s="195"/>
      <c r="FA16" s="195"/>
      <c r="FB16" s="195"/>
      <c r="FC16" s="195"/>
      <c r="FD16" s="195"/>
      <c r="FE16" s="201"/>
      <c r="FG16" s="195"/>
      <c r="FH16" s="195"/>
      <c r="FI16" s="195"/>
      <c r="FJ16" s="195"/>
      <c r="FK16" s="195"/>
      <c r="FL16" s="195"/>
      <c r="FM16" s="195"/>
      <c r="FN16" s="195"/>
      <c r="FO16" s="201"/>
      <c r="FQ16" s="195"/>
      <c r="FR16" s="195"/>
      <c r="FS16" s="195"/>
      <c r="FT16" s="195"/>
      <c r="FU16" s="195"/>
      <c r="FV16" s="195"/>
      <c r="FW16" s="195"/>
      <c r="FX16" s="195"/>
      <c r="FY16" s="201"/>
      <c r="GA16" s="195"/>
      <c r="GB16" s="195"/>
      <c r="GC16" s="195"/>
      <c r="GD16" s="195"/>
      <c r="GE16" s="195"/>
      <c r="GF16" s="195"/>
      <c r="GG16" s="195"/>
      <c r="GH16" s="195"/>
      <c r="GI16" s="201"/>
      <c r="GK16" s="195"/>
      <c r="GL16" s="195"/>
      <c r="GM16" s="195"/>
      <c r="GN16" s="195"/>
      <c r="GO16" s="195"/>
      <c r="GP16" s="195"/>
      <c r="GQ16" s="195"/>
      <c r="GR16" s="195"/>
      <c r="GS16" s="201"/>
      <c r="GU16" s="195"/>
      <c r="GV16" s="195"/>
      <c r="GW16" s="195"/>
      <c r="GX16" s="195"/>
      <c r="GY16" s="195"/>
      <c r="GZ16" s="195"/>
      <c r="HA16" s="195"/>
      <c r="HB16" s="195"/>
      <c r="HC16" s="201"/>
      <c r="HE16" s="195"/>
      <c r="HF16" s="195"/>
      <c r="HG16" s="195"/>
      <c r="HH16" s="195"/>
      <c r="HI16" s="195"/>
      <c r="HJ16" s="195"/>
      <c r="HK16" s="195"/>
      <c r="HL16" s="195"/>
      <c r="HM16" s="201"/>
      <c r="HO16" s="195"/>
      <c r="HP16" s="195"/>
      <c r="HQ16" s="195"/>
      <c r="HR16" s="195"/>
      <c r="HS16" s="195"/>
      <c r="HT16" s="195"/>
      <c r="HU16" s="195"/>
      <c r="HV16" s="195"/>
      <c r="HW16" s="201"/>
      <c r="HY16" s="195"/>
      <c r="HZ16" s="195"/>
      <c r="IA16" s="195"/>
      <c r="IB16" s="195"/>
      <c r="IC16" s="195"/>
      <c r="ID16" s="195"/>
      <c r="IE16" s="195"/>
      <c r="IF16" s="195"/>
      <c r="IG16" s="201"/>
      <c r="II16" s="195"/>
      <c r="IJ16" s="195"/>
      <c r="IK16" s="195"/>
      <c r="IL16" s="195"/>
      <c r="IM16" s="195"/>
      <c r="IN16" s="195"/>
      <c r="IO16" s="195"/>
      <c r="IP16" s="195"/>
      <c r="IQ16" s="201"/>
      <c r="IS16" s="195"/>
      <c r="IT16" s="195"/>
      <c r="IU16" s="195"/>
      <c r="IV16" s="195"/>
    </row>
    <row r="17" spans="1:10" ht="12.75">
      <c r="A17" s="1" t="s">
        <v>434</v>
      </c>
      <c r="B17" s="210">
        <f>SUM(B13:B16)</f>
        <v>-21.5</v>
      </c>
      <c r="C17" s="157">
        <f>SUM(C13:C16)</f>
        <v>0.9</v>
      </c>
      <c r="D17" s="157">
        <f aca="true" t="shared" si="2" ref="D17:J17">SUM(D13:D16)</f>
        <v>3.4</v>
      </c>
      <c r="E17" s="157">
        <f t="shared" si="2"/>
        <v>3.4</v>
      </c>
      <c r="F17" s="157">
        <f t="shared" si="2"/>
        <v>3.4</v>
      </c>
      <c r="G17" s="157">
        <f t="shared" si="2"/>
        <v>3.4</v>
      </c>
      <c r="H17" s="157">
        <f t="shared" si="2"/>
        <v>1.7999999999999998</v>
      </c>
      <c r="I17" s="157">
        <f t="shared" si="2"/>
        <v>1.7999999999999998</v>
      </c>
      <c r="J17" s="157">
        <f t="shared" si="2"/>
        <v>4.3</v>
      </c>
    </row>
    <row r="19" spans="1:7" ht="12.75">
      <c r="A19" s="3" t="s">
        <v>435</v>
      </c>
      <c r="B19" s="55"/>
      <c r="C19" s="6">
        <f>$B2/$B3</f>
        <v>4</v>
      </c>
      <c r="D19" s="6">
        <f>$B2/$B3</f>
        <v>4</v>
      </c>
      <c r="E19" s="6">
        <f>$B2/$B3</f>
        <v>4</v>
      </c>
      <c r="F19" s="6">
        <f>$B2/$B3</f>
        <v>4</v>
      </c>
      <c r="G19" s="6">
        <f>$B2/$B3</f>
        <v>4</v>
      </c>
    </row>
    <row r="20" spans="1:7" ht="12.75">
      <c r="A20" s="3"/>
      <c r="B20" s="55"/>
      <c r="C20" s="6"/>
      <c r="D20" s="6"/>
      <c r="E20" s="6"/>
      <c r="F20" s="6"/>
      <c r="G20" s="6"/>
    </row>
    <row r="21" ht="12.75">
      <c r="A21" s="180" t="s">
        <v>439</v>
      </c>
    </row>
    <row r="22" spans="1:2" ht="12.75">
      <c r="A22" s="145" t="s">
        <v>54</v>
      </c>
      <c r="B22" s="99">
        <v>0.1</v>
      </c>
    </row>
    <row r="23" spans="1:2" ht="12.75">
      <c r="A23" s="192" t="s">
        <v>93</v>
      </c>
      <c r="B23" s="157">
        <f>SUMPRODUCT(B17:J17,POWER(1+$B22,-B12:J12))</f>
        <v>-6.938332834924629</v>
      </c>
    </row>
    <row r="25" ht="12.75">
      <c r="A25" s="180" t="s">
        <v>440</v>
      </c>
    </row>
    <row r="26" spans="1:2" ht="12.75">
      <c r="A26" s="1" t="s">
        <v>437</v>
      </c>
      <c r="B26" s="159">
        <v>0.008717473144399973</v>
      </c>
    </row>
    <row r="27" spans="1:2" ht="12.75">
      <c r="A27" s="193" t="s">
        <v>93</v>
      </c>
      <c r="B27" s="6">
        <f>SUMPRODUCT(B17:J17,POWER(1+$B26,-B12:J12))</f>
        <v>1.6521216981146836E-06</v>
      </c>
    </row>
    <row r="29" ht="14.25">
      <c r="A29" s="20" t="s">
        <v>970</v>
      </c>
    </row>
    <row r="30" ht="12.75">
      <c r="A30" s="180" t="s">
        <v>438</v>
      </c>
    </row>
    <row r="31" spans="1:3" ht="12.75">
      <c r="A31" t="s">
        <v>442</v>
      </c>
      <c r="B31" s="6">
        <v>2</v>
      </c>
      <c r="C31" t="s">
        <v>426</v>
      </c>
    </row>
    <row r="32" spans="1:4" ht="12.75">
      <c r="A32" t="s">
        <v>441</v>
      </c>
      <c r="B32">
        <v>5</v>
      </c>
      <c r="C32" t="s">
        <v>228</v>
      </c>
      <c r="D32" t="s">
        <v>443</v>
      </c>
    </row>
    <row r="33" spans="1:3" ht="12.75">
      <c r="A33" t="s">
        <v>429</v>
      </c>
      <c r="B33" s="6">
        <v>0</v>
      </c>
      <c r="C33" t="s">
        <v>426</v>
      </c>
    </row>
    <row r="34" spans="1:3" ht="25.5">
      <c r="A34" s="3" t="s">
        <v>444</v>
      </c>
      <c r="B34" s="6">
        <v>0.8</v>
      </c>
      <c r="C34" t="s">
        <v>426</v>
      </c>
    </row>
    <row r="35" ht="12.75">
      <c r="A35" s="180" t="s">
        <v>445</v>
      </c>
    </row>
    <row r="36" spans="1:3" ht="12.75">
      <c r="A36" t="s">
        <v>446</v>
      </c>
      <c r="B36" s="6">
        <v>1.5</v>
      </c>
      <c r="C36" t="s">
        <v>426</v>
      </c>
    </row>
    <row r="37" spans="1:4" ht="12.75">
      <c r="A37" t="s">
        <v>441</v>
      </c>
      <c r="B37">
        <v>5</v>
      </c>
      <c r="C37" t="s">
        <v>228</v>
      </c>
      <c r="D37" t="s">
        <v>443</v>
      </c>
    </row>
    <row r="38" spans="1:3" ht="12.75">
      <c r="A38" t="s">
        <v>429</v>
      </c>
      <c r="B38" s="6">
        <v>0</v>
      </c>
      <c r="C38" t="s">
        <v>426</v>
      </c>
    </row>
    <row r="39" spans="1:3" ht="25.5">
      <c r="A39" s="3" t="s">
        <v>447</v>
      </c>
      <c r="B39" s="6">
        <v>1.2</v>
      </c>
      <c r="C39" t="s">
        <v>426</v>
      </c>
    </row>
    <row r="40" spans="1:3" ht="12.75">
      <c r="A40" s="3" t="s">
        <v>448</v>
      </c>
      <c r="B40" s="6">
        <v>1</v>
      </c>
      <c r="C40" t="s">
        <v>426</v>
      </c>
    </row>
    <row r="42" spans="1:2" ht="12.75">
      <c r="A42" t="s">
        <v>369</v>
      </c>
      <c r="B42" s="47">
        <v>0.4</v>
      </c>
    </row>
    <row r="43" spans="1:2" ht="12.75">
      <c r="A43" s="3" t="s">
        <v>449</v>
      </c>
      <c r="B43" s="47">
        <v>0.12</v>
      </c>
    </row>
    <row r="44" ht="12.75">
      <c r="A44" s="3"/>
    </row>
    <row r="45" ht="12.75">
      <c r="A45" s="179" t="s">
        <v>519</v>
      </c>
    </row>
    <row r="46" spans="1:7" ht="12.75">
      <c r="A46" s="144" t="s">
        <v>98</v>
      </c>
      <c r="B46" s="143">
        <v>0</v>
      </c>
      <c r="C46" s="142">
        <f>B46+1</f>
        <v>1</v>
      </c>
      <c r="D46" s="142">
        <f>C46+1</f>
        <v>2</v>
      </c>
      <c r="E46" s="142">
        <f>D46+1</f>
        <v>3</v>
      </c>
      <c r="F46" s="142">
        <f>E46+1</f>
        <v>4</v>
      </c>
      <c r="G46" s="142">
        <f>F46+1</f>
        <v>5</v>
      </c>
    </row>
    <row r="47" spans="1:7" ht="12.75">
      <c r="A47" s="3" t="s">
        <v>450</v>
      </c>
      <c r="B47" s="191">
        <f>-B31</f>
        <v>-2</v>
      </c>
      <c r="G47" s="6">
        <f>B33</f>
        <v>0</v>
      </c>
    </row>
    <row r="48" spans="1:7" ht="12.75">
      <c r="A48" s="3" t="s">
        <v>517</v>
      </c>
      <c r="B48" s="191">
        <f>-B54*$B42</f>
        <v>0.07999999999999999</v>
      </c>
      <c r="G48" s="6"/>
    </row>
    <row r="49" spans="1:7" ht="12.75">
      <c r="A49" s="3" t="s">
        <v>436</v>
      </c>
      <c r="B49" s="49"/>
      <c r="C49" s="6">
        <f>B34</f>
        <v>0.8</v>
      </c>
      <c r="D49" s="6">
        <f>$B34</f>
        <v>0.8</v>
      </c>
      <c r="E49" s="6">
        <f>$B34</f>
        <v>0.8</v>
      </c>
      <c r="F49" s="6">
        <f>$B34</f>
        <v>0.8</v>
      </c>
      <c r="G49" s="6">
        <f>$B34</f>
        <v>0.8</v>
      </c>
    </row>
    <row r="50" spans="1:7" ht="12.75">
      <c r="A50" s="3" t="s">
        <v>451</v>
      </c>
      <c r="B50" s="49"/>
      <c r="C50">
        <f>-(C49-C55)*$B42</f>
        <v>-0.27999999999999997</v>
      </c>
      <c r="D50">
        <f>-(D49-D55)*$B42</f>
        <v>-0.27999999999999997</v>
      </c>
      <c r="E50">
        <f>-(E49-E55)*$B42</f>
        <v>-0.27999999999999997</v>
      </c>
      <c r="F50">
        <f>-(F49-F55)*$B42</f>
        <v>-0.27999999999999997</v>
      </c>
      <c r="G50">
        <f>-(G49-G55)*$B42</f>
        <v>-0.16000000000000003</v>
      </c>
    </row>
    <row r="51" spans="1:7" ht="12.75">
      <c r="A51" s="144" t="s">
        <v>452</v>
      </c>
      <c r="B51" s="194">
        <f>B40</f>
        <v>1</v>
      </c>
      <c r="C51" s="33"/>
      <c r="D51" s="33"/>
      <c r="E51" s="33"/>
      <c r="F51" s="33"/>
      <c r="G51" s="33"/>
    </row>
    <row r="52" spans="1:7" ht="12.75">
      <c r="A52" s="3" t="s">
        <v>92</v>
      </c>
      <c r="B52" s="196">
        <f aca="true" t="shared" si="3" ref="B52:G52">SUM(B47:B51)</f>
        <v>-0.9199999999999999</v>
      </c>
      <c r="C52" s="195">
        <f t="shared" si="3"/>
        <v>0.52</v>
      </c>
      <c r="D52" s="195">
        <f t="shared" si="3"/>
        <v>0.52</v>
      </c>
      <c r="E52" s="195">
        <f t="shared" si="3"/>
        <v>0.52</v>
      </c>
      <c r="F52" s="195">
        <f t="shared" si="3"/>
        <v>0.52</v>
      </c>
      <c r="G52" s="195">
        <f t="shared" si="3"/>
        <v>0.64</v>
      </c>
    </row>
    <row r="53" ht="12.75">
      <c r="A53" s="3"/>
    </row>
    <row r="54" spans="1:2" ht="12.75">
      <c r="A54" s="3" t="s">
        <v>453</v>
      </c>
      <c r="B54" s="6">
        <f>B40-B39</f>
        <v>-0.19999999999999996</v>
      </c>
    </row>
    <row r="55" spans="1:7" ht="12.75">
      <c r="A55" s="3" t="s">
        <v>518</v>
      </c>
      <c r="B55" s="49"/>
      <c r="C55" s="6">
        <f>$B31/$B32-$B36/$B37</f>
        <v>0.10000000000000003</v>
      </c>
      <c r="D55" s="6">
        <f>$B31/$B32-$B36/$B37</f>
        <v>0.10000000000000003</v>
      </c>
      <c r="E55" s="6">
        <f>$B31/$B32-$B36/$B37</f>
        <v>0.10000000000000003</v>
      </c>
      <c r="F55" s="6">
        <f>$B31/$B32-$B36/$B37</f>
        <v>0.10000000000000003</v>
      </c>
      <c r="G55" s="6">
        <f>$B31/$B32</f>
        <v>0.4</v>
      </c>
    </row>
    <row r="56" ht="12.75">
      <c r="A56" s="3"/>
    </row>
    <row r="57" spans="1:3" ht="12.75">
      <c r="A57" s="2" t="s">
        <v>93</v>
      </c>
      <c r="B57" s="157">
        <f>SUMPRODUCT(B52:G52,POWER(1+B43,-B46:G46))</f>
        <v>1.0225748479056342</v>
      </c>
      <c r="C57" t="s">
        <v>426</v>
      </c>
    </row>
    <row r="58" spans="1:2" ht="12.75">
      <c r="A58" s="2" t="s">
        <v>437</v>
      </c>
      <c r="B58" s="197">
        <v>0.4991760350804994</v>
      </c>
    </row>
    <row r="59" spans="1:2" ht="12.75">
      <c r="A59" s="15"/>
      <c r="B59" s="198"/>
    </row>
    <row r="61" ht="14.25">
      <c r="A61" s="20" t="s">
        <v>1337</v>
      </c>
    </row>
    <row r="62" spans="1:7" ht="12.75">
      <c r="A62" t="s">
        <v>706</v>
      </c>
      <c r="B62" s="118">
        <v>0</v>
      </c>
      <c r="C62" s="118">
        <f>B62+1</f>
        <v>1</v>
      </c>
      <c r="D62" s="118">
        <f>C62+1</f>
        <v>2</v>
      </c>
      <c r="E62" s="118">
        <f>D62+1</f>
        <v>3</v>
      </c>
      <c r="F62" s="118">
        <f>E62+1</f>
        <v>4</v>
      </c>
      <c r="G62" s="118">
        <f>F62+1</f>
        <v>5</v>
      </c>
    </row>
    <row r="63" spans="1:7" ht="12.75">
      <c r="A63" s="3" t="s">
        <v>92</v>
      </c>
      <c r="B63" s="6">
        <v>-100</v>
      </c>
      <c r="C63" s="6">
        <v>110</v>
      </c>
      <c r="D63" s="6">
        <v>-30</v>
      </c>
      <c r="E63" s="6">
        <v>25</v>
      </c>
      <c r="F63" s="6">
        <v>50</v>
      </c>
      <c r="G63" s="6">
        <v>100</v>
      </c>
    </row>
    <row r="64" spans="1:8" ht="12.75">
      <c r="A64" s="3"/>
      <c r="B64" s="6"/>
      <c r="C64" s="6"/>
      <c r="D64" s="6"/>
      <c r="E64" s="6"/>
      <c r="F64" s="6"/>
      <c r="G64" s="6"/>
      <c r="H64" s="6"/>
    </row>
    <row r="65" spans="1:2" ht="12.75">
      <c r="A65" s="3" t="s">
        <v>122</v>
      </c>
      <c r="B65" s="47">
        <v>0</v>
      </c>
    </row>
    <row r="66" spans="1:7" ht="12.75">
      <c r="A66" s="3" t="s">
        <v>454</v>
      </c>
      <c r="B66" s="6">
        <f>SUMPRODUCT($B63:B63,POWER(1+$B65,-$B62:B62))</f>
        <v>-100</v>
      </c>
      <c r="C66" s="6">
        <f>SUMPRODUCT($B63:C63,POWER(1+$B65,-$B62:C62))</f>
        <v>10</v>
      </c>
      <c r="D66" s="6">
        <f>SUMPRODUCT($B63:D63,POWER(1+$B65,-$B62:D62))</f>
        <v>-20</v>
      </c>
      <c r="E66" s="6">
        <f>SUMPRODUCT($B63:E63,POWER(1+$B65,-$B62:E62))</f>
        <v>5</v>
      </c>
      <c r="F66" s="6">
        <f>SUMPRODUCT($B63:F63,POWER(1+$B65,-$B62:F62))</f>
        <v>55</v>
      </c>
      <c r="G66" s="6">
        <f>SUMPRODUCT($B63:G63,POWER(1+$B65,-$B62:G62))</f>
        <v>155</v>
      </c>
    </row>
    <row r="67" ht="12.75">
      <c r="B67" s="6"/>
    </row>
    <row r="68" spans="1:2" ht="12.75">
      <c r="A68" s="3" t="s">
        <v>82</v>
      </c>
      <c r="B68" s="99">
        <v>0.1</v>
      </c>
    </row>
    <row r="69" spans="1:7" ht="12.75">
      <c r="A69" s="2" t="s">
        <v>93</v>
      </c>
      <c r="B69" s="365">
        <f>SUMPRODUCT($B63:G63,POWER(1+$B68,-$B62:G62))</f>
        <v>90.2322866669564</v>
      </c>
      <c r="C69" s="357" t="s">
        <v>278</v>
      </c>
      <c r="D69" s="357"/>
      <c r="E69" s="357"/>
      <c r="F69" s="357"/>
      <c r="G69" s="357"/>
    </row>
    <row r="70" spans="1:2" ht="12.75">
      <c r="A70" s="2" t="s">
        <v>437</v>
      </c>
      <c r="B70" s="100">
        <v>0.42640162762533135</v>
      </c>
    </row>
    <row r="71" spans="1:2" ht="12.75">
      <c r="A71" s="3" t="s">
        <v>93</v>
      </c>
      <c r="B71" s="198">
        <f>SUMPRODUCT($B63:G63,POWER(1+$B70,-$B62:G62))</f>
        <v>7.325322570750359E-09</v>
      </c>
    </row>
    <row r="73" ht="14.25">
      <c r="A73" s="20" t="s">
        <v>1301</v>
      </c>
    </row>
    <row r="74" spans="1:3" ht="12.75">
      <c r="A74" t="s">
        <v>455</v>
      </c>
      <c r="B74">
        <v>2</v>
      </c>
      <c r="C74" t="s">
        <v>426</v>
      </c>
    </row>
    <row r="75" spans="1:3" ht="12.75">
      <c r="A75" t="s">
        <v>239</v>
      </c>
      <c r="B75">
        <v>10</v>
      </c>
      <c r="C75" t="s">
        <v>228</v>
      </c>
    </row>
    <row r="76" spans="1:3" ht="12.75">
      <c r="A76" t="s">
        <v>456</v>
      </c>
      <c r="B76">
        <v>0.8</v>
      </c>
      <c r="C76" t="s">
        <v>426</v>
      </c>
    </row>
    <row r="77" spans="1:3" ht="12.75">
      <c r="A77" s="3" t="s">
        <v>436</v>
      </c>
      <c r="B77">
        <v>-0.2</v>
      </c>
      <c r="C77" t="s">
        <v>426</v>
      </c>
    </row>
    <row r="79" ht="12.75">
      <c r="A79" t="s">
        <v>457</v>
      </c>
    </row>
    <row r="80" spans="1:12" ht="12.75">
      <c r="A80" s="54" t="s">
        <v>465</v>
      </c>
      <c r="B80" s="142">
        <v>0</v>
      </c>
      <c r="C80" s="142">
        <f>B80+1</f>
        <v>1</v>
      </c>
      <c r="D80" s="142">
        <f aca="true" t="shared" si="4" ref="D80:L80">C80+1</f>
        <v>2</v>
      </c>
      <c r="E80" s="142">
        <f t="shared" si="4"/>
        <v>3</v>
      </c>
      <c r="F80" s="142">
        <f t="shared" si="4"/>
        <v>4</v>
      </c>
      <c r="G80" s="142">
        <f t="shared" si="4"/>
        <v>5</v>
      </c>
      <c r="H80" s="142">
        <f t="shared" si="4"/>
        <v>6</v>
      </c>
      <c r="I80" s="142">
        <f t="shared" si="4"/>
        <v>7</v>
      </c>
      <c r="J80" s="142">
        <f t="shared" si="4"/>
        <v>8</v>
      </c>
      <c r="K80" s="142">
        <f t="shared" si="4"/>
        <v>9</v>
      </c>
      <c r="L80" s="142">
        <f t="shared" si="4"/>
        <v>10</v>
      </c>
    </row>
    <row r="81" spans="1:12" ht="12.75">
      <c r="A81" s="67" t="s">
        <v>455</v>
      </c>
      <c r="B81" s="6">
        <f>B74</f>
        <v>2</v>
      </c>
      <c r="C81" s="6"/>
      <c r="D81" s="6"/>
      <c r="E81" s="6"/>
      <c r="F81" s="6"/>
      <c r="G81" s="6"/>
      <c r="H81" s="6"/>
      <c r="I81" s="6"/>
      <c r="J81" s="6"/>
      <c r="K81" s="6"/>
      <c r="L81" s="6"/>
    </row>
    <row r="82" spans="1:12" ht="12.75">
      <c r="A82" s="67" t="s">
        <v>466</v>
      </c>
      <c r="B82" s="6">
        <f>-B76</f>
        <v>-0.8</v>
      </c>
      <c r="C82" s="6"/>
      <c r="D82" s="6"/>
      <c r="E82" s="6"/>
      <c r="F82" s="6"/>
      <c r="G82" s="6"/>
      <c r="H82" s="6"/>
      <c r="I82" s="6"/>
      <c r="J82" s="6"/>
      <c r="K82" s="6"/>
      <c r="L82" s="6"/>
    </row>
    <row r="83" spans="1:12" ht="12.75">
      <c r="A83" s="199" t="s">
        <v>436</v>
      </c>
      <c r="B83" s="111"/>
      <c r="C83" s="111">
        <f>$B77</f>
        <v>-0.2</v>
      </c>
      <c r="D83" s="111">
        <f aca="true" t="shared" si="5" ref="D83:L83">$B77</f>
        <v>-0.2</v>
      </c>
      <c r="E83" s="111">
        <f t="shared" si="5"/>
        <v>-0.2</v>
      </c>
      <c r="F83" s="111">
        <f t="shared" si="5"/>
        <v>-0.2</v>
      </c>
      <c r="G83" s="111">
        <f t="shared" si="5"/>
        <v>-0.2</v>
      </c>
      <c r="H83" s="111">
        <f t="shared" si="5"/>
        <v>-0.2</v>
      </c>
      <c r="I83" s="111">
        <f t="shared" si="5"/>
        <v>-0.2</v>
      </c>
      <c r="J83" s="111">
        <f t="shared" si="5"/>
        <v>-0.2</v>
      </c>
      <c r="K83" s="111">
        <f t="shared" si="5"/>
        <v>-0.2</v>
      </c>
      <c r="L83" s="111">
        <f t="shared" si="5"/>
        <v>-0.2</v>
      </c>
    </row>
    <row r="84" spans="1:12" ht="12.75">
      <c r="A84" s="67" t="s">
        <v>92</v>
      </c>
      <c r="B84" s="6">
        <f>SUM(B81:B83)</f>
        <v>1.2</v>
      </c>
      <c r="C84" s="6">
        <f aca="true" t="shared" si="6" ref="C84:L84">SUM(C81:C83)</f>
        <v>-0.2</v>
      </c>
      <c r="D84" s="6">
        <f t="shared" si="6"/>
        <v>-0.2</v>
      </c>
      <c r="E84" s="6">
        <f t="shared" si="6"/>
        <v>-0.2</v>
      </c>
      <c r="F84" s="6">
        <f t="shared" si="6"/>
        <v>-0.2</v>
      </c>
      <c r="G84" s="6">
        <f t="shared" si="6"/>
        <v>-0.2</v>
      </c>
      <c r="H84" s="6">
        <f t="shared" si="6"/>
        <v>-0.2</v>
      </c>
      <c r="I84" s="6">
        <f t="shared" si="6"/>
        <v>-0.2</v>
      </c>
      <c r="J84" s="6">
        <f t="shared" si="6"/>
        <v>-0.2</v>
      </c>
      <c r="K84" s="6">
        <f t="shared" si="6"/>
        <v>-0.2</v>
      </c>
      <c r="L84" s="6">
        <f t="shared" si="6"/>
        <v>-0.2</v>
      </c>
    </row>
    <row r="86" spans="1:7" ht="12.75">
      <c r="A86" t="s">
        <v>99</v>
      </c>
      <c r="B86" s="47">
        <v>0.1</v>
      </c>
      <c r="C86" s="47">
        <f>B86+1%</f>
        <v>0.11</v>
      </c>
      <c r="D86" s="47">
        <f>C86+1%</f>
        <v>0.12</v>
      </c>
      <c r="E86" s="47">
        <f>D86+1%</f>
        <v>0.13</v>
      </c>
      <c r="F86" s="47">
        <f>E86+1%</f>
        <v>0.14</v>
      </c>
      <c r="G86" s="47">
        <f>F86+1%</f>
        <v>0.15000000000000002</v>
      </c>
    </row>
    <row r="87" spans="1:7" ht="12.75">
      <c r="A87" s="1" t="s">
        <v>93</v>
      </c>
      <c r="B87" s="157">
        <f aca="true" t="shared" si="7" ref="B87:G87">SUMPRODUCT($B84:$L84,POWER(1+B86,-$B80:$L80))</f>
        <v>-0.028913421140936243</v>
      </c>
      <c r="C87" s="157">
        <f t="shared" si="7"/>
        <v>0.02215359777175893</v>
      </c>
      <c r="D87" s="157">
        <f t="shared" si="7"/>
        <v>0.06995539431782723</v>
      </c>
      <c r="E87" s="157">
        <f t="shared" si="7"/>
        <v>0.11475130480942275</v>
      </c>
      <c r="F87" s="157">
        <f t="shared" si="7"/>
        <v>0.1567768707412846</v>
      </c>
      <c r="G87" s="157">
        <f t="shared" si="7"/>
        <v>0.19624627482915372</v>
      </c>
    </row>
    <row r="100" ht="14.25">
      <c r="A100" s="20" t="s">
        <v>1315</v>
      </c>
    </row>
    <row r="101" spans="1:2" ht="12.75">
      <c r="A101" t="s">
        <v>467</v>
      </c>
      <c r="B101" s="23">
        <v>78000</v>
      </c>
    </row>
    <row r="102" spans="1:3" ht="12.75">
      <c r="A102" t="s">
        <v>468</v>
      </c>
      <c r="B102" s="23">
        <v>3</v>
      </c>
      <c r="C102" t="s">
        <v>200</v>
      </c>
    </row>
    <row r="103" spans="1:2" ht="12.75">
      <c r="A103" t="s">
        <v>369</v>
      </c>
      <c r="B103" s="47">
        <v>0.35</v>
      </c>
    </row>
    <row r="104" spans="1:2" ht="12.75">
      <c r="A104" t="s">
        <v>82</v>
      </c>
      <c r="B104" s="47">
        <v>0.1</v>
      </c>
    </row>
    <row r="106" spans="1:3" ht="12.75">
      <c r="A106" t="s">
        <v>1526</v>
      </c>
      <c r="B106" s="23">
        <v>5</v>
      </c>
      <c r="C106" t="s">
        <v>200</v>
      </c>
    </row>
    <row r="108" spans="1:2" ht="12.75">
      <c r="A108" t="s">
        <v>1527</v>
      </c>
      <c r="B108" s="120">
        <v>7000</v>
      </c>
    </row>
    <row r="110" ht="12.75">
      <c r="A110" s="179" t="s">
        <v>1528</v>
      </c>
    </row>
    <row r="111" spans="1:12" ht="12.75">
      <c r="A111" s="54" t="s">
        <v>465</v>
      </c>
      <c r="B111" s="142">
        <v>0</v>
      </c>
      <c r="C111" s="142">
        <f>B111+1</f>
        <v>1</v>
      </c>
      <c r="D111" s="142">
        <f aca="true" t="shared" si="8" ref="D111:L111">C111+1</f>
        <v>2</v>
      </c>
      <c r="E111" s="142">
        <f t="shared" si="8"/>
        <v>3</v>
      </c>
      <c r="F111" s="142">
        <f t="shared" si="8"/>
        <v>4</v>
      </c>
      <c r="G111" s="142">
        <f t="shared" si="8"/>
        <v>5</v>
      </c>
      <c r="H111" s="142">
        <f t="shared" si="8"/>
        <v>6</v>
      </c>
      <c r="I111" s="142">
        <f t="shared" si="8"/>
        <v>7</v>
      </c>
      <c r="J111" s="142">
        <f t="shared" si="8"/>
        <v>8</v>
      </c>
      <c r="K111" s="142">
        <f t="shared" si="8"/>
        <v>9</v>
      </c>
      <c r="L111" s="142">
        <f t="shared" si="8"/>
        <v>10</v>
      </c>
    </row>
    <row r="112" spans="1:12" ht="12.75">
      <c r="A112" s="211" t="s">
        <v>710</v>
      </c>
      <c r="B112" s="23">
        <f>-B101</f>
        <v>-78000</v>
      </c>
      <c r="C112" s="23"/>
      <c r="D112" s="23"/>
      <c r="E112" s="23"/>
      <c r="F112" s="23"/>
      <c r="G112" s="23"/>
      <c r="H112" s="23"/>
      <c r="I112" s="23"/>
      <c r="J112" s="23"/>
      <c r="K112" s="23"/>
      <c r="L112" s="23"/>
    </row>
    <row r="113" spans="1:12" ht="12.75">
      <c r="A113" s="212" t="s">
        <v>504</v>
      </c>
      <c r="B113" s="23"/>
      <c r="C113" s="23">
        <f>$B108*($B106-$B102)</f>
        <v>14000</v>
      </c>
      <c r="D113" s="23">
        <f aca="true" t="shared" si="9" ref="D113:L113">$B108*($B106-$B102)</f>
        <v>14000</v>
      </c>
      <c r="E113" s="23">
        <f t="shared" si="9"/>
        <v>14000</v>
      </c>
      <c r="F113" s="23">
        <f t="shared" si="9"/>
        <v>14000</v>
      </c>
      <c r="G113" s="23">
        <f t="shared" si="9"/>
        <v>14000</v>
      </c>
      <c r="H113" s="23">
        <f t="shared" si="9"/>
        <v>14000</v>
      </c>
      <c r="I113" s="23">
        <f t="shared" si="9"/>
        <v>14000</v>
      </c>
      <c r="J113" s="23">
        <f t="shared" si="9"/>
        <v>14000</v>
      </c>
      <c r="K113" s="23">
        <f t="shared" si="9"/>
        <v>14000</v>
      </c>
      <c r="L113" s="23">
        <f t="shared" si="9"/>
        <v>14000</v>
      </c>
    </row>
    <row r="114" spans="1:12" ht="12.75">
      <c r="A114" s="213" t="s">
        <v>500</v>
      </c>
      <c r="B114" s="38"/>
      <c r="C114" s="38">
        <f>-(C113-C117)*$B103</f>
        <v>-2170</v>
      </c>
      <c r="D114" s="38">
        <f aca="true" t="shared" si="10" ref="D114:L114">-(D113-D117)*$B103</f>
        <v>-2170</v>
      </c>
      <c r="E114" s="38">
        <f t="shared" si="10"/>
        <v>-2170</v>
      </c>
      <c r="F114" s="38">
        <f t="shared" si="10"/>
        <v>-2170</v>
      </c>
      <c r="G114" s="38">
        <f t="shared" si="10"/>
        <v>-2170</v>
      </c>
      <c r="H114" s="38">
        <f t="shared" si="10"/>
        <v>-2170</v>
      </c>
      <c r="I114" s="38">
        <f t="shared" si="10"/>
        <v>-2170</v>
      </c>
      <c r="J114" s="38">
        <f t="shared" si="10"/>
        <v>-2170</v>
      </c>
      <c r="K114" s="38">
        <f t="shared" si="10"/>
        <v>-2170</v>
      </c>
      <c r="L114" s="38">
        <f t="shared" si="10"/>
        <v>-2170</v>
      </c>
    </row>
    <row r="115" spans="1:12" ht="12.75">
      <c r="A115" s="67" t="s">
        <v>92</v>
      </c>
      <c r="B115" s="23">
        <f aca="true" t="shared" si="11" ref="B115:L115">SUM(B112:B114)</f>
        <v>-78000</v>
      </c>
      <c r="C115" s="23">
        <f t="shared" si="11"/>
        <v>11830</v>
      </c>
      <c r="D115" s="23">
        <f t="shared" si="11"/>
        <v>11830</v>
      </c>
      <c r="E115" s="23">
        <f t="shared" si="11"/>
        <v>11830</v>
      </c>
      <c r="F115" s="23">
        <f t="shared" si="11"/>
        <v>11830</v>
      </c>
      <c r="G115" s="23">
        <f t="shared" si="11"/>
        <v>11830</v>
      </c>
      <c r="H115" s="23">
        <f t="shared" si="11"/>
        <v>11830</v>
      </c>
      <c r="I115" s="23">
        <f t="shared" si="11"/>
        <v>11830</v>
      </c>
      <c r="J115" s="23">
        <f t="shared" si="11"/>
        <v>11830</v>
      </c>
      <c r="K115" s="23">
        <f t="shared" si="11"/>
        <v>11830</v>
      </c>
      <c r="L115" s="23">
        <f t="shared" si="11"/>
        <v>11830</v>
      </c>
    </row>
    <row r="116" spans="2:12" ht="12.75">
      <c r="B116" s="23"/>
      <c r="C116" s="23"/>
      <c r="D116" s="23"/>
      <c r="E116" s="23"/>
      <c r="F116" s="23"/>
      <c r="G116" s="23"/>
      <c r="H116" s="23"/>
      <c r="I116" s="23"/>
      <c r="J116" s="23"/>
      <c r="K116" s="23"/>
      <c r="L116" s="23"/>
    </row>
    <row r="117" spans="1:12" ht="12.75">
      <c r="A117" s="55" t="s">
        <v>435</v>
      </c>
      <c r="B117" s="64"/>
      <c r="C117" s="23">
        <f aca="true" t="shared" si="12" ref="C117:L117">$B101/10</f>
        <v>7800</v>
      </c>
      <c r="D117" s="23">
        <f t="shared" si="12"/>
        <v>7800</v>
      </c>
      <c r="E117" s="23">
        <f t="shared" si="12"/>
        <v>7800</v>
      </c>
      <c r="F117" s="23">
        <f t="shared" si="12"/>
        <v>7800</v>
      </c>
      <c r="G117" s="23">
        <f t="shared" si="12"/>
        <v>7800</v>
      </c>
      <c r="H117" s="23">
        <f t="shared" si="12"/>
        <v>7800</v>
      </c>
      <c r="I117" s="23">
        <f t="shared" si="12"/>
        <v>7800</v>
      </c>
      <c r="J117" s="23">
        <f t="shared" si="12"/>
        <v>7800</v>
      </c>
      <c r="K117" s="23">
        <f t="shared" si="12"/>
        <v>7800</v>
      </c>
      <c r="L117" s="23">
        <f t="shared" si="12"/>
        <v>7800</v>
      </c>
    </row>
    <row r="118" spans="1:12" ht="12.75">
      <c r="A118" s="55"/>
      <c r="B118" s="23"/>
      <c r="C118" s="23"/>
      <c r="D118" s="23"/>
      <c r="E118" s="23"/>
      <c r="F118" s="23"/>
      <c r="G118" s="23"/>
      <c r="H118" s="23"/>
      <c r="I118" s="23"/>
      <c r="J118" s="23"/>
      <c r="K118" s="23"/>
      <c r="L118" s="23"/>
    </row>
    <row r="119" spans="1:12" ht="12.75">
      <c r="A119" s="1" t="s">
        <v>93</v>
      </c>
      <c r="B119" s="40">
        <f>SUMPRODUCT(B115:L115,POWER(1+B104,-B111:L111))</f>
        <v>-5309.771139513625</v>
      </c>
      <c r="C119" s="202" t="s">
        <v>1529</v>
      </c>
      <c r="D119" s="23"/>
      <c r="E119" s="23"/>
      <c r="F119" s="23"/>
      <c r="G119" s="23"/>
      <c r="H119" s="23"/>
      <c r="I119" s="23"/>
      <c r="J119" s="23"/>
      <c r="K119" s="23"/>
      <c r="L119" s="23"/>
    </row>
    <row r="120" spans="1:12" ht="12.75">
      <c r="A120" s="1"/>
      <c r="B120" s="40"/>
      <c r="C120" s="202"/>
      <c r="D120" s="23"/>
      <c r="E120" s="23"/>
      <c r="F120" s="23"/>
      <c r="G120" s="23"/>
      <c r="H120" s="23"/>
      <c r="I120" s="23"/>
      <c r="J120" s="23"/>
      <c r="K120" s="23"/>
      <c r="L120" s="23"/>
    </row>
    <row r="121" spans="1:12" ht="12.75">
      <c r="A121" t="s">
        <v>469</v>
      </c>
      <c r="B121">
        <v>7000</v>
      </c>
      <c r="C121">
        <v>8000</v>
      </c>
      <c r="D121">
        <v>9000</v>
      </c>
      <c r="E121">
        <v>10000</v>
      </c>
      <c r="F121" s="23"/>
      <c r="G121" s="23"/>
      <c r="H121" s="23"/>
      <c r="I121" s="23"/>
      <c r="J121" s="23"/>
      <c r="K121" s="23"/>
      <c r="L121" s="23"/>
    </row>
    <row r="122" spans="1:12" ht="12.75">
      <c r="A122" s="1" t="s">
        <v>93</v>
      </c>
      <c r="B122" s="77">
        <v>-5309.771139513625</v>
      </c>
      <c r="C122" s="214">
        <v>2678.166097902449</v>
      </c>
      <c r="D122" s="77">
        <v>10666.103335318534</v>
      </c>
      <c r="E122" s="77">
        <v>18654.040572734626</v>
      </c>
      <c r="F122" s="23"/>
      <c r="G122" s="23"/>
      <c r="H122" s="23"/>
      <c r="I122" s="23"/>
      <c r="J122" s="23"/>
      <c r="K122" s="23"/>
      <c r="L122" s="23"/>
    </row>
    <row r="134" ht="14.25">
      <c r="A134" s="20" t="s">
        <v>57</v>
      </c>
    </row>
    <row r="135" spans="1:2" ht="12.75">
      <c r="A135" t="s">
        <v>477</v>
      </c>
      <c r="B135" s="23">
        <v>8400</v>
      </c>
    </row>
    <row r="137" ht="12.75">
      <c r="A137" s="180" t="s">
        <v>473</v>
      </c>
    </row>
    <row r="138" spans="1:2" ht="12.75">
      <c r="A138" t="s">
        <v>474</v>
      </c>
      <c r="B138" s="23">
        <v>1680</v>
      </c>
    </row>
    <row r="139" spans="1:2" ht="12.75">
      <c r="A139" t="s">
        <v>475</v>
      </c>
      <c r="B139" s="23">
        <v>770</v>
      </c>
    </row>
    <row r="140" spans="1:2" ht="12.75">
      <c r="A140" t="s">
        <v>476</v>
      </c>
      <c r="B140" s="23">
        <v>800</v>
      </c>
    </row>
    <row r="141" spans="1:2" ht="12.75">
      <c r="A141" s="180" t="s">
        <v>470</v>
      </c>
      <c r="B141" s="23"/>
    </row>
    <row r="142" spans="1:2" ht="12.75">
      <c r="A142" t="s">
        <v>471</v>
      </c>
      <c r="B142" s="23">
        <v>670</v>
      </c>
    </row>
    <row r="143" spans="1:2" ht="12.75">
      <c r="A143" t="s">
        <v>472</v>
      </c>
      <c r="B143" s="23">
        <v>280</v>
      </c>
    </row>
    <row r="144" spans="1:2" ht="12.75">
      <c r="A144" t="s">
        <v>369</v>
      </c>
      <c r="B144" s="23">
        <v>1000</v>
      </c>
    </row>
    <row r="145" spans="1:2" ht="12.75">
      <c r="A145" s="180" t="s">
        <v>320</v>
      </c>
      <c r="B145" s="23">
        <f>SUM(B138:B140)-SUM(B142:B144)</f>
        <v>1300</v>
      </c>
    </row>
    <row r="147" ht="12.75">
      <c r="A147" s="179" t="s">
        <v>457</v>
      </c>
    </row>
    <row r="148" spans="1:32" ht="12.75">
      <c r="A148" s="54" t="s">
        <v>465</v>
      </c>
      <c r="B148" s="142">
        <v>0</v>
      </c>
      <c r="C148" s="33">
        <v>1</v>
      </c>
      <c r="D148" s="33">
        <f>C148+1</f>
        <v>2</v>
      </c>
      <c r="E148" s="33">
        <f aca="true" t="shared" si="13" ref="E148:AF148">D148+1</f>
        <v>3</v>
      </c>
      <c r="F148" s="33">
        <f t="shared" si="13"/>
        <v>4</v>
      </c>
      <c r="G148" s="33">
        <f t="shared" si="13"/>
        <v>5</v>
      </c>
      <c r="H148" s="33">
        <f t="shared" si="13"/>
        <v>6</v>
      </c>
      <c r="I148" s="33">
        <f t="shared" si="13"/>
        <v>7</v>
      </c>
      <c r="J148" s="33">
        <f t="shared" si="13"/>
        <v>8</v>
      </c>
      <c r="K148" s="33">
        <f t="shared" si="13"/>
        <v>9</v>
      </c>
      <c r="L148" s="33">
        <f t="shared" si="13"/>
        <v>10</v>
      </c>
      <c r="M148" s="33">
        <f t="shared" si="13"/>
        <v>11</v>
      </c>
      <c r="N148" s="33">
        <f t="shared" si="13"/>
        <v>12</v>
      </c>
      <c r="O148" s="33">
        <f t="shared" si="13"/>
        <v>13</v>
      </c>
      <c r="P148" s="33">
        <f t="shared" si="13"/>
        <v>14</v>
      </c>
      <c r="Q148" s="33">
        <f t="shared" si="13"/>
        <v>15</v>
      </c>
      <c r="R148" s="33">
        <f t="shared" si="13"/>
        <v>16</v>
      </c>
      <c r="S148" s="33">
        <f t="shared" si="13"/>
        <v>17</v>
      </c>
      <c r="T148" s="33">
        <f t="shared" si="13"/>
        <v>18</v>
      </c>
      <c r="U148" s="33">
        <f t="shared" si="13"/>
        <v>19</v>
      </c>
      <c r="V148" s="33">
        <f t="shared" si="13"/>
        <v>20</v>
      </c>
      <c r="W148" s="33">
        <f t="shared" si="13"/>
        <v>21</v>
      </c>
      <c r="X148" s="33">
        <f t="shared" si="13"/>
        <v>22</v>
      </c>
      <c r="Y148" s="33">
        <f t="shared" si="13"/>
        <v>23</v>
      </c>
      <c r="Z148" s="33">
        <f t="shared" si="13"/>
        <v>24</v>
      </c>
      <c r="AA148" s="33">
        <f t="shared" si="13"/>
        <v>25</v>
      </c>
      <c r="AB148" s="33">
        <f t="shared" si="13"/>
        <v>26</v>
      </c>
      <c r="AC148" s="33">
        <f t="shared" si="13"/>
        <v>27</v>
      </c>
      <c r="AD148" s="33">
        <f t="shared" si="13"/>
        <v>28</v>
      </c>
      <c r="AE148" s="33">
        <f t="shared" si="13"/>
        <v>29</v>
      </c>
      <c r="AF148" s="33">
        <f t="shared" si="13"/>
        <v>30</v>
      </c>
    </row>
    <row r="149" spans="1:2" ht="12.75">
      <c r="A149" s="200" t="str">
        <f>A135</f>
        <v>Investissement initial</v>
      </c>
      <c r="B149" s="23">
        <f>-B135</f>
        <v>-8400</v>
      </c>
    </row>
    <row r="150" spans="1:32" ht="12.75">
      <c r="A150" s="200" t="s">
        <v>478</v>
      </c>
      <c r="B150" s="23"/>
      <c r="C150" s="23">
        <f>$B145</f>
        <v>1300</v>
      </c>
      <c r="D150" s="23">
        <f aca="true" t="shared" si="14" ref="D150:AF150">$B145</f>
        <v>1300</v>
      </c>
      <c r="E150" s="23">
        <f t="shared" si="14"/>
        <v>1300</v>
      </c>
      <c r="F150" s="23">
        <f t="shared" si="14"/>
        <v>1300</v>
      </c>
      <c r="G150" s="23">
        <f t="shared" si="14"/>
        <v>1300</v>
      </c>
      <c r="H150" s="23">
        <f t="shared" si="14"/>
        <v>1300</v>
      </c>
      <c r="I150" s="23">
        <f t="shared" si="14"/>
        <v>1300</v>
      </c>
      <c r="J150" s="23">
        <f t="shared" si="14"/>
        <v>1300</v>
      </c>
      <c r="K150" s="23">
        <f t="shared" si="14"/>
        <v>1300</v>
      </c>
      <c r="L150" s="23">
        <f t="shared" si="14"/>
        <v>1300</v>
      </c>
      <c r="M150" s="23">
        <f t="shared" si="14"/>
        <v>1300</v>
      </c>
      <c r="N150" s="23">
        <f t="shared" si="14"/>
        <v>1300</v>
      </c>
      <c r="O150" s="23">
        <f t="shared" si="14"/>
        <v>1300</v>
      </c>
      <c r="P150" s="23">
        <f t="shared" si="14"/>
        <v>1300</v>
      </c>
      <c r="Q150" s="23">
        <f t="shared" si="14"/>
        <v>1300</v>
      </c>
      <c r="R150" s="23">
        <f t="shared" si="14"/>
        <v>1300</v>
      </c>
      <c r="S150" s="23">
        <f t="shared" si="14"/>
        <v>1300</v>
      </c>
      <c r="T150" s="23">
        <f t="shared" si="14"/>
        <v>1300</v>
      </c>
      <c r="U150" s="23">
        <f t="shared" si="14"/>
        <v>1300</v>
      </c>
      <c r="V150" s="23">
        <f t="shared" si="14"/>
        <v>1300</v>
      </c>
      <c r="W150" s="23">
        <f t="shared" si="14"/>
        <v>1300</v>
      </c>
      <c r="X150" s="23">
        <f t="shared" si="14"/>
        <v>1300</v>
      </c>
      <c r="Y150" s="23">
        <f t="shared" si="14"/>
        <v>1300</v>
      </c>
      <c r="Z150" s="23">
        <f t="shared" si="14"/>
        <v>1300</v>
      </c>
      <c r="AA150" s="23">
        <f t="shared" si="14"/>
        <v>1300</v>
      </c>
      <c r="AB150" s="23">
        <f t="shared" si="14"/>
        <v>1300</v>
      </c>
      <c r="AC150" s="23">
        <f t="shared" si="14"/>
        <v>1300</v>
      </c>
      <c r="AD150" s="23">
        <f t="shared" si="14"/>
        <v>1300</v>
      </c>
      <c r="AE150" s="23">
        <f t="shared" si="14"/>
        <v>1300</v>
      </c>
      <c r="AF150" s="23">
        <f t="shared" si="14"/>
        <v>1300</v>
      </c>
    </row>
    <row r="151" spans="1:32" ht="12.75">
      <c r="A151" s="199" t="s">
        <v>435</v>
      </c>
      <c r="B151" s="38"/>
      <c r="C151" s="38">
        <f>$B143</f>
        <v>280</v>
      </c>
      <c r="D151" s="38">
        <f aca="true" t="shared" si="15" ref="D151:AF151">$B143</f>
        <v>280</v>
      </c>
      <c r="E151" s="38">
        <f t="shared" si="15"/>
        <v>280</v>
      </c>
      <c r="F151" s="38">
        <f t="shared" si="15"/>
        <v>280</v>
      </c>
      <c r="G151" s="38">
        <f t="shared" si="15"/>
        <v>280</v>
      </c>
      <c r="H151" s="38">
        <f t="shared" si="15"/>
        <v>280</v>
      </c>
      <c r="I151" s="38">
        <f t="shared" si="15"/>
        <v>280</v>
      </c>
      <c r="J151" s="38">
        <f t="shared" si="15"/>
        <v>280</v>
      </c>
      <c r="K151" s="38">
        <f t="shared" si="15"/>
        <v>280</v>
      </c>
      <c r="L151" s="38">
        <f t="shared" si="15"/>
        <v>280</v>
      </c>
      <c r="M151" s="38">
        <f t="shared" si="15"/>
        <v>280</v>
      </c>
      <c r="N151" s="38">
        <f t="shared" si="15"/>
        <v>280</v>
      </c>
      <c r="O151" s="38">
        <f t="shared" si="15"/>
        <v>280</v>
      </c>
      <c r="P151" s="38">
        <f t="shared" si="15"/>
        <v>280</v>
      </c>
      <c r="Q151" s="38">
        <f t="shared" si="15"/>
        <v>280</v>
      </c>
      <c r="R151" s="38">
        <f t="shared" si="15"/>
        <v>280</v>
      </c>
      <c r="S151" s="38">
        <f t="shared" si="15"/>
        <v>280</v>
      </c>
      <c r="T151" s="38">
        <f t="shared" si="15"/>
        <v>280</v>
      </c>
      <c r="U151" s="38">
        <f t="shared" si="15"/>
        <v>280</v>
      </c>
      <c r="V151" s="38">
        <f t="shared" si="15"/>
        <v>280</v>
      </c>
      <c r="W151" s="38">
        <f t="shared" si="15"/>
        <v>280</v>
      </c>
      <c r="X151" s="38">
        <f t="shared" si="15"/>
        <v>280</v>
      </c>
      <c r="Y151" s="38">
        <f t="shared" si="15"/>
        <v>280</v>
      </c>
      <c r="Z151" s="38">
        <f t="shared" si="15"/>
        <v>280</v>
      </c>
      <c r="AA151" s="38">
        <f t="shared" si="15"/>
        <v>280</v>
      </c>
      <c r="AB151" s="38">
        <f t="shared" si="15"/>
        <v>280</v>
      </c>
      <c r="AC151" s="38">
        <f t="shared" si="15"/>
        <v>280</v>
      </c>
      <c r="AD151" s="38">
        <f t="shared" si="15"/>
        <v>280</v>
      </c>
      <c r="AE151" s="38">
        <f t="shared" si="15"/>
        <v>280</v>
      </c>
      <c r="AF151" s="38">
        <f t="shared" si="15"/>
        <v>280</v>
      </c>
    </row>
    <row r="152" spans="1:32" ht="12.75">
      <c r="A152" s="67" t="s">
        <v>92</v>
      </c>
      <c r="B152" s="23">
        <f aca="true" t="shared" si="16" ref="B152:AF152">SUM(B149:B151)</f>
        <v>-8400</v>
      </c>
      <c r="C152" s="23">
        <f t="shared" si="16"/>
        <v>1580</v>
      </c>
      <c r="D152" s="23">
        <f t="shared" si="16"/>
        <v>1580</v>
      </c>
      <c r="E152" s="23">
        <f t="shared" si="16"/>
        <v>1580</v>
      </c>
      <c r="F152" s="23">
        <f t="shared" si="16"/>
        <v>1580</v>
      </c>
      <c r="G152" s="23">
        <f t="shared" si="16"/>
        <v>1580</v>
      </c>
      <c r="H152" s="23">
        <f t="shared" si="16"/>
        <v>1580</v>
      </c>
      <c r="I152" s="23">
        <f t="shared" si="16"/>
        <v>1580</v>
      </c>
      <c r="J152" s="23">
        <f t="shared" si="16"/>
        <v>1580</v>
      </c>
      <c r="K152" s="23">
        <f t="shared" si="16"/>
        <v>1580</v>
      </c>
      <c r="L152" s="23">
        <f t="shared" si="16"/>
        <v>1580</v>
      </c>
      <c r="M152" s="23">
        <f t="shared" si="16"/>
        <v>1580</v>
      </c>
      <c r="N152" s="23">
        <f t="shared" si="16"/>
        <v>1580</v>
      </c>
      <c r="O152" s="23">
        <f t="shared" si="16"/>
        <v>1580</v>
      </c>
      <c r="P152" s="23">
        <f t="shared" si="16"/>
        <v>1580</v>
      </c>
      <c r="Q152" s="23">
        <f t="shared" si="16"/>
        <v>1580</v>
      </c>
      <c r="R152" s="23">
        <f t="shared" si="16"/>
        <v>1580</v>
      </c>
      <c r="S152" s="23">
        <f t="shared" si="16"/>
        <v>1580</v>
      </c>
      <c r="T152" s="23">
        <f t="shared" si="16"/>
        <v>1580</v>
      </c>
      <c r="U152" s="23">
        <f t="shared" si="16"/>
        <v>1580</v>
      </c>
      <c r="V152" s="23">
        <f t="shared" si="16"/>
        <v>1580</v>
      </c>
      <c r="W152" s="23">
        <f t="shared" si="16"/>
        <v>1580</v>
      </c>
      <c r="X152" s="23">
        <f t="shared" si="16"/>
        <v>1580</v>
      </c>
      <c r="Y152" s="23">
        <f t="shared" si="16"/>
        <v>1580</v>
      </c>
      <c r="Z152" s="23">
        <f t="shared" si="16"/>
        <v>1580</v>
      </c>
      <c r="AA152" s="23">
        <f t="shared" si="16"/>
        <v>1580</v>
      </c>
      <c r="AB152" s="23">
        <f t="shared" si="16"/>
        <v>1580</v>
      </c>
      <c r="AC152" s="23">
        <f t="shared" si="16"/>
        <v>1580</v>
      </c>
      <c r="AD152" s="23">
        <f t="shared" si="16"/>
        <v>1580</v>
      </c>
      <c r="AE152" s="23">
        <f t="shared" si="16"/>
        <v>1580</v>
      </c>
      <c r="AF152" s="23">
        <f t="shared" si="16"/>
        <v>1580</v>
      </c>
    </row>
    <row r="154" ht="12.75">
      <c r="A154" s="180" t="s">
        <v>482</v>
      </c>
    </row>
    <row r="155" spans="1:32" ht="12.75">
      <c r="A155" t="s">
        <v>806</v>
      </c>
      <c r="C155" s="23">
        <f>$B145</f>
        <v>1300</v>
      </c>
      <c r="D155" s="23">
        <f aca="true" t="shared" si="17" ref="D155:AF155">$B145</f>
        <v>1300</v>
      </c>
      <c r="E155" s="23">
        <f t="shared" si="17"/>
        <v>1300</v>
      </c>
      <c r="F155" s="23">
        <f t="shared" si="17"/>
        <v>1300</v>
      </c>
      <c r="G155" s="23">
        <f t="shared" si="17"/>
        <v>1300</v>
      </c>
      <c r="H155" s="23">
        <f t="shared" si="17"/>
        <v>1300</v>
      </c>
      <c r="I155" s="23">
        <f t="shared" si="17"/>
        <v>1300</v>
      </c>
      <c r="J155" s="23">
        <f t="shared" si="17"/>
        <v>1300</v>
      </c>
      <c r="K155" s="23">
        <f t="shared" si="17"/>
        <v>1300</v>
      </c>
      <c r="L155" s="23">
        <f t="shared" si="17"/>
        <v>1300</v>
      </c>
      <c r="M155" s="23">
        <f t="shared" si="17"/>
        <v>1300</v>
      </c>
      <c r="N155" s="23">
        <f t="shared" si="17"/>
        <v>1300</v>
      </c>
      <c r="O155" s="23">
        <f t="shared" si="17"/>
        <v>1300</v>
      </c>
      <c r="P155" s="23">
        <f t="shared" si="17"/>
        <v>1300</v>
      </c>
      <c r="Q155" s="23">
        <f t="shared" si="17"/>
        <v>1300</v>
      </c>
      <c r="R155" s="23">
        <f t="shared" si="17"/>
        <v>1300</v>
      </c>
      <c r="S155" s="23">
        <f t="shared" si="17"/>
        <v>1300</v>
      </c>
      <c r="T155" s="23">
        <f t="shared" si="17"/>
        <v>1300</v>
      </c>
      <c r="U155" s="23">
        <f t="shared" si="17"/>
        <v>1300</v>
      </c>
      <c r="V155" s="23">
        <f t="shared" si="17"/>
        <v>1300</v>
      </c>
      <c r="W155" s="23">
        <f t="shared" si="17"/>
        <v>1300</v>
      </c>
      <c r="X155" s="23">
        <f t="shared" si="17"/>
        <v>1300</v>
      </c>
      <c r="Y155" s="23">
        <f t="shared" si="17"/>
        <v>1300</v>
      </c>
      <c r="Z155" s="23">
        <f t="shared" si="17"/>
        <v>1300</v>
      </c>
      <c r="AA155" s="23">
        <f t="shared" si="17"/>
        <v>1300</v>
      </c>
      <c r="AB155" s="23">
        <f t="shared" si="17"/>
        <v>1300</v>
      </c>
      <c r="AC155" s="23">
        <f t="shared" si="17"/>
        <v>1300</v>
      </c>
      <c r="AD155" s="23">
        <f t="shared" si="17"/>
        <v>1300</v>
      </c>
      <c r="AE155" s="23">
        <f t="shared" si="17"/>
        <v>1300</v>
      </c>
      <c r="AF155" s="23">
        <f t="shared" si="17"/>
        <v>1300</v>
      </c>
    </row>
    <row r="156" spans="1:32" ht="12.75">
      <c r="A156" t="s">
        <v>485</v>
      </c>
      <c r="C156" s="23">
        <f>$B135-(C148-1)*$B143</f>
        <v>8400</v>
      </c>
      <c r="D156" s="23">
        <f>$B135-(D148-1)*$B143</f>
        <v>8120</v>
      </c>
      <c r="E156" s="23">
        <f aca="true" t="shared" si="18" ref="E156:AF156">$B135-(E148-1)*$B143</f>
        <v>7840</v>
      </c>
      <c r="F156" s="23">
        <f t="shared" si="18"/>
        <v>7560</v>
      </c>
      <c r="G156" s="23">
        <f t="shared" si="18"/>
        <v>7280</v>
      </c>
      <c r="H156" s="23">
        <f t="shared" si="18"/>
        <v>7000</v>
      </c>
      <c r="I156" s="23">
        <f t="shared" si="18"/>
        <v>6720</v>
      </c>
      <c r="J156" s="23">
        <f t="shared" si="18"/>
        <v>6440</v>
      </c>
      <c r="K156" s="23">
        <f t="shared" si="18"/>
        <v>6160</v>
      </c>
      <c r="L156" s="23">
        <f t="shared" si="18"/>
        <v>5880</v>
      </c>
      <c r="M156" s="23">
        <f t="shared" si="18"/>
        <v>5600</v>
      </c>
      <c r="N156" s="23">
        <f t="shared" si="18"/>
        <v>5320</v>
      </c>
      <c r="O156" s="23">
        <f t="shared" si="18"/>
        <v>5040</v>
      </c>
      <c r="P156" s="23">
        <f t="shared" si="18"/>
        <v>4760</v>
      </c>
      <c r="Q156" s="23">
        <f t="shared" si="18"/>
        <v>4480</v>
      </c>
      <c r="R156" s="23">
        <f t="shared" si="18"/>
        <v>4200</v>
      </c>
      <c r="S156" s="23">
        <f t="shared" si="18"/>
        <v>3920</v>
      </c>
      <c r="T156" s="23">
        <f t="shared" si="18"/>
        <v>3640</v>
      </c>
      <c r="U156" s="23">
        <f t="shared" si="18"/>
        <v>3360</v>
      </c>
      <c r="V156" s="23">
        <f t="shared" si="18"/>
        <v>3080</v>
      </c>
      <c r="W156" s="23">
        <f t="shared" si="18"/>
        <v>2800</v>
      </c>
      <c r="X156" s="23">
        <f t="shared" si="18"/>
        <v>2520</v>
      </c>
      <c r="Y156" s="23">
        <f t="shared" si="18"/>
        <v>2240</v>
      </c>
      <c r="Z156" s="23">
        <f t="shared" si="18"/>
        <v>1960</v>
      </c>
      <c r="AA156" s="23">
        <f t="shared" si="18"/>
        <v>1680</v>
      </c>
      <c r="AB156" s="23">
        <f t="shared" si="18"/>
        <v>1400</v>
      </c>
      <c r="AC156" s="23">
        <f t="shared" si="18"/>
        <v>1120</v>
      </c>
      <c r="AD156" s="23">
        <f t="shared" si="18"/>
        <v>840</v>
      </c>
      <c r="AE156" s="23">
        <f t="shared" si="18"/>
        <v>560</v>
      </c>
      <c r="AF156" s="23">
        <f t="shared" si="18"/>
        <v>280</v>
      </c>
    </row>
    <row r="157" spans="1:32" ht="12.75">
      <c r="A157" t="s">
        <v>486</v>
      </c>
      <c r="C157" s="50">
        <v>0</v>
      </c>
      <c r="D157" s="23">
        <f>C157</f>
        <v>0</v>
      </c>
      <c r="E157" s="23">
        <f aca="true" t="shared" si="19" ref="E157:AF157">D157</f>
        <v>0</v>
      </c>
      <c r="F157" s="23">
        <f t="shared" si="19"/>
        <v>0</v>
      </c>
      <c r="G157" s="23">
        <f t="shared" si="19"/>
        <v>0</v>
      </c>
      <c r="H157" s="23">
        <f t="shared" si="19"/>
        <v>0</v>
      </c>
      <c r="I157" s="23">
        <f t="shared" si="19"/>
        <v>0</v>
      </c>
      <c r="J157" s="23">
        <f t="shared" si="19"/>
        <v>0</v>
      </c>
      <c r="K157" s="23">
        <f t="shared" si="19"/>
        <v>0</v>
      </c>
      <c r="L157" s="23">
        <f t="shared" si="19"/>
        <v>0</v>
      </c>
      <c r="M157" s="23">
        <f t="shared" si="19"/>
        <v>0</v>
      </c>
      <c r="N157" s="23">
        <f t="shared" si="19"/>
        <v>0</v>
      </c>
      <c r="O157" s="23">
        <f t="shared" si="19"/>
        <v>0</v>
      </c>
      <c r="P157" s="23">
        <f t="shared" si="19"/>
        <v>0</v>
      </c>
      <c r="Q157" s="23">
        <f t="shared" si="19"/>
        <v>0</v>
      </c>
      <c r="R157" s="23">
        <f t="shared" si="19"/>
        <v>0</v>
      </c>
      <c r="S157" s="23">
        <f t="shared" si="19"/>
        <v>0</v>
      </c>
      <c r="T157" s="23">
        <f t="shared" si="19"/>
        <v>0</v>
      </c>
      <c r="U157" s="23">
        <f t="shared" si="19"/>
        <v>0</v>
      </c>
      <c r="V157" s="23">
        <f t="shared" si="19"/>
        <v>0</v>
      </c>
      <c r="W157" s="23">
        <f t="shared" si="19"/>
        <v>0</v>
      </c>
      <c r="X157" s="23">
        <f t="shared" si="19"/>
        <v>0</v>
      </c>
      <c r="Y157" s="23">
        <f t="shared" si="19"/>
        <v>0</v>
      </c>
      <c r="Z157" s="23">
        <f t="shared" si="19"/>
        <v>0</v>
      </c>
      <c r="AA157" s="23">
        <f t="shared" si="19"/>
        <v>0</v>
      </c>
      <c r="AB157" s="23">
        <f t="shared" si="19"/>
        <v>0</v>
      </c>
      <c r="AC157" s="23">
        <f t="shared" si="19"/>
        <v>0</v>
      </c>
      <c r="AD157" s="23">
        <f t="shared" si="19"/>
        <v>0</v>
      </c>
      <c r="AE157" s="23">
        <f t="shared" si="19"/>
        <v>0</v>
      </c>
      <c r="AF157" s="23">
        <f t="shared" si="19"/>
        <v>0</v>
      </c>
    </row>
    <row r="158" spans="1:32" ht="12.75">
      <c r="A158" t="s">
        <v>1340</v>
      </c>
      <c r="B158">
        <v>0</v>
      </c>
      <c r="C158" s="79">
        <f>C155/(C156+C157)</f>
        <v>0.15476190476190477</v>
      </c>
      <c r="D158" s="79">
        <f aca="true" t="shared" si="20" ref="D158:AF158">D155/(D156+D157)</f>
        <v>0.16009852216748768</v>
      </c>
      <c r="E158" s="79">
        <f t="shared" si="20"/>
        <v>0.16581632653061223</v>
      </c>
      <c r="F158" s="79">
        <f t="shared" si="20"/>
        <v>0.17195767195767195</v>
      </c>
      <c r="G158" s="79">
        <f t="shared" si="20"/>
        <v>0.17857142857142858</v>
      </c>
      <c r="H158" s="79">
        <f t="shared" si="20"/>
        <v>0.18571428571428572</v>
      </c>
      <c r="I158" s="79">
        <f t="shared" si="20"/>
        <v>0.19345238095238096</v>
      </c>
      <c r="J158" s="79">
        <f t="shared" si="20"/>
        <v>0.20186335403726707</v>
      </c>
      <c r="K158" s="79">
        <f t="shared" si="20"/>
        <v>0.21103896103896103</v>
      </c>
      <c r="L158" s="79">
        <f t="shared" si="20"/>
        <v>0.22108843537414966</v>
      </c>
      <c r="M158" s="79">
        <f t="shared" si="20"/>
        <v>0.23214285714285715</v>
      </c>
      <c r="N158" s="79">
        <f t="shared" si="20"/>
        <v>0.24436090225563908</v>
      </c>
      <c r="O158" s="79">
        <f t="shared" si="20"/>
        <v>0.25793650793650796</v>
      </c>
      <c r="P158" s="79">
        <f t="shared" si="20"/>
        <v>0.27310924369747897</v>
      </c>
      <c r="Q158" s="79">
        <f t="shared" si="20"/>
        <v>0.29017857142857145</v>
      </c>
      <c r="R158" s="79">
        <f t="shared" si="20"/>
        <v>0.30952380952380953</v>
      </c>
      <c r="S158" s="79">
        <f t="shared" si="20"/>
        <v>0.33163265306122447</v>
      </c>
      <c r="T158" s="79">
        <f t="shared" si="20"/>
        <v>0.35714285714285715</v>
      </c>
      <c r="U158" s="79">
        <f t="shared" si="20"/>
        <v>0.3869047619047619</v>
      </c>
      <c r="V158" s="79">
        <f t="shared" si="20"/>
        <v>0.42207792207792205</v>
      </c>
      <c r="W158" s="79">
        <f t="shared" si="20"/>
        <v>0.4642857142857143</v>
      </c>
      <c r="X158" s="79">
        <f t="shared" si="20"/>
        <v>0.5158730158730159</v>
      </c>
      <c r="Y158" s="79">
        <f t="shared" si="20"/>
        <v>0.5803571428571429</v>
      </c>
      <c r="Z158" s="79">
        <f t="shared" si="20"/>
        <v>0.6632653061224489</v>
      </c>
      <c r="AA158" s="79">
        <f t="shared" si="20"/>
        <v>0.7738095238095238</v>
      </c>
      <c r="AB158" s="79">
        <f t="shared" si="20"/>
        <v>0.9285714285714286</v>
      </c>
      <c r="AC158" s="79">
        <f t="shared" si="20"/>
        <v>1.1607142857142858</v>
      </c>
      <c r="AD158" s="79">
        <f t="shared" si="20"/>
        <v>1.5476190476190477</v>
      </c>
      <c r="AE158" s="79">
        <f t="shared" si="20"/>
        <v>2.3214285714285716</v>
      </c>
      <c r="AF158" s="79">
        <f t="shared" si="20"/>
        <v>4.642857142857143</v>
      </c>
    </row>
    <row r="159" spans="3:32" ht="12.75">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row>
    <row r="160" spans="1:32" ht="12.75">
      <c r="A160" s="1" t="s">
        <v>1530</v>
      </c>
      <c r="B160" s="159">
        <f>C152/AVERAGE(0,B135)</f>
        <v>0.3761904761904762</v>
      </c>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row>
    <row r="161" spans="1:32" ht="12.75">
      <c r="A161" s="1" t="s">
        <v>723</v>
      </c>
      <c r="B161" s="159">
        <f>AVERAGE(B158:AF158)</f>
        <v>0.598327565690842</v>
      </c>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row>
    <row r="163" ht="12.75">
      <c r="A163" s="179" t="s">
        <v>483</v>
      </c>
    </row>
    <row r="164" spans="1:2" ht="12.75">
      <c r="A164" t="s">
        <v>54</v>
      </c>
      <c r="B164" s="47">
        <v>0.1</v>
      </c>
    </row>
    <row r="165" spans="1:32" ht="12.75">
      <c r="A165" s="145" t="s">
        <v>479</v>
      </c>
      <c r="B165" s="23">
        <f>SUMPRODUCT($B152:B152,POWER(1+$B164,-$B148:B148))</f>
        <v>-8400</v>
      </c>
      <c r="C165" s="23">
        <f>SUMPRODUCT($B152:C152,POWER(1+$B164,-$B148:C148))</f>
        <v>-6963.636363636364</v>
      </c>
      <c r="D165" s="23">
        <f>SUMPRODUCT($B152:D152,POWER(1+$B164,-$B148:D148))</f>
        <v>-5657.851239669422</v>
      </c>
      <c r="E165" s="23">
        <f>SUMPRODUCT($B152:E152,POWER(1+$B164,-$B148:E148))</f>
        <v>-4470.77385424493</v>
      </c>
      <c r="F165" s="23">
        <f>SUMPRODUCT($B152:F152,POWER(1+$B164,-$B148:F148))</f>
        <v>-3391.6125947681185</v>
      </c>
      <c r="G165" s="23">
        <f>SUMPRODUCT($B152:G152,POWER(1+$B164,-$B148:G148))</f>
        <v>-2410.5569043346536</v>
      </c>
      <c r="H165" s="23">
        <f>SUMPRODUCT($B152:H152,POWER(1+$B164,-$B148:H148))</f>
        <v>-1518.6880948496855</v>
      </c>
      <c r="I165" s="23">
        <f>SUMPRODUCT($B152:I152,POWER(1+$B164,-$B148:I148))</f>
        <v>-707.8982680451693</v>
      </c>
      <c r="J165" s="23">
        <f>SUMPRODUCT($B152:J152,POWER(1+$B164,-$B148:J148))</f>
        <v>29.183392686209118</v>
      </c>
      <c r="K165" s="23">
        <f>SUMPRODUCT($B152:K152,POWER(1+$B164,-$B148:K148))</f>
        <v>699.2576297147349</v>
      </c>
      <c r="L165" s="23">
        <f>SUMPRODUCT($B152:L152,POWER(1+$B164,-$B148:L148))</f>
        <v>1308.4160270133946</v>
      </c>
      <c r="M165" s="23">
        <f>SUMPRODUCT($B152:M152,POWER(1+$B164,-$B148:M148))</f>
        <v>1862.1963881939942</v>
      </c>
      <c r="N165" s="23">
        <f>SUMPRODUCT($B152:N152,POWER(1+$B164,-$B148:N148))</f>
        <v>2365.6330801763575</v>
      </c>
      <c r="O165" s="23">
        <f>SUMPRODUCT($B152:O152,POWER(1+$B164,-$B148:O148))</f>
        <v>2823.3028001603243</v>
      </c>
      <c r="P165" s="23">
        <f>SUMPRODUCT($B152:P152,POWER(1+$B164,-$B148:P148))</f>
        <v>3239.36618196393</v>
      </c>
      <c r="Q165" s="23">
        <f>SUMPRODUCT($B152:Q152,POWER(1+$B164,-$B148:Q148))</f>
        <v>3617.6056199672084</v>
      </c>
      <c r="R165" s="23">
        <f>SUMPRODUCT($B152:R152,POWER(1+$B164,-$B148:R148))</f>
        <v>3961.4596545156433</v>
      </c>
      <c r="S165" s="23">
        <f>SUMPRODUCT($B152:S152,POWER(1+$B164,-$B148:S148))</f>
        <v>4274.054231377857</v>
      </c>
      <c r="T165" s="23">
        <f>SUMPRODUCT($B152:T152,POWER(1+$B164,-$B148:T148))</f>
        <v>4558.231119434415</v>
      </c>
      <c r="U165" s="23">
        <f>SUMPRODUCT($B152:U152,POWER(1+$B164,-$B148:U148))</f>
        <v>4816.573744940376</v>
      </c>
      <c r="V165" s="23">
        <f>SUMPRODUCT($B152:V152,POWER(1+$B164,-$B148:V148))</f>
        <v>5051.430677218523</v>
      </c>
      <c r="W165" s="23">
        <f>SUMPRODUCT($B152:W152,POWER(1+$B164,-$B148:W148))</f>
        <v>5264.936979289565</v>
      </c>
      <c r="X165" s="23">
        <f>SUMPRODUCT($B152:X152,POWER(1+$B164,-$B148:X148))</f>
        <v>5459.033617535967</v>
      </c>
      <c r="Y165" s="23">
        <f>SUMPRODUCT($B152:Y152,POWER(1+$B164,-$B148:Y148))</f>
        <v>5635.485106850878</v>
      </c>
      <c r="Z165" s="23">
        <f>SUMPRODUCT($B152:Z152,POWER(1+$B164,-$B148:Z148))</f>
        <v>5795.895551682615</v>
      </c>
      <c r="AA165" s="23">
        <f>SUMPRODUCT($B152:AA152,POWER(1+$B164,-$B148:AA148))</f>
        <v>5941.723228802377</v>
      </c>
      <c r="AB165" s="23">
        <f>SUMPRODUCT($B152:AB152,POWER(1+$B164,-$B148:AB148))</f>
        <v>6074.293844365796</v>
      </c>
      <c r="AC165" s="23">
        <f>SUMPRODUCT($B152:AC152,POWER(1+$B164,-$B148:AC148))</f>
        <v>6194.812585787086</v>
      </c>
      <c r="AD165" s="23">
        <f>SUMPRODUCT($B152:AD152,POWER(1+$B164,-$B148:AD148))</f>
        <v>6304.375077988259</v>
      </c>
      <c r="AE165" s="23">
        <f>SUMPRODUCT($B152:AE152,POWER(1+$B164,-$B148:AE148))</f>
        <v>6403.977343625689</v>
      </c>
      <c r="AF165" s="23">
        <f>SUMPRODUCT($B152:AF152,POWER(1+$B164,-$B148:AF148))</f>
        <v>6494.524857841535</v>
      </c>
    </row>
    <row r="166" ht="12.75">
      <c r="B166" s="23"/>
    </row>
    <row r="179" spans="1:2" ht="12.75">
      <c r="A179" s="1" t="s">
        <v>480</v>
      </c>
      <c r="B179" s="166">
        <f>K148-K165/(L165-K165)</f>
        <v>7.852092275481017</v>
      </c>
    </row>
    <row r="180" spans="1:2" ht="12.75">
      <c r="A180" s="1" t="s">
        <v>481</v>
      </c>
      <c r="B180" s="50">
        <f>AF165</f>
        <v>6494.524857841535</v>
      </c>
    </row>
    <row r="182" ht="12.75">
      <c r="A182" s="180" t="s">
        <v>484</v>
      </c>
    </row>
    <row r="183" spans="1:2" ht="12.75">
      <c r="A183" s="1" t="s">
        <v>437</v>
      </c>
      <c r="B183" s="163">
        <v>0.1602407573611475</v>
      </c>
    </row>
    <row r="184" spans="1:2" ht="12.75">
      <c r="A184" s="193" t="s">
        <v>93</v>
      </c>
      <c r="B184" s="50">
        <f>SUMPRODUCT(B152:AF152,POWER(1+B183,-B148:AF148))</f>
        <v>1346.0223709964146</v>
      </c>
    </row>
    <row r="185" spans="1:2" ht="12.75">
      <c r="A185" s="192"/>
      <c r="B185" s="40"/>
    </row>
    <row r="186" ht="14.25">
      <c r="A186" s="20" t="s">
        <v>59</v>
      </c>
    </row>
    <row r="187" spans="1:2" ht="12.75">
      <c r="A187" s="3" t="s">
        <v>490</v>
      </c>
      <c r="B187" s="23">
        <v>8000</v>
      </c>
    </row>
    <row r="188" spans="1:2" ht="12.75">
      <c r="A188" s="3" t="s">
        <v>792</v>
      </c>
      <c r="B188">
        <v>7</v>
      </c>
    </row>
    <row r="189" spans="1:2" ht="25.5">
      <c r="A189" s="3" t="s">
        <v>491</v>
      </c>
      <c r="B189">
        <v>8</v>
      </c>
    </row>
    <row r="190" spans="1:2" ht="12.75">
      <c r="A190" s="3" t="s">
        <v>1531</v>
      </c>
      <c r="B190" s="23">
        <f>(B187*B188/B189)-B212</f>
        <v>2000</v>
      </c>
    </row>
    <row r="191" spans="1:2" ht="25.5">
      <c r="A191" s="3" t="s">
        <v>489</v>
      </c>
      <c r="B191" s="47">
        <v>0.4</v>
      </c>
    </row>
    <row r="192" spans="1:2" ht="12.75">
      <c r="A192" s="3" t="s">
        <v>492</v>
      </c>
      <c r="B192" s="23">
        <f>B190*B191</f>
        <v>800</v>
      </c>
    </row>
    <row r="193" ht="12.75">
      <c r="A193" s="3"/>
    </row>
    <row r="194" spans="1:2" ht="25.5">
      <c r="A194" s="3" t="s">
        <v>493</v>
      </c>
      <c r="B194" s="23">
        <v>10500</v>
      </c>
    </row>
    <row r="195" spans="1:2" ht="12.75">
      <c r="A195" s="3" t="s">
        <v>49</v>
      </c>
      <c r="B195">
        <v>7</v>
      </c>
    </row>
    <row r="196" spans="1:2" ht="12.75">
      <c r="A196" s="3" t="s">
        <v>502</v>
      </c>
      <c r="B196" s="23">
        <v>500</v>
      </c>
    </row>
    <row r="197" ht="12.75">
      <c r="A197" s="3"/>
    </row>
    <row r="198" spans="1:3" ht="12.75">
      <c r="A198" s="3" t="s">
        <v>494</v>
      </c>
      <c r="B198" s="75">
        <v>100000</v>
      </c>
      <c r="C198" t="s">
        <v>520</v>
      </c>
    </row>
    <row r="199" spans="1:2" ht="12.75">
      <c r="A199" s="3" t="s">
        <v>496</v>
      </c>
      <c r="B199" s="23">
        <f>SUM(B200:B202)</f>
        <v>0.38</v>
      </c>
    </row>
    <row r="200" spans="1:2" ht="12.75">
      <c r="A200" s="10" t="s">
        <v>497</v>
      </c>
      <c r="B200" s="24">
        <v>0.14</v>
      </c>
    </row>
    <row r="201" spans="1:2" ht="12.75">
      <c r="A201" s="10" t="s">
        <v>498</v>
      </c>
      <c r="B201" s="24">
        <v>0.1</v>
      </c>
    </row>
    <row r="202" spans="1:2" ht="12.75">
      <c r="A202" s="10" t="s">
        <v>499</v>
      </c>
      <c r="B202" s="24">
        <v>0.14</v>
      </c>
    </row>
    <row r="203" spans="1:2" ht="12.75">
      <c r="A203" s="3" t="s">
        <v>495</v>
      </c>
      <c r="B203" s="23">
        <f>SUM(B204:B206)</f>
        <v>0.35</v>
      </c>
    </row>
    <row r="204" spans="1:2" ht="12.75">
      <c r="A204" s="10" t="s">
        <v>497</v>
      </c>
      <c r="B204" s="24">
        <v>0.12</v>
      </c>
    </row>
    <row r="205" spans="1:2" ht="12.75">
      <c r="A205" s="10" t="s">
        <v>498</v>
      </c>
      <c r="B205" s="24">
        <v>0.09</v>
      </c>
    </row>
    <row r="206" spans="1:2" ht="12.75">
      <c r="A206" s="10" t="s">
        <v>499</v>
      </c>
      <c r="B206" s="24">
        <f>B202</f>
        <v>0.14</v>
      </c>
    </row>
    <row r="208" ht="12.75">
      <c r="A208" s="179" t="s">
        <v>487</v>
      </c>
    </row>
    <row r="209" spans="1:10" ht="12.75">
      <c r="A209" s="200" t="s">
        <v>518</v>
      </c>
      <c r="B209" s="23"/>
      <c r="C209" s="50">
        <f aca="true" t="shared" si="21" ref="C209:I209">$B194/$B195-$B187/$B189</f>
        <v>500</v>
      </c>
      <c r="D209" s="23">
        <f t="shared" si="21"/>
        <v>500</v>
      </c>
      <c r="E209" s="23">
        <f t="shared" si="21"/>
        <v>500</v>
      </c>
      <c r="F209" s="23">
        <f t="shared" si="21"/>
        <v>500</v>
      </c>
      <c r="G209" s="23">
        <f t="shared" si="21"/>
        <v>500</v>
      </c>
      <c r="H209" s="23">
        <f t="shared" si="21"/>
        <v>500</v>
      </c>
      <c r="I209" s="23">
        <f t="shared" si="21"/>
        <v>500</v>
      </c>
      <c r="J209" s="23"/>
    </row>
    <row r="210" spans="1:10" ht="12.75">
      <c r="A210" s="201"/>
      <c r="B210" s="64"/>
      <c r="C210" s="23"/>
      <c r="D210" s="23"/>
      <c r="E210" s="23"/>
      <c r="F210" s="23"/>
      <c r="G210" s="23"/>
      <c r="H210" s="23"/>
      <c r="I210" s="23"/>
      <c r="J210" s="23"/>
    </row>
    <row r="211" spans="1:10" ht="12.75">
      <c r="A211" s="54" t="s">
        <v>465</v>
      </c>
      <c r="B211" s="142">
        <v>0</v>
      </c>
      <c r="C211" s="142">
        <v>1</v>
      </c>
      <c r="D211" s="142">
        <f aca="true" t="shared" si="22" ref="D211:I211">C211+1</f>
        <v>2</v>
      </c>
      <c r="E211" s="142">
        <f t="shared" si="22"/>
        <v>3</v>
      </c>
      <c r="F211" s="142">
        <f t="shared" si="22"/>
        <v>4</v>
      </c>
      <c r="G211" s="142">
        <f t="shared" si="22"/>
        <v>5</v>
      </c>
      <c r="H211" s="142">
        <f t="shared" si="22"/>
        <v>6</v>
      </c>
      <c r="I211" s="142">
        <f t="shared" si="22"/>
        <v>7</v>
      </c>
      <c r="J211" s="142">
        <v>8</v>
      </c>
    </row>
    <row r="212" spans="1:9" ht="12.75">
      <c r="A212" s="200" t="s">
        <v>488</v>
      </c>
      <c r="B212" s="23">
        <v>5000</v>
      </c>
      <c r="D212" s="23"/>
      <c r="E212" s="23"/>
      <c r="F212" s="23"/>
      <c r="G212" s="23"/>
      <c r="H212" s="23"/>
      <c r="I212" s="23"/>
    </row>
    <row r="213" spans="1:10" ht="12.75">
      <c r="A213" s="200" t="s">
        <v>438</v>
      </c>
      <c r="B213" s="23">
        <v>-11000</v>
      </c>
      <c r="D213" s="23"/>
      <c r="E213" s="23"/>
      <c r="F213" s="23"/>
      <c r="G213" s="23"/>
      <c r="H213" s="23"/>
      <c r="I213" s="23" t="s">
        <v>28</v>
      </c>
      <c r="J213" s="23">
        <f>B196</f>
        <v>500</v>
      </c>
    </row>
    <row r="214" spans="1:9" ht="12.75">
      <c r="A214" s="200" t="s">
        <v>503</v>
      </c>
      <c r="B214" s="23"/>
      <c r="C214" s="23">
        <f aca="true" t="shared" si="23" ref="C214:I214">(SUM($B200:$B202)-SUM($B204:$B206))*$B198</f>
        <v>3000.0000000000027</v>
      </c>
      <c r="D214" s="23">
        <f t="shared" si="23"/>
        <v>3000.0000000000027</v>
      </c>
      <c r="E214" s="23">
        <f t="shared" si="23"/>
        <v>3000.0000000000027</v>
      </c>
      <c r="F214" s="23">
        <f t="shared" si="23"/>
        <v>3000.0000000000027</v>
      </c>
      <c r="G214" s="23">
        <f t="shared" si="23"/>
        <v>3000.0000000000027</v>
      </c>
      <c r="H214" s="23">
        <f t="shared" si="23"/>
        <v>3000.0000000000027</v>
      </c>
      <c r="I214" s="23">
        <f t="shared" si="23"/>
        <v>3000.0000000000027</v>
      </c>
    </row>
    <row r="215" spans="1:9" ht="12.75">
      <c r="A215" s="200" t="s">
        <v>501</v>
      </c>
      <c r="B215" s="23"/>
      <c r="C215" s="23">
        <f aca="true" t="shared" si="24" ref="C215:I215">-(C214-C209)*$B191</f>
        <v>-1000.0000000000011</v>
      </c>
      <c r="D215" s="23">
        <f t="shared" si="24"/>
        <v>-1000.0000000000011</v>
      </c>
      <c r="E215" s="23">
        <f t="shared" si="24"/>
        <v>-1000.0000000000011</v>
      </c>
      <c r="F215" s="23">
        <f t="shared" si="24"/>
        <v>-1000.0000000000011</v>
      </c>
      <c r="G215" s="23">
        <f t="shared" si="24"/>
        <v>-1000.0000000000011</v>
      </c>
      <c r="H215" s="23">
        <f t="shared" si="24"/>
        <v>-1000.0000000000011</v>
      </c>
      <c r="I215" s="23">
        <f t="shared" si="24"/>
        <v>-1000.0000000000011</v>
      </c>
    </row>
    <row r="216" spans="1:10" ht="12.75">
      <c r="A216" s="199" t="s">
        <v>492</v>
      </c>
      <c r="B216" s="38">
        <f>B192</f>
        <v>800</v>
      </c>
      <c r="C216" s="33"/>
      <c r="D216" s="38"/>
      <c r="E216" s="38"/>
      <c r="F216" s="38"/>
      <c r="G216" s="38"/>
      <c r="H216" s="38"/>
      <c r="I216" s="38"/>
      <c r="J216" s="33"/>
    </row>
    <row r="217" spans="1:10" ht="12.75">
      <c r="A217" s="200" t="s">
        <v>92</v>
      </c>
      <c r="B217" s="23">
        <f>SUM(B212:B216)</f>
        <v>-5200</v>
      </c>
      <c r="C217" s="23">
        <f>SUM(C212:C216)</f>
        <v>2000.0000000000016</v>
      </c>
      <c r="D217" s="23">
        <f aca="true" t="shared" si="25" ref="D217:J217">SUM(D212:D216)</f>
        <v>2000.0000000000016</v>
      </c>
      <c r="E217" s="23">
        <f t="shared" si="25"/>
        <v>2000.0000000000016</v>
      </c>
      <c r="F217" s="23">
        <f t="shared" si="25"/>
        <v>2000.0000000000016</v>
      </c>
      <c r="G217" s="23">
        <f t="shared" si="25"/>
        <v>2000.0000000000016</v>
      </c>
      <c r="H217" s="23">
        <f t="shared" si="25"/>
        <v>2000.0000000000016</v>
      </c>
      <c r="I217" s="23">
        <f t="shared" si="25"/>
        <v>2000.0000000000016</v>
      </c>
      <c r="J217" s="23">
        <f t="shared" si="25"/>
        <v>500</v>
      </c>
    </row>
    <row r="218" spans="1:9" ht="12.75">
      <c r="A218" s="201"/>
      <c r="B218" s="6"/>
      <c r="C218" s="6"/>
      <c r="D218" s="6"/>
      <c r="E218" s="6"/>
      <c r="F218" s="6"/>
      <c r="G218" s="6"/>
      <c r="H218" s="6"/>
      <c r="I218" s="6"/>
    </row>
    <row r="219" spans="1:2" ht="12.75">
      <c r="A219" s="3" t="s">
        <v>82</v>
      </c>
      <c r="B219" s="47">
        <v>0.1</v>
      </c>
    </row>
    <row r="220" spans="1:2" ht="12.75">
      <c r="A220" s="3" t="s">
        <v>93</v>
      </c>
      <c r="B220" s="23">
        <f>NPV(B219,C217:J217)</f>
        <v>9970.091325490735</v>
      </c>
    </row>
    <row r="221" spans="1:2" ht="12.75">
      <c r="A221" s="3"/>
      <c r="B221" s="23"/>
    </row>
    <row r="222" spans="1:10" ht="12.75">
      <c r="A222" s="144" t="s">
        <v>231</v>
      </c>
      <c r="B222" s="38">
        <f>B217</f>
        <v>-5200</v>
      </c>
      <c r="C222" s="261">
        <f>C217/(1+$B$219)^C211</f>
        <v>1818.1818181818194</v>
      </c>
      <c r="D222" s="261">
        <f aca="true" t="shared" si="26" ref="D222:J222">D217/(1+$B$219)^D211</f>
        <v>1652.8925619834722</v>
      </c>
      <c r="E222" s="261">
        <f t="shared" si="26"/>
        <v>1502.6296018031562</v>
      </c>
      <c r="F222" s="261">
        <f t="shared" si="26"/>
        <v>1366.0269107301422</v>
      </c>
      <c r="G222" s="261">
        <f t="shared" si="26"/>
        <v>1241.842646118311</v>
      </c>
      <c r="H222" s="261">
        <f t="shared" si="26"/>
        <v>1128.9478601075552</v>
      </c>
      <c r="I222" s="261">
        <f t="shared" si="26"/>
        <v>1026.3162364614136</v>
      </c>
      <c r="J222" s="261">
        <f t="shared" si="26"/>
        <v>233.2536901048666</v>
      </c>
    </row>
    <row r="223" spans="1:9" ht="12.75">
      <c r="A223" s="200" t="s">
        <v>479</v>
      </c>
      <c r="B223" s="23">
        <f>B222</f>
        <v>-5200</v>
      </c>
      <c r="C223" s="23">
        <f>SUMPRODUCT($B217:C217,POWER(1+$B219,-$B211:C211))</f>
        <v>-3381.81818181818</v>
      </c>
      <c r="D223" s="23">
        <f>SUMPRODUCT($B217:D217,POWER(1+$B219,-$B211:D211))</f>
        <v>-1728.925619834708</v>
      </c>
      <c r="E223" s="23">
        <f>SUMPRODUCT($B217:E217,POWER(1+$B219,-$B211:E211))</f>
        <v>-226.29601803155174</v>
      </c>
      <c r="F223" s="23">
        <f>SUMPRODUCT($B217:F217,POWER(1+$B219,-$B211:F211))</f>
        <v>1139.7308926985904</v>
      </c>
      <c r="G223" s="23">
        <f>SUMPRODUCT($B217:G217,POWER(1+$B219,-$B211:G211))</f>
        <v>2381.5735388169014</v>
      </c>
      <c r="H223" s="23">
        <f>SUMPRODUCT($B217:H217,POWER(1+$B219,-$B211:H211))</f>
        <v>3510.5213989244567</v>
      </c>
      <c r="I223" s="23">
        <f>SUMPRODUCT($B217:I217,POWER(1+$B219,-$B211:I211))</f>
        <v>4536.83763538587</v>
      </c>
    </row>
    <row r="238" spans="1:3" ht="12.75">
      <c r="A238" s="1" t="s">
        <v>480</v>
      </c>
      <c r="B238" s="198">
        <f>C211-C223/(D223-C223)</f>
        <v>3.0459999999999976</v>
      </c>
      <c r="C238" t="s">
        <v>228</v>
      </c>
    </row>
    <row r="240" ht="14.25">
      <c r="A240" s="20" t="s">
        <v>64</v>
      </c>
    </row>
    <row r="241" spans="1:2" ht="12.75">
      <c r="A241" s="203" t="s">
        <v>507</v>
      </c>
      <c r="B241" s="207">
        <v>1000</v>
      </c>
    </row>
    <row r="242" ht="12.75">
      <c r="A242" s="203"/>
    </row>
    <row r="243" spans="1:2" ht="12.75">
      <c r="A243" s="203" t="s">
        <v>508</v>
      </c>
      <c r="B243" s="207">
        <v>4</v>
      </c>
    </row>
    <row r="244" spans="1:2" ht="12.75">
      <c r="A244" s="203" t="s">
        <v>509</v>
      </c>
      <c r="B244" s="207">
        <v>3.2</v>
      </c>
    </row>
    <row r="245" spans="1:2" ht="12.75">
      <c r="A245" s="203" t="s">
        <v>510</v>
      </c>
      <c r="B245" s="207">
        <v>1</v>
      </c>
    </row>
    <row r="246" ht="12.75">
      <c r="A246" s="203"/>
    </row>
    <row r="247" spans="1:2" ht="25.5">
      <c r="A247" s="203" t="s">
        <v>511</v>
      </c>
      <c r="B247" s="206">
        <v>0.2</v>
      </c>
    </row>
    <row r="249" spans="1:6" ht="25.5">
      <c r="A249" s="203" t="s">
        <v>505</v>
      </c>
      <c r="B249" s="230">
        <v>0</v>
      </c>
      <c r="C249" s="4">
        <v>15</v>
      </c>
      <c r="D249" s="4">
        <v>30</v>
      </c>
      <c r="E249" s="4">
        <v>45</v>
      </c>
      <c r="F249" s="4">
        <v>60</v>
      </c>
    </row>
    <row r="250" spans="1:6" ht="12.75">
      <c r="A250" s="203" t="s">
        <v>506</v>
      </c>
      <c r="B250" s="207">
        <v>0</v>
      </c>
      <c r="C250" s="23">
        <v>40</v>
      </c>
      <c r="D250" s="23">
        <v>60</v>
      </c>
      <c r="E250" s="23">
        <v>70</v>
      </c>
      <c r="F250" s="23">
        <v>75</v>
      </c>
    </row>
    <row r="251" ht="12.75">
      <c r="A251" s="203"/>
    </row>
    <row r="252" ht="12.75">
      <c r="A252" s="179" t="s">
        <v>724</v>
      </c>
    </row>
    <row r="253" spans="1:6" ht="12.75">
      <c r="A253" s="203" t="s">
        <v>512</v>
      </c>
      <c r="B253" s="207">
        <f>$B241+B250</f>
        <v>1000</v>
      </c>
      <c r="C253" s="23">
        <f>$B241+C250</f>
        <v>1040</v>
      </c>
      <c r="D253" s="23">
        <f>$B241+D250</f>
        <v>1060</v>
      </c>
      <c r="E253" s="23">
        <f>$B241+E250</f>
        <v>1070</v>
      </c>
      <c r="F253" s="23">
        <f>$B241+F250</f>
        <v>1075</v>
      </c>
    </row>
    <row r="254" spans="1:6" ht="25.5">
      <c r="A254" s="204" t="s">
        <v>523</v>
      </c>
      <c r="B254" s="207">
        <f>B253/$B243</f>
        <v>250</v>
      </c>
      <c r="C254" s="23">
        <f>C253/$B243</f>
        <v>260</v>
      </c>
      <c r="D254" s="23">
        <f>D253/$B243</f>
        <v>265</v>
      </c>
      <c r="E254" s="23">
        <f>E253/$B243</f>
        <v>267.5</v>
      </c>
      <c r="F254" s="23">
        <f>F253/$B243</f>
        <v>268.75</v>
      </c>
    </row>
    <row r="255" spans="1:6" ht="12.75">
      <c r="A255" s="204" t="s">
        <v>522</v>
      </c>
      <c r="B255" s="207">
        <f>(($B244-$B245)*B254+$B245*$B254)</f>
        <v>800</v>
      </c>
      <c r="C255" s="23">
        <f>(($B244-$B245)*C254+$B245*$B254)</f>
        <v>822</v>
      </c>
      <c r="D255" s="23">
        <f>(($B244-$B245)*D254+$B245*$B254)</f>
        <v>833</v>
      </c>
      <c r="E255" s="23">
        <f>(($B244-$B245)*E254+$B245*$B254)</f>
        <v>838.5</v>
      </c>
      <c r="F255" s="23">
        <f>(($B244-$B245)*F254+$B245*$B254)</f>
        <v>841.25</v>
      </c>
    </row>
    <row r="256" spans="1:6" ht="12.75">
      <c r="A256" s="204" t="s">
        <v>524</v>
      </c>
      <c r="B256" s="207">
        <f>B253-B255</f>
        <v>200</v>
      </c>
      <c r="C256" s="23">
        <f>C253-C255</f>
        <v>218</v>
      </c>
      <c r="D256" s="23">
        <f>D253-D255</f>
        <v>227</v>
      </c>
      <c r="E256" s="23">
        <f>E253-E255</f>
        <v>231.5</v>
      </c>
      <c r="F256" s="23">
        <f>F253-F255</f>
        <v>233.75</v>
      </c>
    </row>
    <row r="257" spans="1:6" ht="12.75">
      <c r="A257" t="s">
        <v>525</v>
      </c>
      <c r="B257" s="207">
        <f>B256-$B256</f>
        <v>0</v>
      </c>
      <c r="C257" s="23">
        <f>C256-$B256</f>
        <v>18</v>
      </c>
      <c r="D257" s="23">
        <f>D256-$B256</f>
        <v>27</v>
      </c>
      <c r="E257" s="23">
        <f>E256-$B256</f>
        <v>31.5</v>
      </c>
      <c r="F257" s="23">
        <f>F256-$B256</f>
        <v>33.75</v>
      </c>
    </row>
    <row r="258" spans="1:6" ht="12.75">
      <c r="A258" s="203"/>
      <c r="B258" s="23"/>
      <c r="C258" s="23"/>
      <c r="D258" s="23"/>
      <c r="E258" s="23"/>
      <c r="F258" s="23"/>
    </row>
    <row r="259" spans="1:6" ht="12.75">
      <c r="A259" t="s">
        <v>529</v>
      </c>
      <c r="B259" s="23"/>
      <c r="C259" s="23"/>
      <c r="D259" s="23"/>
      <c r="E259" s="23"/>
      <c r="F259" s="23"/>
    </row>
    <row r="260" spans="1:6" ht="12.75">
      <c r="A260" s="204" t="s">
        <v>522</v>
      </c>
      <c r="B260" s="207">
        <f>-B255+$B255</f>
        <v>0</v>
      </c>
      <c r="C260" s="23">
        <f>-C255+$B255</f>
        <v>-22</v>
      </c>
      <c r="D260" s="23">
        <f>-D255+$B255</f>
        <v>-33</v>
      </c>
      <c r="E260" s="23">
        <f>-E255+$B255</f>
        <v>-38.5</v>
      </c>
      <c r="F260" s="23">
        <f>-F255+$B255</f>
        <v>-41.25</v>
      </c>
    </row>
    <row r="261" spans="1:6" ht="25.5">
      <c r="A261" s="204" t="s">
        <v>521</v>
      </c>
      <c r="B261" s="51">
        <f>B253/(1+$B247*B249/365)-$B253</f>
        <v>0</v>
      </c>
      <c r="C261" s="51">
        <f>C253/(1+$B247*C249/365)-$B253</f>
        <v>31.521739130434753</v>
      </c>
      <c r="D261" s="23">
        <f>D253/(1+$B247*D249/3650)-$B253</f>
        <v>58.26039387308538</v>
      </c>
      <c r="E261" s="23">
        <f>E253/(1+$B247*E249/365)-$B253</f>
        <v>44.25133689839572</v>
      </c>
      <c r="F261" s="23">
        <f>F253/(1+$B247*F249/365)-$B253</f>
        <v>40.782493368700216</v>
      </c>
    </row>
    <row r="262" spans="1:6" ht="12.75">
      <c r="A262" s="204" t="s">
        <v>649</v>
      </c>
      <c r="B262" s="64"/>
      <c r="C262" s="23"/>
      <c r="D262" s="23"/>
      <c r="E262" s="23"/>
      <c r="F262" s="23"/>
    </row>
    <row r="264" spans="1:6" ht="12.75">
      <c r="A264" s="204" t="s">
        <v>93</v>
      </c>
      <c r="B264" s="6">
        <f>SUM(B260:B261)</f>
        <v>0</v>
      </c>
      <c r="C264" s="6">
        <f>SUM(C260:C261)</f>
        <v>9.521739130434753</v>
      </c>
      <c r="D264" s="6">
        <f>SUM(D260:D261)</f>
        <v>25.260393873085377</v>
      </c>
      <c r="E264" s="6">
        <f>SUM(E260:E261)</f>
        <v>5.751336898395721</v>
      </c>
      <c r="F264" s="6">
        <f>SUM(F260:F261)</f>
        <v>-0.4675066312997842</v>
      </c>
    </row>
    <row r="265" spans="1:6" ht="12.75">
      <c r="A265" s="204"/>
      <c r="B265" s="6"/>
      <c r="C265" s="6"/>
      <c r="D265" s="6"/>
      <c r="E265" s="6"/>
      <c r="F265" s="6"/>
    </row>
    <row r="266" spans="1:6" ht="12.75">
      <c r="A266" s="204"/>
      <c r="B266" s="6"/>
      <c r="C266" s="6"/>
      <c r="D266" s="6"/>
      <c r="E266" s="6"/>
      <c r="F266" s="6"/>
    </row>
    <row r="284" spans="1:3" ht="25.5">
      <c r="A284" s="208" t="s">
        <v>514</v>
      </c>
      <c r="B284" s="258">
        <v>30</v>
      </c>
      <c r="C284" t="s">
        <v>1272</v>
      </c>
    </row>
    <row r="286" ht="12.75">
      <c r="A286" s="180" t="s">
        <v>515</v>
      </c>
    </row>
    <row r="287" spans="1:6" ht="25.5">
      <c r="A287" s="203" t="s">
        <v>505</v>
      </c>
      <c r="B287" s="205">
        <f>B249</f>
        <v>0</v>
      </c>
      <c r="C287">
        <f>C249</f>
        <v>15</v>
      </c>
      <c r="D287">
        <f>D249</f>
        <v>30</v>
      </c>
      <c r="E287">
        <f>E249</f>
        <v>45</v>
      </c>
      <c r="F287">
        <f>F249</f>
        <v>60</v>
      </c>
    </row>
    <row r="288" spans="1:6" ht="25.5">
      <c r="A288" s="204" t="s">
        <v>516</v>
      </c>
      <c r="B288" s="209">
        <v>0.012</v>
      </c>
      <c r="C288" s="95">
        <v>0.02</v>
      </c>
      <c r="D288" s="95">
        <v>0.045</v>
      </c>
      <c r="E288" s="95">
        <v>0.07</v>
      </c>
      <c r="F288" s="95">
        <v>0.12</v>
      </c>
    </row>
    <row r="289" spans="1:6" ht="12.75">
      <c r="A289" s="204"/>
      <c r="B289" s="209"/>
      <c r="C289" s="95"/>
      <c r="D289" s="95"/>
      <c r="E289" s="95"/>
      <c r="F289" s="95"/>
    </row>
    <row r="290" spans="1:6" ht="12.75">
      <c r="A290" s="203" t="s">
        <v>512</v>
      </c>
      <c r="B290" s="207">
        <f>B253</f>
        <v>1000</v>
      </c>
      <c r="C290" s="23">
        <f>C253</f>
        <v>1040</v>
      </c>
      <c r="D290" s="23">
        <f>D253</f>
        <v>1060</v>
      </c>
      <c r="E290" s="23">
        <f>E253</f>
        <v>1070</v>
      </c>
      <c r="F290" s="23">
        <f>F253</f>
        <v>1075</v>
      </c>
    </row>
    <row r="291" spans="1:6" ht="25.5">
      <c r="A291" s="204" t="s">
        <v>523</v>
      </c>
      <c r="B291" s="207">
        <f>B290/$B243</f>
        <v>250</v>
      </c>
      <c r="C291" s="23">
        <f>C290/$B243</f>
        <v>260</v>
      </c>
      <c r="D291" s="23">
        <f>D290/$B243</f>
        <v>265</v>
      </c>
      <c r="E291" s="23">
        <f>E290/$B243</f>
        <v>267.5</v>
      </c>
      <c r="F291" s="23">
        <f>F290/$B243</f>
        <v>268.75</v>
      </c>
    </row>
    <row r="292" spans="1:6" ht="12.75">
      <c r="A292" s="204" t="s">
        <v>522</v>
      </c>
      <c r="B292" s="207">
        <f>(($B244-$B245)*B291+$B245*$B291)/(1-B288)</f>
        <v>809.7165991902834</v>
      </c>
      <c r="C292" s="23">
        <f>(($B244-$B245)*C291+$B245*$B291)/(1-C288)</f>
        <v>838.7755102040817</v>
      </c>
      <c r="D292" s="23">
        <f>(($B244-$B245)*D291+$B245*$B291)/(1-D288)</f>
        <v>872.2513089005236</v>
      </c>
      <c r="E292" s="23">
        <f>(($B244-$B245)*E291+$B245*$B291)/(1-E288)</f>
        <v>901.6129032258065</v>
      </c>
      <c r="F292" s="23">
        <f>(($B244-$B245)*F291+$B245*$B291)/(1-F288)</f>
        <v>955.9659090909091</v>
      </c>
    </row>
    <row r="293" spans="1:6" ht="12.75">
      <c r="A293" s="204" t="s">
        <v>524</v>
      </c>
      <c r="B293" s="207">
        <f>B290-B292</f>
        <v>190.28340080971657</v>
      </c>
      <c r="C293" s="23">
        <f>C290-C292</f>
        <v>201.22448979591832</v>
      </c>
      <c r="D293" s="23">
        <f>D290-D292</f>
        <v>187.74869109947645</v>
      </c>
      <c r="E293" s="23">
        <f>E290-E292</f>
        <v>168.38709677419354</v>
      </c>
      <c r="F293" s="23">
        <f>F290-F292</f>
        <v>119.03409090909088</v>
      </c>
    </row>
    <row r="294" spans="1:6" ht="12.75">
      <c r="A294" t="s">
        <v>525</v>
      </c>
      <c r="B294" s="207">
        <f>B293-$B293</f>
        <v>0</v>
      </c>
      <c r="C294" s="23">
        <f>C293-$B293</f>
        <v>10.941088986201748</v>
      </c>
      <c r="D294" s="23">
        <f>D293-$B293</f>
        <v>-2.534709710240122</v>
      </c>
      <c r="E294" s="23">
        <f>E293-$B293</f>
        <v>-21.89630403552303</v>
      </c>
      <c r="F294" s="23">
        <f>F293-$B293</f>
        <v>-71.24930990062569</v>
      </c>
    </row>
    <row r="295" spans="1:6" ht="12.75">
      <c r="A295" s="203"/>
      <c r="B295" s="23"/>
      <c r="C295" s="23"/>
      <c r="D295" s="23"/>
      <c r="E295" s="23"/>
      <c r="F295" s="23"/>
    </row>
    <row r="296" spans="1:6" ht="12.75">
      <c r="A296" t="s">
        <v>529</v>
      </c>
      <c r="B296" s="23"/>
      <c r="C296" s="23"/>
      <c r="D296" s="23"/>
      <c r="E296" s="23"/>
      <c r="F296" s="23"/>
    </row>
    <row r="297" spans="1:6" ht="12.75">
      <c r="A297" s="204" t="s">
        <v>522</v>
      </c>
      <c r="B297" s="207">
        <f>-B292+$B292</f>
        <v>0</v>
      </c>
      <c r="C297" s="23">
        <f>-C292+$B292</f>
        <v>-29.05891101379825</v>
      </c>
      <c r="D297" s="23">
        <f>-D292+$B292</f>
        <v>-62.53470971024012</v>
      </c>
      <c r="E297" s="23">
        <f>-E292+$B292</f>
        <v>-91.89630403552303</v>
      </c>
      <c r="F297" s="23">
        <f>-F292+$B292</f>
        <v>-146.2493099006257</v>
      </c>
    </row>
    <row r="298" spans="1:6" ht="25.5">
      <c r="A298" s="204" t="s">
        <v>521</v>
      </c>
      <c r="B298" s="207">
        <f>B290*POWER(1+$B287,-B289/360)-$B290</f>
        <v>0</v>
      </c>
      <c r="C298" s="23">
        <f>C290*POWER(1+$B247,-C287/360)-$B290</f>
        <v>32.12933273024328</v>
      </c>
      <c r="D298" s="23">
        <f>D290*POWER(1+$B247,-D287/360)-$B290</f>
        <v>44.01665777654216</v>
      </c>
      <c r="E298" s="23">
        <f>E290*POWER(1+$B247,-E287/360)-$B290</f>
        <v>45.89026804669106</v>
      </c>
      <c r="F298" s="23">
        <f>F290*POWER(1+$B247,-F287/360)-$B290</f>
        <v>42.82537410423561</v>
      </c>
    </row>
    <row r="300" spans="1:6" ht="12.75">
      <c r="A300" s="204" t="s">
        <v>93</v>
      </c>
      <c r="B300" s="6">
        <f>SUM(B297:B298)</f>
        <v>0</v>
      </c>
      <c r="C300" s="6">
        <f>SUM(C297:C298)</f>
        <v>3.0704217164450256</v>
      </c>
      <c r="D300" s="6">
        <f>SUM(D297:D298)</f>
        <v>-18.51805193369796</v>
      </c>
      <c r="E300" s="6">
        <f>SUM(E297:E298)</f>
        <v>-46.00603598883197</v>
      </c>
      <c r="F300" s="6">
        <f>SUM(F297:F298)</f>
        <v>-103.42393579639008</v>
      </c>
    </row>
    <row r="301" spans="1:6" ht="12.75">
      <c r="A301" s="204"/>
      <c r="B301" s="6"/>
      <c r="C301" s="6"/>
      <c r="D301" s="6"/>
      <c r="E301" s="6"/>
      <c r="F301" s="6"/>
    </row>
    <row r="319" spans="1:3" ht="25.5">
      <c r="A319" s="208" t="s">
        <v>514</v>
      </c>
      <c r="B319" s="166">
        <v>15</v>
      </c>
      <c r="C319" t="s">
        <v>1272</v>
      </c>
    </row>
    <row r="322" ht="12.75">
      <c r="A322" s="1" t="s">
        <v>67</v>
      </c>
    </row>
    <row r="323" ht="12.75">
      <c r="B323" t="s">
        <v>1534</v>
      </c>
    </row>
    <row r="324" spans="1:2" ht="12.75">
      <c r="A324" t="s">
        <v>1532</v>
      </c>
      <c r="B324">
        <v>541</v>
      </c>
    </row>
    <row r="325" spans="1:2" ht="12.75">
      <c r="A325" t="s">
        <v>1533</v>
      </c>
      <c r="B325">
        <v>555</v>
      </c>
    </row>
    <row r="328" ht="12.75">
      <c r="A328" t="s">
        <v>1535</v>
      </c>
    </row>
    <row r="329" spans="1:3" ht="12.75">
      <c r="A329" t="s">
        <v>650</v>
      </c>
      <c r="B329">
        <v>77</v>
      </c>
      <c r="C329" s="47"/>
    </row>
    <row r="330" spans="1:3" ht="12.75">
      <c r="A330" s="366" t="s">
        <v>1537</v>
      </c>
      <c r="B330">
        <v>17</v>
      </c>
      <c r="C330" s="47"/>
    </row>
    <row r="331" spans="1:2" ht="12.75">
      <c r="A331" s="366" t="s">
        <v>1538</v>
      </c>
      <c r="B331">
        <v>240</v>
      </c>
    </row>
    <row r="333" ht="12.75">
      <c r="A333" t="s">
        <v>1194</v>
      </c>
    </row>
    <row r="334" spans="1:3" ht="12.75">
      <c r="A334" t="s">
        <v>1536</v>
      </c>
      <c r="B334" s="258">
        <f>((B331*B330+B325*(B329-B330))/B329)*B329/100</f>
        <v>373.8</v>
      </c>
      <c r="C334" t="s">
        <v>1540</v>
      </c>
    </row>
    <row r="336" ht="12.75">
      <c r="A336" t="s">
        <v>1195</v>
      </c>
    </row>
    <row r="337" spans="1:3" ht="12.75">
      <c r="A337" t="s">
        <v>1539</v>
      </c>
      <c r="B337" s="120">
        <f>B324*B329/100</f>
        <v>416.57</v>
      </c>
      <c r="C337" t="s">
        <v>1540</v>
      </c>
    </row>
    <row r="338" ht="12.75">
      <c r="B338" s="120"/>
    </row>
    <row r="339" spans="1:3" ht="12.75">
      <c r="A339" t="s">
        <v>1541</v>
      </c>
      <c r="B339" s="120">
        <f>B325*B329/100</f>
        <v>427.35</v>
      </c>
      <c r="C339" t="s">
        <v>1540</v>
      </c>
    </row>
    <row r="341" ht="12.75">
      <c r="A341" t="s">
        <v>1405</v>
      </c>
    </row>
    <row r="342" ht="12.75">
      <c r="A342" t="s">
        <v>1542</v>
      </c>
    </row>
  </sheetData>
  <printOptions/>
  <pageMargins left="0.7874015748031497" right="0.7874015748031497" top="0.984251968503937" bottom="0.984251968503937" header="0.5118110236220472" footer="0.5118110236220472"/>
  <pageSetup fitToHeight="10" fitToWidth="1" horizontalDpi="200" verticalDpi="200" orientation="landscape" paperSize="9" scale="90" r:id="rId2"/>
  <headerFooter alignWithMargins="0">
    <oddFooter>&amp;L&amp;"Verdana,Italique"&amp;9&amp;F - &amp;A&amp;C&amp;P / &amp;N&amp;R&amp;"Verdana,Italique"&amp;9&amp;D - &amp;T</oddFooter>
  </headerFooter>
  <drawing r:id="rId1"/>
</worksheet>
</file>

<file path=xl/worksheets/sheet34.xml><?xml version="1.0" encoding="utf-8"?>
<worksheet xmlns="http://schemas.openxmlformats.org/spreadsheetml/2006/main" xmlns:r="http://schemas.openxmlformats.org/officeDocument/2006/relationships">
  <sheetPr codeName="Feuil33">
    <pageSetUpPr fitToPage="1"/>
  </sheetPr>
  <dimension ref="A1:IV94"/>
  <sheetViews>
    <sheetView showGridLines="0" zoomScale="75" zoomScaleNormal="75" workbookViewId="0" topLeftCell="A1">
      <selection activeCell="A1" sqref="A1"/>
    </sheetView>
  </sheetViews>
  <sheetFormatPr defaultColWidth="11.00390625" defaultRowHeight="12.75"/>
  <cols>
    <col min="1" max="1" width="15.625" style="0" customWidth="1"/>
  </cols>
  <sheetData>
    <row r="1" ht="14.25">
      <c r="A1" s="20" t="s">
        <v>968</v>
      </c>
    </row>
    <row r="2" spans="1:2" ht="25.5">
      <c r="A2" s="203" t="s">
        <v>530</v>
      </c>
      <c r="B2">
        <v>30.2</v>
      </c>
    </row>
    <row r="3" spans="1:2" ht="12.75">
      <c r="A3" t="s">
        <v>531</v>
      </c>
      <c r="B3">
        <v>5</v>
      </c>
    </row>
    <row r="4" spans="1:2" ht="12.75">
      <c r="A4" t="s">
        <v>532</v>
      </c>
      <c r="B4">
        <v>6</v>
      </c>
    </row>
    <row r="6" spans="1:256" ht="12.75">
      <c r="A6" s="180" t="s">
        <v>513</v>
      </c>
      <c r="J6" s="266" t="s">
        <v>28</v>
      </c>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c r="DF6" s="266"/>
      <c r="DG6" s="266"/>
      <c r="DH6" s="266"/>
      <c r="DI6" s="266"/>
      <c r="DJ6" s="266"/>
      <c r="DK6" s="266"/>
      <c r="DL6" s="266"/>
      <c r="DM6" s="266"/>
      <c r="DN6" s="266"/>
      <c r="DO6" s="266"/>
      <c r="DP6" s="266"/>
      <c r="DQ6" s="266"/>
      <c r="DR6" s="266"/>
      <c r="DS6" s="26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row>
    <row r="7" spans="1:256" s="266" customFormat="1" ht="12.75">
      <c r="A7" t="s">
        <v>465</v>
      </c>
      <c r="B7" s="266">
        <v>0</v>
      </c>
      <c r="C7" s="266">
        <v>1</v>
      </c>
      <c r="D7" s="266">
        <v>2</v>
      </c>
      <c r="E7" s="266">
        <v>3</v>
      </c>
      <c r="F7" s="266">
        <v>4</v>
      </c>
      <c r="G7" s="266">
        <v>5</v>
      </c>
      <c r="H7" s="266">
        <v>6</v>
      </c>
      <c r="I7" s="266">
        <f>H7+1</f>
        <v>7</v>
      </c>
      <c r="J7" s="266">
        <f aca="true" t="shared" si="0" ref="J7:BU7">I7+1</f>
        <v>8</v>
      </c>
      <c r="K7" s="266">
        <f t="shared" si="0"/>
        <v>9</v>
      </c>
      <c r="L7" s="266">
        <f t="shared" si="0"/>
        <v>10</v>
      </c>
      <c r="M7" s="266">
        <f t="shared" si="0"/>
        <v>11</v>
      </c>
      <c r="N7" s="266">
        <f t="shared" si="0"/>
        <v>12</v>
      </c>
      <c r="O7" s="266">
        <f t="shared" si="0"/>
        <v>13</v>
      </c>
      <c r="P7" s="266">
        <f t="shared" si="0"/>
        <v>14</v>
      </c>
      <c r="Q7" s="266">
        <f t="shared" si="0"/>
        <v>15</v>
      </c>
      <c r="R7" s="266">
        <f t="shared" si="0"/>
        <v>16</v>
      </c>
      <c r="S7" s="266">
        <f t="shared" si="0"/>
        <v>17</v>
      </c>
      <c r="T7" s="266">
        <f t="shared" si="0"/>
        <v>18</v>
      </c>
      <c r="U7" s="266">
        <f t="shared" si="0"/>
        <v>19</v>
      </c>
      <c r="V7" s="266">
        <f t="shared" si="0"/>
        <v>20</v>
      </c>
      <c r="W7" s="266">
        <f t="shared" si="0"/>
        <v>21</v>
      </c>
      <c r="X7" s="266">
        <f t="shared" si="0"/>
        <v>22</v>
      </c>
      <c r="Y7" s="266">
        <f t="shared" si="0"/>
        <v>23</v>
      </c>
      <c r="Z7" s="266">
        <f t="shared" si="0"/>
        <v>24</v>
      </c>
      <c r="AA7" s="266">
        <f t="shared" si="0"/>
        <v>25</v>
      </c>
      <c r="AB7" s="266">
        <f t="shared" si="0"/>
        <v>26</v>
      </c>
      <c r="AC7" s="266">
        <f t="shared" si="0"/>
        <v>27</v>
      </c>
      <c r="AD7" s="266">
        <f t="shared" si="0"/>
        <v>28</v>
      </c>
      <c r="AE7" s="266">
        <f t="shared" si="0"/>
        <v>29</v>
      </c>
      <c r="AF7" s="266">
        <f t="shared" si="0"/>
        <v>30</v>
      </c>
      <c r="AG7" s="266">
        <f t="shared" si="0"/>
        <v>31</v>
      </c>
      <c r="AH7" s="266">
        <f t="shared" si="0"/>
        <v>32</v>
      </c>
      <c r="AI7" s="266">
        <f t="shared" si="0"/>
        <v>33</v>
      </c>
      <c r="AJ7" s="266">
        <f t="shared" si="0"/>
        <v>34</v>
      </c>
      <c r="AK7" s="266">
        <f t="shared" si="0"/>
        <v>35</v>
      </c>
      <c r="AL7" s="266">
        <f t="shared" si="0"/>
        <v>36</v>
      </c>
      <c r="AM7" s="266">
        <f t="shared" si="0"/>
        <v>37</v>
      </c>
      <c r="AN7" s="266">
        <f t="shared" si="0"/>
        <v>38</v>
      </c>
      <c r="AO7" s="266">
        <f t="shared" si="0"/>
        <v>39</v>
      </c>
      <c r="AP7" s="266">
        <f t="shared" si="0"/>
        <v>40</v>
      </c>
      <c r="AQ7" s="266">
        <f t="shared" si="0"/>
        <v>41</v>
      </c>
      <c r="AR7" s="266">
        <f t="shared" si="0"/>
        <v>42</v>
      </c>
      <c r="AS7" s="266">
        <f t="shared" si="0"/>
        <v>43</v>
      </c>
      <c r="AT7" s="266">
        <f t="shared" si="0"/>
        <v>44</v>
      </c>
      <c r="AU7" s="266">
        <f t="shared" si="0"/>
        <v>45</v>
      </c>
      <c r="AV7" s="266">
        <f t="shared" si="0"/>
        <v>46</v>
      </c>
      <c r="AW7" s="266">
        <f t="shared" si="0"/>
        <v>47</v>
      </c>
      <c r="AX7" s="266">
        <f t="shared" si="0"/>
        <v>48</v>
      </c>
      <c r="AY7" s="266">
        <f t="shared" si="0"/>
        <v>49</v>
      </c>
      <c r="AZ7" s="266">
        <f t="shared" si="0"/>
        <v>50</v>
      </c>
      <c r="BA7" s="266">
        <f t="shared" si="0"/>
        <v>51</v>
      </c>
      <c r="BB7" s="266">
        <f t="shared" si="0"/>
        <v>52</v>
      </c>
      <c r="BC7" s="266">
        <f t="shared" si="0"/>
        <v>53</v>
      </c>
      <c r="BD7" s="266">
        <f t="shared" si="0"/>
        <v>54</v>
      </c>
      <c r="BE7" s="266">
        <f t="shared" si="0"/>
        <v>55</v>
      </c>
      <c r="BF7" s="266">
        <f t="shared" si="0"/>
        <v>56</v>
      </c>
      <c r="BG7" s="266">
        <f t="shared" si="0"/>
        <v>57</v>
      </c>
      <c r="BH7" s="266">
        <f t="shared" si="0"/>
        <v>58</v>
      </c>
      <c r="BI7" s="266">
        <f t="shared" si="0"/>
        <v>59</v>
      </c>
      <c r="BJ7" s="266">
        <f t="shared" si="0"/>
        <v>60</v>
      </c>
      <c r="BK7" s="266">
        <f t="shared" si="0"/>
        <v>61</v>
      </c>
      <c r="BL7" s="266">
        <f t="shared" si="0"/>
        <v>62</v>
      </c>
      <c r="BM7" s="266">
        <f t="shared" si="0"/>
        <v>63</v>
      </c>
      <c r="BN7" s="266">
        <f t="shared" si="0"/>
        <v>64</v>
      </c>
      <c r="BO7" s="266">
        <f t="shared" si="0"/>
        <v>65</v>
      </c>
      <c r="BP7" s="266">
        <f t="shared" si="0"/>
        <v>66</v>
      </c>
      <c r="BQ7" s="266">
        <f t="shared" si="0"/>
        <v>67</v>
      </c>
      <c r="BR7" s="266">
        <f t="shared" si="0"/>
        <v>68</v>
      </c>
      <c r="BS7" s="266">
        <f t="shared" si="0"/>
        <v>69</v>
      </c>
      <c r="BT7" s="266">
        <f t="shared" si="0"/>
        <v>70</v>
      </c>
      <c r="BU7" s="266">
        <f t="shared" si="0"/>
        <v>71</v>
      </c>
      <c r="BV7" s="266">
        <f aca="true" t="shared" si="1" ref="BV7:EG7">BU7+1</f>
        <v>72</v>
      </c>
      <c r="BW7" s="266">
        <f t="shared" si="1"/>
        <v>73</v>
      </c>
      <c r="BX7" s="266">
        <f t="shared" si="1"/>
        <v>74</v>
      </c>
      <c r="BY7" s="266">
        <f t="shared" si="1"/>
        <v>75</v>
      </c>
      <c r="BZ7" s="266">
        <f t="shared" si="1"/>
        <v>76</v>
      </c>
      <c r="CA7" s="266">
        <f t="shared" si="1"/>
        <v>77</v>
      </c>
      <c r="CB7" s="266">
        <f t="shared" si="1"/>
        <v>78</v>
      </c>
      <c r="CC7" s="266">
        <f t="shared" si="1"/>
        <v>79</v>
      </c>
      <c r="CD7" s="266">
        <f t="shared" si="1"/>
        <v>80</v>
      </c>
      <c r="CE7" s="266">
        <f t="shared" si="1"/>
        <v>81</v>
      </c>
      <c r="CF7" s="266">
        <f t="shared" si="1"/>
        <v>82</v>
      </c>
      <c r="CG7" s="266">
        <f t="shared" si="1"/>
        <v>83</v>
      </c>
      <c r="CH7" s="266">
        <f t="shared" si="1"/>
        <v>84</v>
      </c>
      <c r="CI7" s="266">
        <f t="shared" si="1"/>
        <v>85</v>
      </c>
      <c r="CJ7" s="266">
        <f t="shared" si="1"/>
        <v>86</v>
      </c>
      <c r="CK7" s="266">
        <f t="shared" si="1"/>
        <v>87</v>
      </c>
      <c r="CL7" s="266">
        <f t="shared" si="1"/>
        <v>88</v>
      </c>
      <c r="CM7" s="266">
        <f t="shared" si="1"/>
        <v>89</v>
      </c>
      <c r="CN7" s="266">
        <f t="shared" si="1"/>
        <v>90</v>
      </c>
      <c r="CO7" s="266">
        <f t="shared" si="1"/>
        <v>91</v>
      </c>
      <c r="CP7" s="266">
        <f t="shared" si="1"/>
        <v>92</v>
      </c>
      <c r="CQ7" s="266">
        <f t="shared" si="1"/>
        <v>93</v>
      </c>
      <c r="CR7" s="266">
        <f t="shared" si="1"/>
        <v>94</v>
      </c>
      <c r="CS7" s="266">
        <f t="shared" si="1"/>
        <v>95</v>
      </c>
      <c r="CT7" s="266">
        <f t="shared" si="1"/>
        <v>96</v>
      </c>
      <c r="CU7" s="266">
        <f t="shared" si="1"/>
        <v>97</v>
      </c>
      <c r="CV7" s="266">
        <f t="shared" si="1"/>
        <v>98</v>
      </c>
      <c r="CW7" s="266">
        <f t="shared" si="1"/>
        <v>99</v>
      </c>
      <c r="CX7" s="266">
        <f t="shared" si="1"/>
        <v>100</v>
      </c>
      <c r="CY7" s="266">
        <f t="shared" si="1"/>
        <v>101</v>
      </c>
      <c r="CZ7" s="266">
        <f t="shared" si="1"/>
        <v>102</v>
      </c>
      <c r="DA7" s="266">
        <f t="shared" si="1"/>
        <v>103</v>
      </c>
      <c r="DB7" s="266">
        <f t="shared" si="1"/>
        <v>104</v>
      </c>
      <c r="DC7" s="266">
        <f t="shared" si="1"/>
        <v>105</v>
      </c>
      <c r="DD7" s="266">
        <f t="shared" si="1"/>
        <v>106</v>
      </c>
      <c r="DE7" s="266">
        <f t="shared" si="1"/>
        <v>107</v>
      </c>
      <c r="DF7" s="266">
        <f t="shared" si="1"/>
        <v>108</v>
      </c>
      <c r="DG7" s="266">
        <f t="shared" si="1"/>
        <v>109</v>
      </c>
      <c r="DH7" s="266">
        <f t="shared" si="1"/>
        <v>110</v>
      </c>
      <c r="DI7" s="266">
        <f t="shared" si="1"/>
        <v>111</v>
      </c>
      <c r="DJ7" s="266">
        <f t="shared" si="1"/>
        <v>112</v>
      </c>
      <c r="DK7" s="266">
        <f t="shared" si="1"/>
        <v>113</v>
      </c>
      <c r="DL7" s="266">
        <f t="shared" si="1"/>
        <v>114</v>
      </c>
      <c r="DM7" s="266">
        <f t="shared" si="1"/>
        <v>115</v>
      </c>
      <c r="DN7" s="266">
        <f t="shared" si="1"/>
        <v>116</v>
      </c>
      <c r="DO7" s="266">
        <f t="shared" si="1"/>
        <v>117</v>
      </c>
      <c r="DP7" s="266">
        <f t="shared" si="1"/>
        <v>118</v>
      </c>
      <c r="DQ7" s="266">
        <f t="shared" si="1"/>
        <v>119</v>
      </c>
      <c r="DR7" s="266">
        <f t="shared" si="1"/>
        <v>120</v>
      </c>
      <c r="DS7" s="266">
        <f t="shared" si="1"/>
        <v>121</v>
      </c>
      <c r="DT7" s="266">
        <f t="shared" si="1"/>
        <v>122</v>
      </c>
      <c r="DU7" s="266">
        <f t="shared" si="1"/>
        <v>123</v>
      </c>
      <c r="DV7" s="266">
        <f t="shared" si="1"/>
        <v>124</v>
      </c>
      <c r="DW7" s="266">
        <f t="shared" si="1"/>
        <v>125</v>
      </c>
      <c r="DX7" s="266">
        <f t="shared" si="1"/>
        <v>126</v>
      </c>
      <c r="DY7" s="266">
        <f t="shared" si="1"/>
        <v>127</v>
      </c>
      <c r="DZ7" s="266">
        <f t="shared" si="1"/>
        <v>128</v>
      </c>
      <c r="EA7" s="266">
        <f t="shared" si="1"/>
        <v>129</v>
      </c>
      <c r="EB7" s="266">
        <f t="shared" si="1"/>
        <v>130</v>
      </c>
      <c r="EC7" s="266">
        <f t="shared" si="1"/>
        <v>131</v>
      </c>
      <c r="ED7" s="266">
        <f t="shared" si="1"/>
        <v>132</v>
      </c>
      <c r="EE7" s="266">
        <f t="shared" si="1"/>
        <v>133</v>
      </c>
      <c r="EF7" s="266">
        <f t="shared" si="1"/>
        <v>134</v>
      </c>
      <c r="EG7" s="266">
        <f t="shared" si="1"/>
        <v>135</v>
      </c>
      <c r="EH7" s="266">
        <f aca="true" t="shared" si="2" ref="EH7:GS7">EG7+1</f>
        <v>136</v>
      </c>
      <c r="EI7" s="266">
        <f t="shared" si="2"/>
        <v>137</v>
      </c>
      <c r="EJ7" s="266">
        <f t="shared" si="2"/>
        <v>138</v>
      </c>
      <c r="EK7" s="266">
        <f t="shared" si="2"/>
        <v>139</v>
      </c>
      <c r="EL7" s="266">
        <f t="shared" si="2"/>
        <v>140</v>
      </c>
      <c r="EM7" s="266">
        <f t="shared" si="2"/>
        <v>141</v>
      </c>
      <c r="EN7" s="266">
        <f t="shared" si="2"/>
        <v>142</v>
      </c>
      <c r="EO7" s="266">
        <f t="shared" si="2"/>
        <v>143</v>
      </c>
      <c r="EP7" s="266">
        <f t="shared" si="2"/>
        <v>144</v>
      </c>
      <c r="EQ7" s="266">
        <f t="shared" si="2"/>
        <v>145</v>
      </c>
      <c r="ER7" s="266">
        <f t="shared" si="2"/>
        <v>146</v>
      </c>
      <c r="ES7" s="266">
        <f t="shared" si="2"/>
        <v>147</v>
      </c>
      <c r="ET7" s="266">
        <f t="shared" si="2"/>
        <v>148</v>
      </c>
      <c r="EU7" s="266">
        <f t="shared" si="2"/>
        <v>149</v>
      </c>
      <c r="EV7" s="266">
        <f t="shared" si="2"/>
        <v>150</v>
      </c>
      <c r="EW7" s="266">
        <f t="shared" si="2"/>
        <v>151</v>
      </c>
      <c r="EX7" s="266">
        <f t="shared" si="2"/>
        <v>152</v>
      </c>
      <c r="EY7" s="266">
        <f t="shared" si="2"/>
        <v>153</v>
      </c>
      <c r="EZ7" s="266">
        <f t="shared" si="2"/>
        <v>154</v>
      </c>
      <c r="FA7" s="266">
        <f t="shared" si="2"/>
        <v>155</v>
      </c>
      <c r="FB7" s="266">
        <f t="shared" si="2"/>
        <v>156</v>
      </c>
      <c r="FC7" s="266">
        <f t="shared" si="2"/>
        <v>157</v>
      </c>
      <c r="FD7" s="266">
        <f t="shared" si="2"/>
        <v>158</v>
      </c>
      <c r="FE7" s="266">
        <f t="shared" si="2"/>
        <v>159</v>
      </c>
      <c r="FF7" s="266">
        <f t="shared" si="2"/>
        <v>160</v>
      </c>
      <c r="FG7" s="266">
        <f t="shared" si="2"/>
        <v>161</v>
      </c>
      <c r="FH7" s="266">
        <f t="shared" si="2"/>
        <v>162</v>
      </c>
      <c r="FI7" s="266">
        <f t="shared" si="2"/>
        <v>163</v>
      </c>
      <c r="FJ7" s="266">
        <f t="shared" si="2"/>
        <v>164</v>
      </c>
      <c r="FK7" s="266">
        <f t="shared" si="2"/>
        <v>165</v>
      </c>
      <c r="FL7" s="266">
        <f t="shared" si="2"/>
        <v>166</v>
      </c>
      <c r="FM7" s="266">
        <f t="shared" si="2"/>
        <v>167</v>
      </c>
      <c r="FN7" s="266">
        <f t="shared" si="2"/>
        <v>168</v>
      </c>
      <c r="FO7" s="266">
        <f t="shared" si="2"/>
        <v>169</v>
      </c>
      <c r="FP7" s="266">
        <f t="shared" si="2"/>
        <v>170</v>
      </c>
      <c r="FQ7" s="266">
        <f t="shared" si="2"/>
        <v>171</v>
      </c>
      <c r="FR7" s="266">
        <f t="shared" si="2"/>
        <v>172</v>
      </c>
      <c r="FS7" s="266">
        <f t="shared" si="2"/>
        <v>173</v>
      </c>
      <c r="FT7" s="266">
        <f t="shared" si="2"/>
        <v>174</v>
      </c>
      <c r="FU7" s="266">
        <f t="shared" si="2"/>
        <v>175</v>
      </c>
      <c r="FV7" s="266">
        <f t="shared" si="2"/>
        <v>176</v>
      </c>
      <c r="FW7" s="266">
        <f t="shared" si="2"/>
        <v>177</v>
      </c>
      <c r="FX7" s="266">
        <f t="shared" si="2"/>
        <v>178</v>
      </c>
      <c r="FY7" s="266">
        <f t="shared" si="2"/>
        <v>179</v>
      </c>
      <c r="FZ7" s="266">
        <f t="shared" si="2"/>
        <v>180</v>
      </c>
      <c r="GA7" s="266">
        <f t="shared" si="2"/>
        <v>181</v>
      </c>
      <c r="GB7" s="266">
        <f t="shared" si="2"/>
        <v>182</v>
      </c>
      <c r="GC7" s="266">
        <f t="shared" si="2"/>
        <v>183</v>
      </c>
      <c r="GD7" s="266">
        <f t="shared" si="2"/>
        <v>184</v>
      </c>
      <c r="GE7" s="266">
        <f t="shared" si="2"/>
        <v>185</v>
      </c>
      <c r="GF7" s="266">
        <f t="shared" si="2"/>
        <v>186</v>
      </c>
      <c r="GG7" s="266">
        <f t="shared" si="2"/>
        <v>187</v>
      </c>
      <c r="GH7" s="266">
        <f t="shared" si="2"/>
        <v>188</v>
      </c>
      <c r="GI7" s="266">
        <f t="shared" si="2"/>
        <v>189</v>
      </c>
      <c r="GJ7" s="266">
        <f t="shared" si="2"/>
        <v>190</v>
      </c>
      <c r="GK7" s="266">
        <f t="shared" si="2"/>
        <v>191</v>
      </c>
      <c r="GL7" s="266">
        <f t="shared" si="2"/>
        <v>192</v>
      </c>
      <c r="GM7" s="266">
        <f t="shared" si="2"/>
        <v>193</v>
      </c>
      <c r="GN7" s="266">
        <f t="shared" si="2"/>
        <v>194</v>
      </c>
      <c r="GO7" s="266">
        <f t="shared" si="2"/>
        <v>195</v>
      </c>
      <c r="GP7" s="266">
        <f t="shared" si="2"/>
        <v>196</v>
      </c>
      <c r="GQ7" s="266">
        <f t="shared" si="2"/>
        <v>197</v>
      </c>
      <c r="GR7" s="266">
        <f t="shared" si="2"/>
        <v>198</v>
      </c>
      <c r="GS7" s="266">
        <f t="shared" si="2"/>
        <v>199</v>
      </c>
      <c r="GT7" s="266">
        <f aca="true" t="shared" si="3" ref="GT7:IV7">GS7+1</f>
        <v>200</v>
      </c>
      <c r="GU7" s="266">
        <f t="shared" si="3"/>
        <v>201</v>
      </c>
      <c r="GV7" s="266">
        <f t="shared" si="3"/>
        <v>202</v>
      </c>
      <c r="GW7" s="266">
        <f t="shared" si="3"/>
        <v>203</v>
      </c>
      <c r="GX7" s="266">
        <f t="shared" si="3"/>
        <v>204</v>
      </c>
      <c r="GY7" s="266">
        <f t="shared" si="3"/>
        <v>205</v>
      </c>
      <c r="GZ7" s="266">
        <f t="shared" si="3"/>
        <v>206</v>
      </c>
      <c r="HA7" s="266">
        <f t="shared" si="3"/>
        <v>207</v>
      </c>
      <c r="HB7" s="266">
        <f t="shared" si="3"/>
        <v>208</v>
      </c>
      <c r="HC7" s="266">
        <f t="shared" si="3"/>
        <v>209</v>
      </c>
      <c r="HD7" s="266">
        <f t="shared" si="3"/>
        <v>210</v>
      </c>
      <c r="HE7" s="266">
        <f t="shared" si="3"/>
        <v>211</v>
      </c>
      <c r="HF7" s="266">
        <f t="shared" si="3"/>
        <v>212</v>
      </c>
      <c r="HG7" s="266">
        <f t="shared" si="3"/>
        <v>213</v>
      </c>
      <c r="HH7" s="266">
        <f t="shared" si="3"/>
        <v>214</v>
      </c>
      <c r="HI7" s="266">
        <f t="shared" si="3"/>
        <v>215</v>
      </c>
      <c r="HJ7" s="266">
        <f t="shared" si="3"/>
        <v>216</v>
      </c>
      <c r="HK7" s="266">
        <f t="shared" si="3"/>
        <v>217</v>
      </c>
      <c r="HL7" s="266">
        <f t="shared" si="3"/>
        <v>218</v>
      </c>
      <c r="HM7" s="266">
        <f t="shared" si="3"/>
        <v>219</v>
      </c>
      <c r="HN7" s="266">
        <f t="shared" si="3"/>
        <v>220</v>
      </c>
      <c r="HO7" s="266">
        <f t="shared" si="3"/>
        <v>221</v>
      </c>
      <c r="HP7" s="266">
        <f t="shared" si="3"/>
        <v>222</v>
      </c>
      <c r="HQ7" s="266">
        <f t="shared" si="3"/>
        <v>223</v>
      </c>
      <c r="HR7" s="266">
        <f t="shared" si="3"/>
        <v>224</v>
      </c>
      <c r="HS7" s="266">
        <f t="shared" si="3"/>
        <v>225</v>
      </c>
      <c r="HT7" s="266">
        <f t="shared" si="3"/>
        <v>226</v>
      </c>
      <c r="HU7" s="266">
        <f t="shared" si="3"/>
        <v>227</v>
      </c>
      <c r="HV7" s="266">
        <f t="shared" si="3"/>
        <v>228</v>
      </c>
      <c r="HW7" s="266">
        <f t="shared" si="3"/>
        <v>229</v>
      </c>
      <c r="HX7" s="266">
        <f t="shared" si="3"/>
        <v>230</v>
      </c>
      <c r="HY7" s="266">
        <f t="shared" si="3"/>
        <v>231</v>
      </c>
      <c r="HZ7" s="266">
        <f t="shared" si="3"/>
        <v>232</v>
      </c>
      <c r="IA7" s="266">
        <f t="shared" si="3"/>
        <v>233</v>
      </c>
      <c r="IB7" s="266">
        <f t="shared" si="3"/>
        <v>234</v>
      </c>
      <c r="IC7" s="266">
        <f t="shared" si="3"/>
        <v>235</v>
      </c>
      <c r="ID7" s="266">
        <f t="shared" si="3"/>
        <v>236</v>
      </c>
      <c r="IE7" s="266">
        <f t="shared" si="3"/>
        <v>237</v>
      </c>
      <c r="IF7" s="266">
        <f t="shared" si="3"/>
        <v>238</v>
      </c>
      <c r="IG7" s="266">
        <f t="shared" si="3"/>
        <v>239</v>
      </c>
      <c r="IH7" s="266">
        <f t="shared" si="3"/>
        <v>240</v>
      </c>
      <c r="II7" s="266">
        <f t="shared" si="3"/>
        <v>241</v>
      </c>
      <c r="IJ7" s="266">
        <f t="shared" si="3"/>
        <v>242</v>
      </c>
      <c r="IK7" s="266">
        <f t="shared" si="3"/>
        <v>243</v>
      </c>
      <c r="IL7" s="266">
        <f t="shared" si="3"/>
        <v>244</v>
      </c>
      <c r="IM7" s="266">
        <f t="shared" si="3"/>
        <v>245</v>
      </c>
      <c r="IN7" s="266">
        <f t="shared" si="3"/>
        <v>246</v>
      </c>
      <c r="IO7" s="266">
        <f t="shared" si="3"/>
        <v>247</v>
      </c>
      <c r="IP7" s="266">
        <f t="shared" si="3"/>
        <v>248</v>
      </c>
      <c r="IQ7" s="266">
        <f t="shared" si="3"/>
        <v>249</v>
      </c>
      <c r="IR7" s="266">
        <f t="shared" si="3"/>
        <v>250</v>
      </c>
      <c r="IS7" s="266">
        <f t="shared" si="3"/>
        <v>251</v>
      </c>
      <c r="IT7" s="266">
        <f t="shared" si="3"/>
        <v>252</v>
      </c>
      <c r="IU7" s="266">
        <f t="shared" si="3"/>
        <v>253</v>
      </c>
      <c r="IV7" s="266">
        <f t="shared" si="3"/>
        <v>254</v>
      </c>
    </row>
    <row r="8" spans="1:256" s="266" customFormat="1" ht="12.75">
      <c r="A8" t="s">
        <v>237</v>
      </c>
      <c r="B8" s="266">
        <v>-30.2</v>
      </c>
      <c r="C8" s="266">
        <v>5</v>
      </c>
      <c r="D8" s="266">
        <v>5</v>
      </c>
      <c r="E8" s="266">
        <v>5</v>
      </c>
      <c r="F8" s="266">
        <v>5</v>
      </c>
      <c r="G8" s="266">
        <v>5</v>
      </c>
      <c r="H8" s="266">
        <v>6</v>
      </c>
      <c r="I8" s="266">
        <v>6</v>
      </c>
      <c r="J8" s="266">
        <v>6</v>
      </c>
      <c r="K8" s="266">
        <v>6</v>
      </c>
      <c r="L8" s="266">
        <v>6</v>
      </c>
      <c r="M8" s="266">
        <v>6</v>
      </c>
      <c r="N8" s="266">
        <v>6</v>
      </c>
      <c r="O8" s="266">
        <v>6</v>
      </c>
      <c r="P8" s="266">
        <v>6</v>
      </c>
      <c r="Q8" s="266">
        <v>6</v>
      </c>
      <c r="R8" s="266">
        <v>6</v>
      </c>
      <c r="S8" s="266">
        <v>6</v>
      </c>
      <c r="T8" s="266">
        <v>6</v>
      </c>
      <c r="U8" s="266">
        <v>6</v>
      </c>
      <c r="V8" s="266">
        <v>6</v>
      </c>
      <c r="W8" s="266">
        <v>6</v>
      </c>
      <c r="X8" s="266">
        <v>6</v>
      </c>
      <c r="Y8" s="266">
        <v>6</v>
      </c>
      <c r="Z8" s="266">
        <v>6</v>
      </c>
      <c r="AA8" s="266">
        <v>6</v>
      </c>
      <c r="AB8" s="266">
        <v>6</v>
      </c>
      <c r="AC8" s="266">
        <v>6</v>
      </c>
      <c r="AD8" s="266">
        <v>6</v>
      </c>
      <c r="AE8" s="266">
        <v>6</v>
      </c>
      <c r="AF8" s="266">
        <v>6</v>
      </c>
      <c r="AG8" s="266">
        <v>6</v>
      </c>
      <c r="AH8" s="266">
        <v>6</v>
      </c>
      <c r="AI8" s="266">
        <v>6</v>
      </c>
      <c r="AJ8" s="266">
        <v>6</v>
      </c>
      <c r="AK8" s="266">
        <v>6</v>
      </c>
      <c r="AL8" s="266">
        <v>6</v>
      </c>
      <c r="AM8" s="266">
        <v>6</v>
      </c>
      <c r="AN8" s="266">
        <v>6</v>
      </c>
      <c r="AO8" s="266">
        <v>6</v>
      </c>
      <c r="AP8" s="266">
        <v>6</v>
      </c>
      <c r="AQ8" s="266">
        <v>6</v>
      </c>
      <c r="AR8" s="266">
        <v>6</v>
      </c>
      <c r="AS8" s="266">
        <v>6</v>
      </c>
      <c r="AT8" s="266">
        <v>6</v>
      </c>
      <c r="AU8" s="266">
        <v>6</v>
      </c>
      <c r="AV8" s="266">
        <v>6</v>
      </c>
      <c r="AW8" s="266">
        <v>6</v>
      </c>
      <c r="AX8" s="266">
        <v>6</v>
      </c>
      <c r="AY8" s="266">
        <v>6</v>
      </c>
      <c r="AZ8" s="266">
        <v>6</v>
      </c>
      <c r="BA8" s="266">
        <v>6</v>
      </c>
      <c r="BB8" s="266">
        <v>6</v>
      </c>
      <c r="BC8" s="266">
        <v>6</v>
      </c>
      <c r="BD8" s="266">
        <v>6</v>
      </c>
      <c r="BE8" s="266">
        <v>6</v>
      </c>
      <c r="BF8" s="266">
        <v>6</v>
      </c>
      <c r="BG8" s="266">
        <v>6</v>
      </c>
      <c r="BH8" s="266">
        <v>6</v>
      </c>
      <c r="BI8" s="266">
        <v>6</v>
      </c>
      <c r="BJ8" s="266">
        <v>6</v>
      </c>
      <c r="BK8" s="266">
        <v>6</v>
      </c>
      <c r="BL8" s="266">
        <v>6</v>
      </c>
      <c r="BM8" s="266">
        <v>6</v>
      </c>
      <c r="BN8" s="266">
        <v>6</v>
      </c>
      <c r="BO8" s="266">
        <v>6</v>
      </c>
      <c r="BP8" s="266">
        <v>6</v>
      </c>
      <c r="BQ8" s="266">
        <v>6</v>
      </c>
      <c r="BR8" s="266">
        <v>6</v>
      </c>
      <c r="BS8" s="266">
        <v>6</v>
      </c>
      <c r="BT8" s="266">
        <v>6</v>
      </c>
      <c r="BU8" s="266">
        <v>6</v>
      </c>
      <c r="BV8" s="266">
        <v>6</v>
      </c>
      <c r="BW8" s="266">
        <v>6</v>
      </c>
      <c r="BX8" s="266">
        <v>6</v>
      </c>
      <c r="BY8" s="266">
        <v>6</v>
      </c>
      <c r="BZ8" s="266">
        <v>6</v>
      </c>
      <c r="CA8" s="266">
        <v>6</v>
      </c>
      <c r="CB8" s="266">
        <v>6</v>
      </c>
      <c r="CC8" s="266">
        <v>6</v>
      </c>
      <c r="CD8" s="266">
        <v>6</v>
      </c>
      <c r="CE8" s="266">
        <v>6</v>
      </c>
      <c r="CF8" s="266">
        <v>6</v>
      </c>
      <c r="CG8" s="266">
        <v>6</v>
      </c>
      <c r="CH8" s="266">
        <v>6</v>
      </c>
      <c r="CI8" s="266">
        <v>6</v>
      </c>
      <c r="CJ8" s="266">
        <v>6</v>
      </c>
      <c r="CK8" s="266">
        <v>6</v>
      </c>
      <c r="CL8" s="266">
        <v>6</v>
      </c>
      <c r="CM8" s="266">
        <v>6</v>
      </c>
      <c r="CN8" s="266">
        <v>6</v>
      </c>
      <c r="CO8" s="266">
        <v>6</v>
      </c>
      <c r="CP8" s="266">
        <v>6</v>
      </c>
      <c r="CQ8" s="266">
        <v>6</v>
      </c>
      <c r="CR8" s="266">
        <v>6</v>
      </c>
      <c r="CS8" s="266">
        <v>6</v>
      </c>
      <c r="CT8" s="266">
        <v>6</v>
      </c>
      <c r="CU8" s="266">
        <v>6</v>
      </c>
      <c r="CV8" s="266">
        <v>6</v>
      </c>
      <c r="CW8" s="266">
        <v>6</v>
      </c>
      <c r="CX8" s="266">
        <v>6</v>
      </c>
      <c r="CY8" s="266">
        <v>6</v>
      </c>
      <c r="CZ8" s="266">
        <v>6</v>
      </c>
      <c r="DA8" s="266">
        <v>6</v>
      </c>
      <c r="DB8" s="266">
        <v>6</v>
      </c>
      <c r="DC8" s="266">
        <v>6</v>
      </c>
      <c r="DD8" s="266">
        <v>6</v>
      </c>
      <c r="DE8" s="266">
        <v>6</v>
      </c>
      <c r="DF8" s="266">
        <v>6</v>
      </c>
      <c r="DG8" s="266">
        <v>6</v>
      </c>
      <c r="DH8" s="266">
        <v>6</v>
      </c>
      <c r="DI8" s="266">
        <v>6</v>
      </c>
      <c r="DJ8" s="266">
        <v>6</v>
      </c>
      <c r="DK8" s="266">
        <v>6</v>
      </c>
      <c r="DL8" s="266">
        <v>6</v>
      </c>
      <c r="DM8" s="266">
        <v>6</v>
      </c>
      <c r="DN8" s="266">
        <v>6</v>
      </c>
      <c r="DO8" s="266">
        <v>6</v>
      </c>
      <c r="DP8" s="266">
        <v>6</v>
      </c>
      <c r="DQ8" s="266">
        <v>6</v>
      </c>
      <c r="DR8" s="266">
        <v>6</v>
      </c>
      <c r="DS8" s="266">
        <v>6</v>
      </c>
      <c r="DT8" s="266">
        <v>6</v>
      </c>
      <c r="DU8" s="266">
        <v>6</v>
      </c>
      <c r="DV8" s="266">
        <v>6</v>
      </c>
      <c r="DW8" s="266">
        <v>6</v>
      </c>
      <c r="DX8" s="266">
        <v>6</v>
      </c>
      <c r="DY8" s="266">
        <v>6</v>
      </c>
      <c r="DZ8" s="266">
        <v>6</v>
      </c>
      <c r="EA8" s="266">
        <v>6</v>
      </c>
      <c r="EB8" s="266">
        <v>6</v>
      </c>
      <c r="EC8" s="266">
        <v>6</v>
      </c>
      <c r="ED8" s="266">
        <v>6</v>
      </c>
      <c r="EE8" s="266">
        <v>6</v>
      </c>
      <c r="EF8" s="266">
        <v>6</v>
      </c>
      <c r="EG8" s="266">
        <v>6</v>
      </c>
      <c r="EH8" s="266">
        <v>6</v>
      </c>
      <c r="EI8" s="266">
        <v>6</v>
      </c>
      <c r="EJ8" s="266">
        <v>6</v>
      </c>
      <c r="EK8" s="266">
        <v>6</v>
      </c>
      <c r="EL8" s="266">
        <v>6</v>
      </c>
      <c r="EM8" s="266">
        <v>6</v>
      </c>
      <c r="EN8" s="266">
        <v>6</v>
      </c>
      <c r="EO8" s="266">
        <v>6</v>
      </c>
      <c r="EP8" s="266">
        <v>6</v>
      </c>
      <c r="EQ8" s="266">
        <v>6</v>
      </c>
      <c r="ER8" s="266">
        <v>6</v>
      </c>
      <c r="ES8" s="266">
        <v>6</v>
      </c>
      <c r="ET8" s="266">
        <v>6</v>
      </c>
      <c r="EU8" s="266">
        <v>6</v>
      </c>
      <c r="EV8" s="266">
        <v>6</v>
      </c>
      <c r="EW8" s="266">
        <v>6</v>
      </c>
      <c r="EX8" s="266">
        <v>6</v>
      </c>
      <c r="EY8" s="266">
        <v>6</v>
      </c>
      <c r="EZ8" s="266">
        <v>6</v>
      </c>
      <c r="FA8" s="266">
        <v>6</v>
      </c>
      <c r="FB8" s="266">
        <v>6</v>
      </c>
      <c r="FC8" s="266">
        <v>6</v>
      </c>
      <c r="FD8" s="266">
        <v>6</v>
      </c>
      <c r="FE8" s="266">
        <v>6</v>
      </c>
      <c r="FF8" s="266">
        <v>6</v>
      </c>
      <c r="FG8" s="266">
        <v>6</v>
      </c>
      <c r="FH8" s="266">
        <v>6</v>
      </c>
      <c r="FI8" s="266">
        <v>6</v>
      </c>
      <c r="FJ8" s="266">
        <v>6</v>
      </c>
      <c r="FK8" s="266">
        <v>6</v>
      </c>
      <c r="FL8" s="266">
        <v>6</v>
      </c>
      <c r="FM8" s="266">
        <v>6</v>
      </c>
      <c r="FN8" s="266">
        <v>6</v>
      </c>
      <c r="FO8" s="266">
        <v>6</v>
      </c>
      <c r="FP8" s="266">
        <v>6</v>
      </c>
      <c r="FQ8" s="266">
        <v>6</v>
      </c>
      <c r="FR8" s="266">
        <v>6</v>
      </c>
      <c r="FS8" s="266">
        <v>6</v>
      </c>
      <c r="FT8" s="266">
        <v>6</v>
      </c>
      <c r="FU8" s="266">
        <v>6</v>
      </c>
      <c r="FV8" s="266">
        <v>6</v>
      </c>
      <c r="FW8" s="266">
        <v>6</v>
      </c>
      <c r="FX8" s="266">
        <v>6</v>
      </c>
      <c r="FY8" s="266">
        <v>6</v>
      </c>
      <c r="FZ8" s="266">
        <v>6</v>
      </c>
      <c r="GA8" s="266">
        <v>6</v>
      </c>
      <c r="GB8" s="266">
        <v>6</v>
      </c>
      <c r="GC8" s="266">
        <v>6</v>
      </c>
      <c r="GD8" s="266">
        <v>6</v>
      </c>
      <c r="GE8" s="266">
        <v>6</v>
      </c>
      <c r="GF8" s="266">
        <v>6</v>
      </c>
      <c r="GG8" s="266">
        <v>6</v>
      </c>
      <c r="GH8" s="266">
        <v>6</v>
      </c>
      <c r="GI8" s="266">
        <v>6</v>
      </c>
      <c r="GJ8" s="266">
        <v>6</v>
      </c>
      <c r="GK8" s="266">
        <v>6</v>
      </c>
      <c r="GL8" s="266">
        <v>6</v>
      </c>
      <c r="GM8" s="266">
        <v>6</v>
      </c>
      <c r="GN8" s="266">
        <v>6</v>
      </c>
      <c r="GO8" s="266">
        <v>6</v>
      </c>
      <c r="GP8" s="266">
        <v>6</v>
      </c>
      <c r="GQ8" s="266">
        <v>6</v>
      </c>
      <c r="GR8" s="266">
        <v>6</v>
      </c>
      <c r="GS8" s="266">
        <v>6</v>
      </c>
      <c r="GT8" s="266">
        <v>6</v>
      </c>
      <c r="GU8" s="266">
        <v>6</v>
      </c>
      <c r="GV8" s="266">
        <v>6</v>
      </c>
      <c r="GW8" s="266">
        <v>6</v>
      </c>
      <c r="GX8" s="266">
        <v>6</v>
      </c>
      <c r="GY8" s="266">
        <v>6</v>
      </c>
      <c r="GZ8" s="266">
        <v>6</v>
      </c>
      <c r="HA8" s="266">
        <v>6</v>
      </c>
      <c r="HB8" s="266">
        <v>6</v>
      </c>
      <c r="HC8" s="266">
        <v>6</v>
      </c>
      <c r="HD8" s="266">
        <v>6</v>
      </c>
      <c r="HE8" s="266">
        <v>6</v>
      </c>
      <c r="HF8" s="266">
        <v>6</v>
      </c>
      <c r="HG8" s="266">
        <v>6</v>
      </c>
      <c r="HH8" s="266">
        <v>6</v>
      </c>
      <c r="HI8" s="266">
        <v>6</v>
      </c>
      <c r="HJ8" s="266">
        <v>6</v>
      </c>
      <c r="HK8" s="266">
        <v>6</v>
      </c>
      <c r="HL8" s="266">
        <v>6</v>
      </c>
      <c r="HM8" s="266">
        <v>6</v>
      </c>
      <c r="HN8" s="266">
        <v>6</v>
      </c>
      <c r="HO8" s="266">
        <v>6</v>
      </c>
      <c r="HP8" s="266">
        <v>6</v>
      </c>
      <c r="HQ8" s="266">
        <v>6</v>
      </c>
      <c r="HR8" s="266">
        <v>6</v>
      </c>
      <c r="HS8" s="266">
        <v>6</v>
      </c>
      <c r="HT8" s="266">
        <v>6</v>
      </c>
      <c r="HU8" s="266">
        <v>6</v>
      </c>
      <c r="HV8" s="266">
        <v>6</v>
      </c>
      <c r="HW8" s="266">
        <v>6</v>
      </c>
      <c r="HX8" s="266">
        <v>6</v>
      </c>
      <c r="HY8" s="266">
        <v>6</v>
      </c>
      <c r="HZ8" s="266">
        <v>6</v>
      </c>
      <c r="IA8" s="266">
        <v>6</v>
      </c>
      <c r="IB8" s="266">
        <v>6</v>
      </c>
      <c r="IC8" s="266">
        <v>6</v>
      </c>
      <c r="ID8" s="266">
        <v>6</v>
      </c>
      <c r="IE8" s="266">
        <v>6</v>
      </c>
      <c r="IF8" s="266">
        <v>6</v>
      </c>
      <c r="IG8" s="266">
        <v>6</v>
      </c>
      <c r="IH8" s="266">
        <v>6</v>
      </c>
      <c r="II8" s="266">
        <v>6</v>
      </c>
      <c r="IJ8" s="266">
        <v>6</v>
      </c>
      <c r="IK8" s="266">
        <v>6</v>
      </c>
      <c r="IL8" s="266">
        <v>6</v>
      </c>
      <c r="IM8" s="266">
        <v>6</v>
      </c>
      <c r="IN8" s="266">
        <v>6</v>
      </c>
      <c r="IO8" s="266">
        <v>6</v>
      </c>
      <c r="IP8" s="266">
        <v>6</v>
      </c>
      <c r="IQ8" s="266">
        <v>6</v>
      </c>
      <c r="IR8" s="266">
        <v>6</v>
      </c>
      <c r="IS8" s="266">
        <v>6</v>
      </c>
      <c r="IT8" s="266">
        <v>6</v>
      </c>
      <c r="IU8" s="266">
        <v>6</v>
      </c>
      <c r="IV8" s="266">
        <v>6</v>
      </c>
    </row>
    <row r="9" spans="1:8" ht="12.75">
      <c r="A9" t="s">
        <v>28</v>
      </c>
      <c r="B9" s="23" t="s">
        <v>28</v>
      </c>
      <c r="C9" s="23" t="s">
        <v>28</v>
      </c>
      <c r="D9" s="23" t="s">
        <v>28</v>
      </c>
      <c r="E9" s="23" t="s">
        <v>28</v>
      </c>
      <c r="F9" s="23" t="s">
        <v>28</v>
      </c>
      <c r="G9" s="23" t="s">
        <v>28</v>
      </c>
      <c r="H9" s="23" t="s">
        <v>28</v>
      </c>
    </row>
    <row r="10" spans="1:2" ht="12.75">
      <c r="A10" s="1" t="s">
        <v>335</v>
      </c>
      <c r="B10" s="99">
        <f>IRR(B8:IS8)</f>
        <v>0.18003460677661423</v>
      </c>
    </row>
    <row r="11" spans="1:2" ht="12.75">
      <c r="A11" t="s">
        <v>28</v>
      </c>
      <c r="B11" s="265" t="s">
        <v>28</v>
      </c>
    </row>
    <row r="13" ht="14.25">
      <c r="A13" s="20" t="s">
        <v>970</v>
      </c>
    </row>
    <row r="14" spans="1:2" ht="25.5">
      <c r="A14" s="203" t="s">
        <v>534</v>
      </c>
      <c r="B14" s="23">
        <v>1000</v>
      </c>
    </row>
    <row r="15" spans="1:2" ht="25.5">
      <c r="A15" s="203" t="s">
        <v>535</v>
      </c>
      <c r="B15" s="23">
        <v>1037.9</v>
      </c>
    </row>
    <row r="16" spans="1:2" ht="12.75">
      <c r="A16" s="203" t="s">
        <v>536</v>
      </c>
      <c r="B16" s="99">
        <v>0.11</v>
      </c>
    </row>
    <row r="18" ht="12.75">
      <c r="A18" s="180" t="s">
        <v>513</v>
      </c>
    </row>
    <row r="19" spans="1:7" ht="12.75">
      <c r="A19" s="203" t="s">
        <v>465</v>
      </c>
      <c r="B19">
        <v>0</v>
      </c>
      <c r="C19">
        <v>1</v>
      </c>
      <c r="D19">
        <v>2</v>
      </c>
      <c r="E19">
        <v>3</v>
      </c>
      <c r="F19">
        <v>4</v>
      </c>
      <c r="G19">
        <v>5</v>
      </c>
    </row>
    <row r="20" spans="1:7" ht="12.75">
      <c r="A20" s="203" t="s">
        <v>533</v>
      </c>
      <c r="B20" s="23">
        <f>-B15</f>
        <v>-1037.9</v>
      </c>
      <c r="C20" s="23">
        <v>110</v>
      </c>
      <c r="D20">
        <v>110</v>
      </c>
      <c r="E20">
        <v>110</v>
      </c>
      <c r="F20">
        <v>110</v>
      </c>
      <c r="G20">
        <v>1110</v>
      </c>
    </row>
    <row r="21" spans="1:3" ht="12.75">
      <c r="A21" s="203" t="s">
        <v>537</v>
      </c>
      <c r="B21" s="23" t="s">
        <v>28</v>
      </c>
      <c r="C21" s="23" t="s">
        <v>28</v>
      </c>
    </row>
    <row r="22" spans="1:2" ht="12.75">
      <c r="A22" s="208" t="s">
        <v>337</v>
      </c>
      <c r="B22" s="106">
        <f>IRR(B20:G20)</f>
        <v>0.10000202377462525</v>
      </c>
    </row>
    <row r="23" spans="1:2" ht="12.75">
      <c r="A23" s="204" t="s">
        <v>28</v>
      </c>
      <c r="B23" s="23" t="s">
        <v>28</v>
      </c>
    </row>
    <row r="25" ht="14.25">
      <c r="A25" s="20" t="s">
        <v>1337</v>
      </c>
    </row>
    <row r="26" spans="1:2" ht="25.5">
      <c r="A26" s="203" t="s">
        <v>538</v>
      </c>
      <c r="B26">
        <v>1000</v>
      </c>
    </row>
    <row r="28" spans="1:2" ht="12.75">
      <c r="A28" t="s">
        <v>335</v>
      </c>
      <c r="B28" s="99">
        <f>B10</f>
        <v>0.18003460677661423</v>
      </c>
    </row>
    <row r="29" spans="1:2" ht="12.75">
      <c r="A29" t="s">
        <v>341</v>
      </c>
      <c r="B29" s="23">
        <f>B26*B2</f>
        <v>30200</v>
      </c>
    </row>
    <row r="30" spans="1:2" ht="12.75">
      <c r="A30" t="s">
        <v>337</v>
      </c>
      <c r="B30" s="99">
        <f>B22</f>
        <v>0.10000202377462525</v>
      </c>
    </row>
    <row r="31" spans="1:2" ht="12.75">
      <c r="A31" t="s">
        <v>342</v>
      </c>
      <c r="B31" s="23">
        <f>B15</f>
        <v>1037.9</v>
      </c>
    </row>
    <row r="33" spans="1:2" ht="12.75">
      <c r="A33" s="1" t="s">
        <v>338</v>
      </c>
      <c r="B33" s="264">
        <f>(B28*B29+B30*B31)/(B29+B31)</f>
        <v>0.17737547098650783</v>
      </c>
    </row>
    <row r="35" ht="14.25">
      <c r="A35" s="20" t="s">
        <v>1301</v>
      </c>
    </row>
    <row r="36" spans="2:3" ht="12.75">
      <c r="B36" s="118" t="s">
        <v>540</v>
      </c>
      <c r="C36" s="118" t="s">
        <v>1204</v>
      </c>
    </row>
    <row r="37" spans="1:3" ht="25.5">
      <c r="A37" s="203" t="s">
        <v>539</v>
      </c>
      <c r="B37" s="23">
        <v>10000</v>
      </c>
      <c r="C37" s="23">
        <v>1000</v>
      </c>
    </row>
    <row r="38" spans="1:3" ht="12.75">
      <c r="A38" s="203" t="s">
        <v>165</v>
      </c>
      <c r="B38" s="23">
        <v>12000</v>
      </c>
      <c r="C38" s="23">
        <v>1000</v>
      </c>
    </row>
    <row r="39" spans="1:3" ht="25.5">
      <c r="A39" s="203" t="s">
        <v>545</v>
      </c>
      <c r="B39" s="23">
        <v>1800</v>
      </c>
      <c r="C39" s="23">
        <v>100</v>
      </c>
    </row>
    <row r="41" spans="1:4" ht="12.75">
      <c r="A41" s="180" t="s">
        <v>546</v>
      </c>
      <c r="D41" s="1" t="s">
        <v>717</v>
      </c>
    </row>
    <row r="42" spans="2:4" ht="12.75">
      <c r="B42" s="99">
        <f>B39/B38</f>
        <v>0.15</v>
      </c>
      <c r="C42" s="99">
        <f>C39/C38</f>
        <v>0.1</v>
      </c>
      <c r="D42" s="100">
        <f>SUM(B39:C39)/SUM(B38:C38)</f>
        <v>0.14615384615384616</v>
      </c>
    </row>
    <row r="44" ht="14.25">
      <c r="A44" s="20" t="s">
        <v>1315</v>
      </c>
    </row>
    <row r="45" spans="1:2" ht="12.75">
      <c r="A45" t="s">
        <v>547</v>
      </c>
      <c r="B45">
        <v>100</v>
      </c>
    </row>
    <row r="46" spans="1:2" ht="12.75">
      <c r="A46" t="s">
        <v>548</v>
      </c>
      <c r="B46">
        <v>26</v>
      </c>
    </row>
    <row r="47" spans="1:2" ht="12.75">
      <c r="A47" t="s">
        <v>1330</v>
      </c>
      <c r="B47" s="47">
        <v>0.5</v>
      </c>
    </row>
    <row r="48" ht="12.75">
      <c r="A48" s="180" t="s">
        <v>549</v>
      </c>
    </row>
    <row r="49" spans="2:4" ht="21">
      <c r="B49" s="76" t="s">
        <v>550</v>
      </c>
      <c r="C49" s="76" t="s">
        <v>551</v>
      </c>
      <c r="D49" s="76" t="s">
        <v>552</v>
      </c>
    </row>
    <row r="50" spans="1:4" ht="12.75">
      <c r="A50" t="s">
        <v>540</v>
      </c>
      <c r="B50" s="47">
        <v>0.6</v>
      </c>
      <c r="C50" s="47">
        <v>0.24</v>
      </c>
      <c r="D50" s="47">
        <v>0.24</v>
      </c>
    </row>
    <row r="51" spans="1:4" ht="12.75">
      <c r="A51" t="s">
        <v>1204</v>
      </c>
      <c r="B51" s="47">
        <v>0.4</v>
      </c>
      <c r="C51" s="47">
        <v>0.16</v>
      </c>
      <c r="D51" s="47">
        <v>0.08</v>
      </c>
    </row>
    <row r="52" spans="2:4" ht="12.75">
      <c r="B52" s="47"/>
      <c r="C52" s="47"/>
      <c r="D52" s="47"/>
    </row>
    <row r="53" spans="1:4" ht="12.75">
      <c r="A53" t="s">
        <v>540</v>
      </c>
      <c r="B53" s="23"/>
      <c r="C53" s="23">
        <f>B46-C54</f>
        <v>19.6</v>
      </c>
      <c r="D53" s="23">
        <f>C53*(1-B47)</f>
        <v>9.8</v>
      </c>
    </row>
    <row r="54" spans="1:4" ht="12.75">
      <c r="A54" t="s">
        <v>1204</v>
      </c>
      <c r="B54" s="23">
        <f>B45*B51</f>
        <v>40</v>
      </c>
      <c r="C54" s="23">
        <f>B54*C51</f>
        <v>6.4</v>
      </c>
      <c r="D54" s="23">
        <f>C54</f>
        <v>6.4</v>
      </c>
    </row>
    <row r="55" spans="1:4" ht="12.75">
      <c r="A55" t="s">
        <v>92</v>
      </c>
      <c r="B55" s="47"/>
      <c r="C55" s="23">
        <f>SUM(C53:C54)</f>
        <v>26</v>
      </c>
      <c r="D55" s="23">
        <f>SUM(D53:D54)</f>
        <v>16.200000000000003</v>
      </c>
    </row>
    <row r="57" ht="12.75">
      <c r="A57" s="180" t="s">
        <v>230</v>
      </c>
    </row>
    <row r="58" spans="1:3" ht="12.75">
      <c r="A58" t="s">
        <v>465</v>
      </c>
      <c r="B58">
        <v>0</v>
      </c>
      <c r="C58">
        <v>0</v>
      </c>
    </row>
    <row r="59" spans="1:3" ht="12.75">
      <c r="A59" t="s">
        <v>553</v>
      </c>
      <c r="B59" s="23">
        <f>-B$45</f>
        <v>-100</v>
      </c>
      <c r="C59" s="23">
        <f>SUM($C53:$C54)/B60</f>
        <v>125</v>
      </c>
    </row>
    <row r="60" spans="1:3" ht="12.75">
      <c r="A60" s="1" t="s">
        <v>338</v>
      </c>
      <c r="B60" s="159">
        <f>B50*C50+B51*C51</f>
        <v>0.208</v>
      </c>
      <c r="C60" s="177"/>
    </row>
    <row r="61" spans="1:3" ht="12.75">
      <c r="A61" s="1" t="s">
        <v>526</v>
      </c>
      <c r="B61" s="103">
        <f>SUMPRODUCT(B59:C59,POWER(1+B60,-B58:C58))</f>
        <v>25</v>
      </c>
      <c r="C61" s="177"/>
    </row>
    <row r="62" ht="12.75">
      <c r="C62" s="177"/>
    </row>
    <row r="63" spans="1:3" ht="12.75">
      <c r="A63" t="s">
        <v>554</v>
      </c>
      <c r="B63" s="23">
        <f>-B$45</f>
        <v>-100</v>
      </c>
      <c r="C63" s="23">
        <f>B46*(1-B47)/B64</f>
        <v>73.86363636363637</v>
      </c>
    </row>
    <row r="64" spans="1:2" ht="12.75">
      <c r="A64" s="1" t="s">
        <v>338</v>
      </c>
      <c r="B64" s="159">
        <f>B50*D50+B51*D51</f>
        <v>0.176</v>
      </c>
    </row>
    <row r="65" spans="1:2" ht="12.75">
      <c r="A65" s="1" t="s">
        <v>527</v>
      </c>
      <c r="B65" s="103">
        <f>B63+C63</f>
        <v>-26.136363636363626</v>
      </c>
    </row>
    <row r="67" ht="14.25">
      <c r="A67" s="20" t="s">
        <v>555</v>
      </c>
    </row>
    <row r="68" spans="1:4" ht="31.5">
      <c r="A68" s="33"/>
      <c r="B68" s="135" t="s">
        <v>556</v>
      </c>
      <c r="C68" s="135" t="s">
        <v>557</v>
      </c>
      <c r="D68" s="135" t="s">
        <v>558</v>
      </c>
    </row>
    <row r="69" spans="1:4" ht="25.5">
      <c r="A69" s="203" t="s">
        <v>559</v>
      </c>
      <c r="B69" s="23">
        <v>2160</v>
      </c>
      <c r="C69" s="23">
        <v>18500</v>
      </c>
      <c r="D69" s="23">
        <v>632</v>
      </c>
    </row>
    <row r="70" spans="1:4" ht="12.75">
      <c r="A70" s="203" t="s">
        <v>540</v>
      </c>
      <c r="B70" s="23">
        <v>1580</v>
      </c>
      <c r="C70" s="23">
        <v>10512</v>
      </c>
      <c r="D70" s="23">
        <v>824</v>
      </c>
    </row>
    <row r="71" spans="1:4" ht="12.75">
      <c r="A71" s="216" t="s">
        <v>1204</v>
      </c>
      <c r="B71" s="38">
        <v>812</v>
      </c>
      <c r="C71" s="38">
        <v>-12</v>
      </c>
      <c r="D71" s="38">
        <v>1356</v>
      </c>
    </row>
    <row r="72" spans="1:4" ht="12.75">
      <c r="A72" s="203" t="s">
        <v>512</v>
      </c>
      <c r="B72" s="23">
        <v>22210</v>
      </c>
      <c r="C72" s="23">
        <v>23724</v>
      </c>
      <c r="D72" s="23">
        <v>701</v>
      </c>
    </row>
    <row r="73" spans="1:4" ht="12.75">
      <c r="A73" s="203" t="s">
        <v>560</v>
      </c>
      <c r="B73" s="23">
        <v>405</v>
      </c>
      <c r="C73" s="23">
        <v>1625</v>
      </c>
      <c r="D73" s="23">
        <v>82</v>
      </c>
    </row>
    <row r="74" spans="1:4" ht="12.75">
      <c r="A74" s="216" t="s">
        <v>806</v>
      </c>
      <c r="B74" s="38">
        <v>226</v>
      </c>
      <c r="C74" s="38">
        <v>1057</v>
      </c>
      <c r="D74" s="38">
        <v>-24</v>
      </c>
    </row>
    <row r="75" spans="1:4" ht="12.75">
      <c r="A75" s="203" t="s">
        <v>562</v>
      </c>
      <c r="B75">
        <v>0.8</v>
      </c>
      <c r="C75">
        <v>0.5</v>
      </c>
      <c r="D75">
        <v>1.2</v>
      </c>
    </row>
    <row r="76" spans="1:4" ht="12.75">
      <c r="A76" s="216" t="s">
        <v>561</v>
      </c>
      <c r="B76" s="33">
        <v>0.1</v>
      </c>
      <c r="C76" s="33">
        <v>0</v>
      </c>
      <c r="D76" s="33">
        <v>0.3</v>
      </c>
    </row>
    <row r="77" spans="1:4" ht="12.75">
      <c r="A77" s="203" t="s">
        <v>1330</v>
      </c>
      <c r="B77" s="47">
        <v>0.35</v>
      </c>
      <c r="C77" s="47">
        <v>0.35</v>
      </c>
      <c r="D77" s="47">
        <v>0.35</v>
      </c>
    </row>
    <row r="79" spans="1:2" ht="12.75">
      <c r="A79" s="203" t="s">
        <v>563</v>
      </c>
      <c r="B79" s="95">
        <v>0.065</v>
      </c>
    </row>
    <row r="80" spans="1:2" ht="12.75">
      <c r="A80" s="203" t="s">
        <v>564</v>
      </c>
      <c r="B80" s="95">
        <v>0.11</v>
      </c>
    </row>
    <row r="82" spans="1:5" ht="12.75">
      <c r="A82" s="33"/>
      <c r="B82" s="33"/>
      <c r="C82" s="33"/>
      <c r="D82" s="33"/>
      <c r="E82" s="136" t="s">
        <v>565</v>
      </c>
    </row>
    <row r="83" spans="1:5" ht="12.75">
      <c r="A83" t="s">
        <v>335</v>
      </c>
      <c r="B83" s="96">
        <f>$B79+B75*($B80-$B79)</f>
        <v>0.101</v>
      </c>
      <c r="C83" s="96">
        <f>$B79+C75*($B80-$B79)</f>
        <v>0.0875</v>
      </c>
      <c r="D83" s="96">
        <f>$B79+D75*($B80-$B79)</f>
        <v>0.119</v>
      </c>
      <c r="E83" s="219">
        <f>SUMPRODUCT(B83:D83,B69:D69)/SUM(B69:D69)</f>
        <v>0.08980452752207403</v>
      </c>
    </row>
    <row r="84" spans="1:5" ht="12.75">
      <c r="A84" t="s">
        <v>337</v>
      </c>
      <c r="B84" s="96">
        <f>($B79+B76*($B80-$B79))*(1-B77)</f>
        <v>0.04517500000000001</v>
      </c>
      <c r="C84" s="96">
        <f>($B79+C76*($B80-$B79))*(1-C77)</f>
        <v>0.04225</v>
      </c>
      <c r="D84" s="96">
        <f>($B79+D76*($B80-$B79))*(1-D77)</f>
        <v>0.051025</v>
      </c>
      <c r="E84" s="220">
        <f>SUMPRODUCT(B84:D84,B71:D71)/SUM(B71:D71)</f>
        <v>0.04887059369202227</v>
      </c>
    </row>
    <row r="85" spans="1:5" ht="12.75">
      <c r="A85" s="1" t="s">
        <v>338</v>
      </c>
      <c r="B85" s="96">
        <f>(B83*B69+B84*B71)/(B69+B71)</f>
        <v>0.08574767833109018</v>
      </c>
      <c r="C85" s="96">
        <f>(C83*C69+C84*C71)/(C69+C71)</f>
        <v>0.08752937040242319</v>
      </c>
      <c r="D85" s="96">
        <f>(D83*D69+D84*D71)/(D69+D71)</f>
        <v>0.07263475855130784</v>
      </c>
      <c r="E85" s="221">
        <f>SUMPRODUCT(B85:D85,B69:D69+B71:D71)/SUM(B69:D69,B71:D71)</f>
        <v>0.08604072842033436</v>
      </c>
    </row>
    <row r="90" ht="12.75">
      <c r="A90" s="217"/>
    </row>
    <row r="91" spans="1:4" ht="12.75">
      <c r="A91" s="215"/>
      <c r="B91" s="96"/>
      <c r="C91" s="96"/>
      <c r="D91" s="96"/>
    </row>
    <row r="93" ht="12.75">
      <c r="A93" s="215"/>
    </row>
    <row r="94" spans="1:2" ht="12.75">
      <c r="A94" s="218"/>
      <c r="B94" s="106"/>
    </row>
  </sheetData>
  <printOptions/>
  <pageMargins left="0.7874015748031497" right="0.7874015748031497" top="0.984251968503937" bottom="0.984251968503937" header="0.5118110236220472" footer="0.5118110236220472"/>
  <pageSetup fitToHeight="4"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5.xml><?xml version="1.0" encoding="utf-8"?>
<worksheet xmlns="http://schemas.openxmlformats.org/spreadsheetml/2006/main" xmlns:r="http://schemas.openxmlformats.org/officeDocument/2006/relationships">
  <sheetPr codeName="Feuil34"/>
  <dimension ref="A1:D16"/>
  <sheetViews>
    <sheetView showGridLines="0" zoomScale="75" zoomScaleNormal="75" workbookViewId="0" topLeftCell="A1">
      <selection activeCell="A1" sqref="A1"/>
    </sheetView>
  </sheetViews>
  <sheetFormatPr defaultColWidth="11.00390625" defaultRowHeight="12.75"/>
  <cols>
    <col min="1" max="1" width="16.625" style="0" customWidth="1"/>
  </cols>
  <sheetData>
    <row r="1" ht="14.25">
      <c r="A1" s="41" t="s">
        <v>739</v>
      </c>
    </row>
    <row r="2" spans="1:3" ht="12.75">
      <c r="A2" s="203" t="s">
        <v>566</v>
      </c>
      <c r="B2" s="6">
        <v>-2.5</v>
      </c>
      <c r="C2" t="s">
        <v>426</v>
      </c>
    </row>
    <row r="3" spans="1:3" ht="12.75">
      <c r="A3" s="203" t="s">
        <v>567</v>
      </c>
      <c r="B3" s="6">
        <v>5</v>
      </c>
      <c r="C3" t="s">
        <v>426</v>
      </c>
    </row>
    <row r="4" ht="12.75">
      <c r="A4" s="203"/>
    </row>
    <row r="5" spans="1:2" ht="12.75">
      <c r="A5" s="208" t="s">
        <v>144</v>
      </c>
      <c r="B5" s="106">
        <v>0.14869806393960094</v>
      </c>
    </row>
    <row r="6" spans="1:2" ht="12.75">
      <c r="A6" s="203" t="s">
        <v>93</v>
      </c>
      <c r="B6" s="6">
        <f>B2+B3*POWER(1+B5,-5)</f>
        <v>3.1672550715455827E-06</v>
      </c>
    </row>
    <row r="7" ht="12.75">
      <c r="A7" s="203"/>
    </row>
    <row r="8" spans="1:3" ht="12.75">
      <c r="A8" s="203" t="s">
        <v>567</v>
      </c>
      <c r="B8" s="6">
        <v>5</v>
      </c>
      <c r="C8" t="s">
        <v>426</v>
      </c>
    </row>
    <row r="9" spans="1:2" ht="12.75">
      <c r="A9" s="203" t="s">
        <v>144</v>
      </c>
      <c r="B9" s="222">
        <v>0.2</v>
      </c>
    </row>
    <row r="10" spans="1:2" ht="12.75">
      <c r="A10" s="203" t="s">
        <v>93</v>
      </c>
      <c r="B10" s="6">
        <f>B12+B8*POWER(1+B9,-5)</f>
        <v>0</v>
      </c>
    </row>
    <row r="11" ht="12.75">
      <c r="A11" s="203"/>
    </row>
    <row r="12" spans="1:4" ht="25.5">
      <c r="A12" s="208" t="s">
        <v>569</v>
      </c>
      <c r="B12" s="157">
        <v>-2.0093878600823043</v>
      </c>
      <c r="C12" s="1" t="s">
        <v>426</v>
      </c>
      <c r="D12" t="s">
        <v>568</v>
      </c>
    </row>
    <row r="15" ht="14.25">
      <c r="A15" s="41" t="s">
        <v>1125</v>
      </c>
    </row>
    <row r="16" ht="14.25">
      <c r="A16" s="41" t="s">
        <v>740</v>
      </c>
    </row>
  </sheetData>
  <printOptions/>
  <pageMargins left="0.7874015748031497" right="0.7874015748031497" top="0.984251968503937" bottom="0.984251968503937" header="0.5118110236220472" footer="0.5118110236220472"/>
  <pageSetup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6.xml><?xml version="1.0" encoding="utf-8"?>
<worksheet xmlns="http://schemas.openxmlformats.org/spreadsheetml/2006/main" xmlns:r="http://schemas.openxmlformats.org/officeDocument/2006/relationships">
  <sheetPr codeName="Feuil35">
    <pageSetUpPr fitToPage="1"/>
  </sheetPr>
  <dimension ref="A1:J28"/>
  <sheetViews>
    <sheetView showGridLines="0" zoomScale="75" zoomScaleNormal="75" workbookViewId="0" topLeftCell="A1">
      <selection activeCell="A1" sqref="A1"/>
    </sheetView>
  </sheetViews>
  <sheetFormatPr defaultColWidth="11.00390625" defaultRowHeight="12.75"/>
  <cols>
    <col min="1" max="1" width="15.75390625" style="203" customWidth="1"/>
  </cols>
  <sheetData>
    <row r="1" ht="14.25">
      <c r="A1" s="20" t="s">
        <v>968</v>
      </c>
    </row>
    <row r="2" spans="1:2" ht="12.75">
      <c r="A2" s="204" t="s">
        <v>570</v>
      </c>
      <c r="B2" s="99">
        <v>0.1</v>
      </c>
    </row>
    <row r="3" spans="1:2" ht="12.75">
      <c r="A3" s="204" t="s">
        <v>571</v>
      </c>
      <c r="B3" s="99">
        <v>0.25</v>
      </c>
    </row>
    <row r="4" spans="1:2" ht="12.75">
      <c r="A4" s="204" t="s">
        <v>572</v>
      </c>
      <c r="B4" s="99">
        <v>0.07</v>
      </c>
    </row>
    <row r="5" spans="1:2" ht="12.75">
      <c r="A5" s="204" t="s">
        <v>369</v>
      </c>
      <c r="B5" s="99">
        <v>0.4</v>
      </c>
    </row>
    <row r="6" spans="1:2" ht="12.75">
      <c r="A6" s="204" t="s">
        <v>1341</v>
      </c>
      <c r="B6" s="79">
        <f>B4*(1-B5)</f>
        <v>0.042</v>
      </c>
    </row>
    <row r="8" ht="12.75">
      <c r="A8" s="180" t="s">
        <v>573</v>
      </c>
    </row>
    <row r="9" spans="1:2" ht="12.75">
      <c r="A9" s="204" t="s">
        <v>291</v>
      </c>
      <c r="B9" s="99">
        <v>0</v>
      </c>
    </row>
    <row r="10" spans="1:2" ht="12.75">
      <c r="A10" s="208" t="s">
        <v>574</v>
      </c>
      <c r="B10" s="140">
        <f>(B3/(1-B9)-B2)/(B2-B6)</f>
        <v>2.5862068965517238</v>
      </c>
    </row>
    <row r="12" ht="12.75">
      <c r="A12" s="180" t="s">
        <v>573</v>
      </c>
    </row>
    <row r="13" spans="1:2" ht="12.75">
      <c r="A13" s="204" t="s">
        <v>291</v>
      </c>
      <c r="B13" s="99">
        <f>1/3</f>
        <v>0.3333333333333333</v>
      </c>
    </row>
    <row r="14" spans="1:2" ht="12.75">
      <c r="A14" s="208" t="s">
        <v>574</v>
      </c>
      <c r="B14" s="140">
        <f>(B3/(1-B13)-B2)/(B2-B6)</f>
        <v>4.741379310344826</v>
      </c>
    </row>
    <row r="16" ht="12.75">
      <c r="A16" s="180" t="s">
        <v>575</v>
      </c>
    </row>
    <row r="17" spans="1:2" ht="12.75">
      <c r="A17" s="204" t="s">
        <v>574</v>
      </c>
      <c r="B17" s="166">
        <v>1</v>
      </c>
    </row>
    <row r="18" spans="1:2" ht="12.75">
      <c r="A18" s="204" t="s">
        <v>291</v>
      </c>
      <c r="B18" s="163">
        <v>0</v>
      </c>
    </row>
    <row r="19" spans="1:2" ht="12.75">
      <c r="A19" s="208" t="s">
        <v>254</v>
      </c>
      <c r="B19" s="159">
        <f>(B2+(B2-B6)*B17)*(1-B18)</f>
        <v>0.158</v>
      </c>
    </row>
    <row r="21" ht="14.25">
      <c r="A21" s="20" t="s">
        <v>970</v>
      </c>
    </row>
    <row r="22" spans="1:10" ht="21">
      <c r="A22" s="223" t="s">
        <v>720</v>
      </c>
      <c r="B22" s="76" t="s">
        <v>540</v>
      </c>
      <c r="C22" s="76" t="s">
        <v>1204</v>
      </c>
      <c r="D22" s="76" t="s">
        <v>576</v>
      </c>
      <c r="E22" s="76" t="s">
        <v>577</v>
      </c>
      <c r="F22" s="76" t="s">
        <v>578</v>
      </c>
      <c r="G22" s="76" t="s">
        <v>806</v>
      </c>
      <c r="H22" s="76" t="s">
        <v>772</v>
      </c>
      <c r="I22" s="76" t="s">
        <v>579</v>
      </c>
      <c r="J22" s="76" t="s">
        <v>580</v>
      </c>
    </row>
    <row r="23" spans="1:10" ht="12.75">
      <c r="A23" s="203">
        <v>1</v>
      </c>
      <c r="B23">
        <v>100</v>
      </c>
      <c r="C23">
        <v>100</v>
      </c>
      <c r="D23">
        <f aca="true" t="shared" si="0" ref="D23:D28">SUM(B23:C23)</f>
        <v>200</v>
      </c>
      <c r="E23">
        <v>20</v>
      </c>
      <c r="F23">
        <v>8</v>
      </c>
      <c r="G23">
        <f aca="true" t="shared" si="1" ref="G23:G28">E23-F23</f>
        <v>12</v>
      </c>
      <c r="H23">
        <v>2</v>
      </c>
      <c r="I23">
        <f aca="true" t="shared" si="2" ref="I23:I28">G23-H23</f>
        <v>10</v>
      </c>
      <c r="J23">
        <f aca="true" t="shared" si="3" ref="J23:J28">B23+I23</f>
        <v>110</v>
      </c>
    </row>
    <row r="24" spans="1:10" ht="12.75">
      <c r="A24" s="203">
        <f>A23+1</f>
        <v>2</v>
      </c>
      <c r="B24">
        <f>J23</f>
        <v>110</v>
      </c>
      <c r="C24">
        <v>140</v>
      </c>
      <c r="D24">
        <f t="shared" si="0"/>
        <v>250</v>
      </c>
      <c r="E24">
        <v>25</v>
      </c>
      <c r="F24">
        <v>12</v>
      </c>
      <c r="G24">
        <f t="shared" si="1"/>
        <v>13</v>
      </c>
      <c r="H24">
        <v>1</v>
      </c>
      <c r="I24">
        <f t="shared" si="2"/>
        <v>12</v>
      </c>
      <c r="J24">
        <f t="shared" si="3"/>
        <v>122</v>
      </c>
    </row>
    <row r="25" spans="1:10" ht="12.75">
      <c r="A25" s="203">
        <f>A24+1</f>
        <v>3</v>
      </c>
      <c r="B25">
        <f>J24</f>
        <v>122</v>
      </c>
      <c r="C25">
        <v>190</v>
      </c>
      <c r="D25">
        <f t="shared" si="0"/>
        <v>312</v>
      </c>
      <c r="E25">
        <v>28</v>
      </c>
      <c r="F25">
        <v>17</v>
      </c>
      <c r="G25">
        <f t="shared" si="1"/>
        <v>11</v>
      </c>
      <c r="H25">
        <v>0</v>
      </c>
      <c r="I25">
        <f t="shared" si="2"/>
        <v>11</v>
      </c>
      <c r="J25">
        <f t="shared" si="3"/>
        <v>133</v>
      </c>
    </row>
    <row r="26" spans="1:10" ht="12.75">
      <c r="A26" s="203">
        <f>A25+1</f>
        <v>4</v>
      </c>
      <c r="B26">
        <f>J25</f>
        <v>133</v>
      </c>
      <c r="C26">
        <v>258</v>
      </c>
      <c r="D26">
        <f t="shared" si="0"/>
        <v>391</v>
      </c>
      <c r="E26">
        <v>31</v>
      </c>
      <c r="F26">
        <v>26</v>
      </c>
      <c r="G26">
        <f t="shared" si="1"/>
        <v>5</v>
      </c>
      <c r="H26">
        <v>0</v>
      </c>
      <c r="I26">
        <f t="shared" si="2"/>
        <v>5</v>
      </c>
      <c r="J26">
        <f t="shared" si="3"/>
        <v>138</v>
      </c>
    </row>
    <row r="27" spans="1:10" ht="12.75">
      <c r="A27" s="203">
        <f>A26+1</f>
        <v>5</v>
      </c>
      <c r="B27">
        <f>J26</f>
        <v>138</v>
      </c>
      <c r="C27">
        <v>350</v>
      </c>
      <c r="D27">
        <f t="shared" si="0"/>
        <v>488</v>
      </c>
      <c r="E27">
        <v>34</v>
      </c>
      <c r="F27">
        <v>35</v>
      </c>
      <c r="G27">
        <f t="shared" si="1"/>
        <v>-1</v>
      </c>
      <c r="H27">
        <v>0</v>
      </c>
      <c r="I27">
        <f t="shared" si="2"/>
        <v>-1</v>
      </c>
      <c r="J27">
        <f t="shared" si="3"/>
        <v>137</v>
      </c>
    </row>
    <row r="28" spans="1:10" ht="12.75">
      <c r="A28" s="203">
        <f>A27+1</f>
        <v>6</v>
      </c>
      <c r="B28">
        <f>J27</f>
        <v>137</v>
      </c>
      <c r="C28">
        <v>474</v>
      </c>
      <c r="D28">
        <f t="shared" si="0"/>
        <v>611</v>
      </c>
      <c r="E28">
        <v>43</v>
      </c>
      <c r="F28">
        <v>47</v>
      </c>
      <c r="G28">
        <f t="shared" si="1"/>
        <v>-4</v>
      </c>
      <c r="H28">
        <v>0</v>
      </c>
      <c r="I28">
        <f t="shared" si="2"/>
        <v>-4</v>
      </c>
      <c r="J28">
        <f t="shared" si="3"/>
        <v>133</v>
      </c>
    </row>
  </sheetData>
  <printOptions/>
  <pageMargins left="0.7874015748031497" right="0.7874015748031497" top="0.984251968503937" bottom="0.984251968503937" header="0.5118110236220472" footer="0.5118110236220472"/>
  <pageSetup fitToHeight="1" fitToWidth="1" horizontalDpi="200" verticalDpi="200" orientation="landscape" paperSize="9" scale="98" r:id="rId2"/>
  <headerFooter alignWithMargins="0">
    <oddFooter>&amp;L&amp;"Verdana,Italique"&amp;9&amp;F - &amp;A&amp;C&amp;P / &amp;N&amp;R&amp;"Verdana,Italique"&amp;9&amp;D - &amp;T</oddFooter>
  </headerFooter>
  <drawing r:id="rId1"/>
</worksheet>
</file>

<file path=xl/worksheets/sheet37.xml><?xml version="1.0" encoding="utf-8"?>
<worksheet xmlns="http://schemas.openxmlformats.org/spreadsheetml/2006/main" xmlns:r="http://schemas.openxmlformats.org/officeDocument/2006/relationships">
  <sheetPr codeName="Feuil36">
    <pageSetUpPr fitToPage="1"/>
  </sheetPr>
  <dimension ref="A1:V101"/>
  <sheetViews>
    <sheetView showGridLines="0" zoomScale="75" zoomScaleNormal="75" workbookViewId="0" topLeftCell="A1">
      <selection activeCell="A1" sqref="A1"/>
    </sheetView>
  </sheetViews>
  <sheetFormatPr defaultColWidth="11.00390625" defaultRowHeight="12.75"/>
  <cols>
    <col min="1" max="1" width="13.75390625" style="203" customWidth="1"/>
    <col min="2" max="4" width="13.375" style="0" bestFit="1" customWidth="1"/>
    <col min="5" max="6" width="11.125" style="0" bestFit="1" customWidth="1"/>
    <col min="7" max="7" width="11.875" style="0" customWidth="1"/>
    <col min="8" max="9" width="11.125" style="0" bestFit="1" customWidth="1"/>
  </cols>
  <sheetData>
    <row r="1" ht="14.25">
      <c r="A1" s="20" t="s">
        <v>968</v>
      </c>
    </row>
    <row r="2" ht="12.75">
      <c r="A2" s="179" t="s">
        <v>741</v>
      </c>
    </row>
    <row r="3" spans="1:3" ht="12.75">
      <c r="A3" s="204" t="s">
        <v>256</v>
      </c>
      <c r="B3" s="23">
        <v>22.2</v>
      </c>
      <c r="C3" t="s">
        <v>200</v>
      </c>
    </row>
    <row r="4" spans="1:3" ht="12.75">
      <c r="A4" s="204" t="s">
        <v>581</v>
      </c>
      <c r="B4" s="23">
        <v>0.3</v>
      </c>
      <c r="C4" t="s">
        <v>200</v>
      </c>
    </row>
    <row r="5" spans="1:3" ht="12.75">
      <c r="A5" s="204" t="s">
        <v>257</v>
      </c>
      <c r="B5" s="23">
        <v>1.55</v>
      </c>
      <c r="C5" t="s">
        <v>200</v>
      </c>
    </row>
    <row r="6" spans="1:2" ht="12.75">
      <c r="A6" s="204" t="s">
        <v>369</v>
      </c>
      <c r="B6" s="47">
        <v>0.3443</v>
      </c>
    </row>
    <row r="7" spans="1:2" ht="12.75">
      <c r="A7" s="204"/>
      <c r="B7" s="47"/>
    </row>
    <row r="8" spans="1:4" ht="12.75">
      <c r="A8" s="208" t="s">
        <v>291</v>
      </c>
      <c r="B8" s="130">
        <f>B4/B5</f>
        <v>0.1935483870967742</v>
      </c>
      <c r="D8" s="47"/>
    </row>
    <row r="9" spans="1:2" ht="25.5">
      <c r="A9" s="208" t="s">
        <v>582</v>
      </c>
      <c r="B9" s="130">
        <f>B4*1.5/B3</f>
        <v>0.020270270270270268</v>
      </c>
    </row>
    <row r="10" spans="1:3" ht="25.5">
      <c r="A10" s="208" t="s">
        <v>583</v>
      </c>
      <c r="B10" s="367">
        <f>B4/B3</f>
        <v>0.013513513513513514</v>
      </c>
      <c r="C10" t="s">
        <v>279</v>
      </c>
    </row>
    <row r="12" ht="14.25">
      <c r="A12" s="20" t="s">
        <v>970</v>
      </c>
    </row>
    <row r="13" spans="1:9" ht="12.75">
      <c r="A13" s="204"/>
      <c r="B13" s="204"/>
      <c r="C13" s="118">
        <v>1997</v>
      </c>
      <c r="D13" s="118">
        <f aca="true" t="shared" si="0" ref="D13:I13">C13+1</f>
        <v>1998</v>
      </c>
      <c r="E13" s="118">
        <f t="shared" si="0"/>
        <v>1999</v>
      </c>
      <c r="F13" s="118">
        <f t="shared" si="0"/>
        <v>2000</v>
      </c>
      <c r="G13" s="118">
        <f t="shared" si="0"/>
        <v>2001</v>
      </c>
      <c r="H13" s="118">
        <f t="shared" si="0"/>
        <v>2002</v>
      </c>
      <c r="I13" s="118">
        <f t="shared" si="0"/>
        <v>2003</v>
      </c>
    </row>
    <row r="14" spans="1:9" ht="12.75">
      <c r="A14" s="204" t="s">
        <v>1201</v>
      </c>
      <c r="B14" t="s">
        <v>257</v>
      </c>
      <c r="C14">
        <v>100</v>
      </c>
      <c r="D14">
        <v>115</v>
      </c>
      <c r="E14">
        <v>131</v>
      </c>
      <c r="F14">
        <v>150</v>
      </c>
      <c r="G14">
        <v>160</v>
      </c>
      <c r="H14">
        <v>165</v>
      </c>
      <c r="I14">
        <v>167</v>
      </c>
    </row>
    <row r="15" spans="2:9" ht="12.75">
      <c r="B15" t="s">
        <v>253</v>
      </c>
      <c r="C15">
        <v>20</v>
      </c>
      <c r="D15">
        <v>23</v>
      </c>
      <c r="E15">
        <v>26</v>
      </c>
      <c r="F15">
        <v>30</v>
      </c>
      <c r="G15">
        <v>35</v>
      </c>
      <c r="H15">
        <v>41</v>
      </c>
      <c r="I15">
        <v>60</v>
      </c>
    </row>
    <row r="16" spans="2:9" ht="12.75">
      <c r="B16" s="225" t="s">
        <v>291</v>
      </c>
      <c r="C16" s="224">
        <f>C15/C14</f>
        <v>0.2</v>
      </c>
      <c r="D16" s="224">
        <f aca="true" t="shared" si="1" ref="D16:I16">D15/D14</f>
        <v>0.2</v>
      </c>
      <c r="E16" s="224">
        <f t="shared" si="1"/>
        <v>0.1984732824427481</v>
      </c>
      <c r="F16" s="224">
        <f t="shared" si="1"/>
        <v>0.2</v>
      </c>
      <c r="G16" s="224">
        <f t="shared" si="1"/>
        <v>0.21875</v>
      </c>
      <c r="H16" s="224">
        <f t="shared" si="1"/>
        <v>0.24848484848484848</v>
      </c>
      <c r="I16" s="224">
        <f t="shared" si="1"/>
        <v>0.3592814371257485</v>
      </c>
    </row>
    <row r="17" spans="2:9" ht="21">
      <c r="B17" s="225" t="s">
        <v>584</v>
      </c>
      <c r="C17" s="13"/>
      <c r="D17" s="224">
        <f aca="true" t="shared" si="2" ref="D17:I17">(D15-C15)/C15</f>
        <v>0.15</v>
      </c>
      <c r="E17" s="224">
        <f t="shared" si="2"/>
        <v>0.13043478260869565</v>
      </c>
      <c r="F17" s="224">
        <f t="shared" si="2"/>
        <v>0.15384615384615385</v>
      </c>
      <c r="G17" s="224">
        <f t="shared" si="2"/>
        <v>0.16666666666666666</v>
      </c>
      <c r="H17" s="224">
        <f t="shared" si="2"/>
        <v>0.17142857142857143</v>
      </c>
      <c r="I17" s="224">
        <f t="shared" si="2"/>
        <v>0.4634146341463415</v>
      </c>
    </row>
    <row r="18" spans="1:9" ht="12.75">
      <c r="A18" s="204" t="s">
        <v>1202</v>
      </c>
      <c r="B18" t="s">
        <v>257</v>
      </c>
      <c r="C18">
        <v>350</v>
      </c>
      <c r="D18">
        <v>402</v>
      </c>
      <c r="E18">
        <v>458</v>
      </c>
      <c r="F18">
        <v>524</v>
      </c>
      <c r="G18">
        <v>559</v>
      </c>
      <c r="H18">
        <v>577</v>
      </c>
      <c r="I18">
        <v>584</v>
      </c>
    </row>
    <row r="19" spans="2:9" ht="12.75">
      <c r="B19" t="s">
        <v>253</v>
      </c>
      <c r="C19">
        <v>70</v>
      </c>
      <c r="D19">
        <v>80</v>
      </c>
      <c r="E19">
        <v>92</v>
      </c>
      <c r="F19">
        <v>105</v>
      </c>
      <c r="G19">
        <v>112</v>
      </c>
      <c r="H19">
        <v>115</v>
      </c>
      <c r="I19">
        <v>117</v>
      </c>
    </row>
    <row r="20" spans="2:9" ht="12.75">
      <c r="B20" s="225" t="s">
        <v>291</v>
      </c>
      <c r="C20" s="224">
        <f aca="true" t="shared" si="3" ref="C20:I20">C19/C18</f>
        <v>0.2</v>
      </c>
      <c r="D20" s="224">
        <f t="shared" si="3"/>
        <v>0.19900497512437812</v>
      </c>
      <c r="E20" s="224">
        <f t="shared" si="3"/>
        <v>0.20087336244541484</v>
      </c>
      <c r="F20" s="224">
        <f t="shared" si="3"/>
        <v>0.20038167938931298</v>
      </c>
      <c r="G20" s="224">
        <f t="shared" si="3"/>
        <v>0.2003577817531306</v>
      </c>
      <c r="H20" s="224">
        <f t="shared" si="3"/>
        <v>0.19930675909878684</v>
      </c>
      <c r="I20" s="224">
        <f t="shared" si="3"/>
        <v>0.20034246575342465</v>
      </c>
    </row>
    <row r="21" spans="2:9" ht="21">
      <c r="B21" s="225" t="s">
        <v>584</v>
      </c>
      <c r="C21" s="13"/>
      <c r="D21" s="224">
        <f aca="true" t="shared" si="4" ref="D21:I21">(D19-C19)/C19</f>
        <v>0.14285714285714285</v>
      </c>
      <c r="E21" s="224">
        <f t="shared" si="4"/>
        <v>0.15</v>
      </c>
      <c r="F21" s="224">
        <f t="shared" si="4"/>
        <v>0.14130434782608695</v>
      </c>
      <c r="G21" s="224">
        <f t="shared" si="4"/>
        <v>0.06666666666666667</v>
      </c>
      <c r="H21" s="224">
        <f t="shared" si="4"/>
        <v>0.026785714285714284</v>
      </c>
      <c r="I21" s="224">
        <f t="shared" si="4"/>
        <v>0.017391304347826087</v>
      </c>
    </row>
    <row r="22" spans="1:9" ht="12.75">
      <c r="A22" s="204" t="s">
        <v>1203</v>
      </c>
      <c r="B22" t="s">
        <v>257</v>
      </c>
      <c r="C22">
        <v>100</v>
      </c>
      <c r="D22">
        <v>50</v>
      </c>
      <c r="E22">
        <v>0</v>
      </c>
      <c r="F22">
        <v>-50</v>
      </c>
      <c r="G22">
        <v>-50</v>
      </c>
      <c r="H22">
        <v>0</v>
      </c>
      <c r="I22">
        <v>50</v>
      </c>
    </row>
    <row r="23" spans="2:9" ht="12.75">
      <c r="B23" t="s">
        <v>253</v>
      </c>
      <c r="C23">
        <v>5</v>
      </c>
      <c r="D23">
        <v>5</v>
      </c>
      <c r="E23">
        <v>5</v>
      </c>
      <c r="F23">
        <v>5</v>
      </c>
      <c r="G23">
        <v>5</v>
      </c>
      <c r="H23">
        <v>5</v>
      </c>
      <c r="I23">
        <v>6</v>
      </c>
    </row>
    <row r="24" spans="2:9" ht="12.75">
      <c r="B24" s="225" t="s">
        <v>291</v>
      </c>
      <c r="C24" s="224">
        <f aca="true" t="shared" si="5" ref="C24:I24">C23/C22</f>
        <v>0.05</v>
      </c>
      <c r="D24" s="224">
        <f t="shared" si="5"/>
        <v>0.1</v>
      </c>
      <c r="E24" s="224" t="e">
        <f t="shared" si="5"/>
        <v>#DIV/0!</v>
      </c>
      <c r="F24" s="224">
        <f t="shared" si="5"/>
        <v>-0.1</v>
      </c>
      <c r="G24" s="224">
        <f t="shared" si="5"/>
        <v>-0.1</v>
      </c>
      <c r="H24" s="224" t="e">
        <f t="shared" si="5"/>
        <v>#DIV/0!</v>
      </c>
      <c r="I24" s="224">
        <f t="shared" si="5"/>
        <v>0.12</v>
      </c>
    </row>
    <row r="25" spans="2:9" ht="21">
      <c r="B25" s="225" t="s">
        <v>584</v>
      </c>
      <c r="C25" s="13"/>
      <c r="D25" s="224">
        <f aca="true" t="shared" si="6" ref="D25:I25">(D23-C23)/C23</f>
        <v>0</v>
      </c>
      <c r="E25" s="224">
        <f t="shared" si="6"/>
        <v>0</v>
      </c>
      <c r="F25" s="224">
        <f t="shared" si="6"/>
        <v>0</v>
      </c>
      <c r="G25" s="224">
        <f t="shared" si="6"/>
        <v>0</v>
      </c>
      <c r="H25" s="224">
        <f t="shared" si="6"/>
        <v>0</v>
      </c>
      <c r="I25" s="224">
        <f t="shared" si="6"/>
        <v>0.2</v>
      </c>
    </row>
    <row r="26" spans="1:9" ht="12.75">
      <c r="A26" s="204" t="s">
        <v>1204</v>
      </c>
      <c r="B26" t="s">
        <v>257</v>
      </c>
      <c r="C26">
        <v>500</v>
      </c>
      <c r="D26">
        <v>520</v>
      </c>
      <c r="E26">
        <v>550</v>
      </c>
      <c r="F26">
        <v>600</v>
      </c>
      <c r="G26">
        <v>500</v>
      </c>
      <c r="H26">
        <v>400</v>
      </c>
      <c r="I26">
        <v>300</v>
      </c>
    </row>
    <row r="27" spans="2:9" ht="12.75">
      <c r="B27" t="s">
        <v>253</v>
      </c>
      <c r="C27">
        <v>100</v>
      </c>
      <c r="D27">
        <v>80</v>
      </c>
      <c r="E27">
        <v>70</v>
      </c>
      <c r="F27">
        <v>100</v>
      </c>
      <c r="G27">
        <v>120</v>
      </c>
      <c r="H27">
        <v>150</v>
      </c>
      <c r="I27">
        <v>200</v>
      </c>
    </row>
    <row r="28" spans="2:9" ht="12.75">
      <c r="B28" s="225" t="s">
        <v>291</v>
      </c>
      <c r="C28" s="224">
        <f aca="true" t="shared" si="7" ref="C28:I28">C27/C26</f>
        <v>0.2</v>
      </c>
      <c r="D28" s="224">
        <f t="shared" si="7"/>
        <v>0.15384615384615385</v>
      </c>
      <c r="E28" s="224">
        <f t="shared" si="7"/>
        <v>0.12727272727272726</v>
      </c>
      <c r="F28" s="224">
        <f t="shared" si="7"/>
        <v>0.16666666666666666</v>
      </c>
      <c r="G28" s="224">
        <f t="shared" si="7"/>
        <v>0.24</v>
      </c>
      <c r="H28" s="224">
        <f t="shared" si="7"/>
        <v>0.375</v>
      </c>
      <c r="I28" s="224">
        <f t="shared" si="7"/>
        <v>0.6666666666666666</v>
      </c>
    </row>
    <row r="29" spans="2:9" ht="21">
      <c r="B29" s="225" t="s">
        <v>584</v>
      </c>
      <c r="C29" s="13"/>
      <c r="D29" s="224">
        <f aca="true" t="shared" si="8" ref="D29:I29">(D27-C27)/C27</f>
        <v>-0.2</v>
      </c>
      <c r="E29" s="224">
        <f t="shared" si="8"/>
        <v>-0.125</v>
      </c>
      <c r="F29" s="224">
        <f t="shared" si="8"/>
        <v>0.42857142857142855</v>
      </c>
      <c r="G29" s="224">
        <f t="shared" si="8"/>
        <v>0.2</v>
      </c>
      <c r="H29" s="224">
        <f t="shared" si="8"/>
        <v>0.25</v>
      </c>
      <c r="I29" s="224">
        <f t="shared" si="8"/>
        <v>0.3333333333333333</v>
      </c>
    </row>
    <row r="31" ht="14.25">
      <c r="A31" s="41" t="s">
        <v>1543</v>
      </c>
    </row>
    <row r="32" spans="1:4" ht="14.25">
      <c r="A32" s="41"/>
      <c r="B32" s="118" t="s">
        <v>672</v>
      </c>
      <c r="C32" s="118" t="s">
        <v>674</v>
      </c>
      <c r="D32" s="118" t="s">
        <v>675</v>
      </c>
    </row>
    <row r="33" spans="1:22" ht="12.75">
      <c r="A33" s="236" t="s">
        <v>320</v>
      </c>
      <c r="B33" s="239">
        <v>100000000</v>
      </c>
      <c r="C33" s="239">
        <f aca="true" t="shared" si="9" ref="C33:D36">B33</f>
        <v>100000000</v>
      </c>
      <c r="D33" s="239">
        <f t="shared" si="9"/>
        <v>100000000</v>
      </c>
      <c r="E33" s="236"/>
      <c r="F33" s="236"/>
      <c r="G33" s="236"/>
      <c r="H33" s="236"/>
      <c r="I33" s="236"/>
      <c r="J33" s="236"/>
      <c r="K33" s="236"/>
      <c r="L33" s="236"/>
      <c r="M33" s="236"/>
      <c r="N33" s="236"/>
      <c r="O33" s="236"/>
      <c r="P33" s="236"/>
      <c r="Q33" s="236"/>
      <c r="R33" s="236"/>
      <c r="S33" s="236"/>
      <c r="T33" s="236"/>
      <c r="U33" s="236"/>
      <c r="V33" s="236"/>
    </row>
    <row r="34" spans="1:4" ht="12.75">
      <c r="A34" t="s">
        <v>666</v>
      </c>
      <c r="B34" s="239">
        <v>1000000</v>
      </c>
      <c r="C34" s="239">
        <f t="shared" si="9"/>
        <v>1000000</v>
      </c>
      <c r="D34" s="239">
        <f t="shared" si="9"/>
        <v>1000000</v>
      </c>
    </row>
    <row r="35" spans="1:4" ht="12.75">
      <c r="A35" t="s">
        <v>667</v>
      </c>
      <c r="B35" s="239">
        <v>1000</v>
      </c>
      <c r="C35" s="239">
        <f t="shared" si="9"/>
        <v>1000</v>
      </c>
      <c r="D35" s="239">
        <f t="shared" si="9"/>
        <v>1000</v>
      </c>
    </row>
    <row r="36" spans="1:4" ht="12.75">
      <c r="A36" t="s">
        <v>668</v>
      </c>
      <c r="B36" s="239">
        <v>1200000000</v>
      </c>
      <c r="C36" s="239">
        <f t="shared" si="9"/>
        <v>1200000000</v>
      </c>
      <c r="D36" s="239">
        <f t="shared" si="9"/>
        <v>1200000000</v>
      </c>
    </row>
    <row r="37" ht="12.75">
      <c r="A37"/>
    </row>
    <row r="38" ht="12.75">
      <c r="A38" t="s">
        <v>669</v>
      </c>
    </row>
    <row r="39" spans="1:4" ht="12.75">
      <c r="A39" t="s">
        <v>666</v>
      </c>
      <c r="B39" s="239"/>
      <c r="C39" s="239">
        <f>C34/4</f>
        <v>250000</v>
      </c>
      <c r="D39" s="239">
        <f>C39</f>
        <v>250000</v>
      </c>
    </row>
    <row r="40" spans="1:4" ht="12.75">
      <c r="A40" t="s">
        <v>670</v>
      </c>
      <c r="B40" s="239"/>
      <c r="C40" s="239">
        <v>500</v>
      </c>
      <c r="D40" s="239">
        <v>1500</v>
      </c>
    </row>
    <row r="41" spans="1:4" ht="12.75">
      <c r="A41" t="s">
        <v>673</v>
      </c>
      <c r="B41" s="99"/>
      <c r="C41" s="99">
        <v>0.05</v>
      </c>
      <c r="D41" s="99">
        <f>C41</f>
        <v>0.05</v>
      </c>
    </row>
    <row r="42" ht="12.75">
      <c r="A42"/>
    </row>
    <row r="43" spans="1:4" ht="12.75">
      <c r="A43" s="1" t="s">
        <v>257</v>
      </c>
      <c r="B43" s="240">
        <f>(B33-B40*B39*B41)/(B34-B39)</f>
        <v>100</v>
      </c>
      <c r="C43" s="240">
        <f>(C33-C40*C39*C41)/(C34-C39)</f>
        <v>125</v>
      </c>
      <c r="D43" s="240">
        <f>(D33-D40*D39*D41)/(D34-D39)</f>
        <v>108.33333333333333</v>
      </c>
    </row>
    <row r="44" spans="1:4" ht="12.75">
      <c r="A44"/>
      <c r="B44" s="240"/>
      <c r="C44" s="241">
        <f>(C43-$B43)/$B43</f>
        <v>0.25</v>
      </c>
      <c r="D44" s="241">
        <f>(D43-$B43)/$B43</f>
        <v>0.08333333333333329</v>
      </c>
    </row>
    <row r="45" spans="1:4" ht="12.75">
      <c r="A45" s="1" t="s">
        <v>671</v>
      </c>
      <c r="B45" s="240">
        <f>(B36-B39*B40)/(B34-B39)</f>
        <v>1200</v>
      </c>
      <c r="C45" s="240">
        <f>(C36-C39*C40)/(C34-C39)</f>
        <v>1433.3333333333333</v>
      </c>
      <c r="D45" s="240">
        <f>(D36-D39*D40)/(D34-D39)</f>
        <v>1100</v>
      </c>
    </row>
    <row r="46" spans="1:4" ht="12.75">
      <c r="A46"/>
      <c r="C46" s="241">
        <f>(C45-$B45)/$B45</f>
        <v>0.1944444444444444</v>
      </c>
      <c r="D46" s="241">
        <f>(D45-$B45)/$B45</f>
        <v>-0.08333333333333333</v>
      </c>
    </row>
    <row r="47" ht="12.75">
      <c r="A47"/>
    </row>
    <row r="48" ht="14.25">
      <c r="A48" s="41" t="s">
        <v>1544</v>
      </c>
    </row>
    <row r="49" spans="1:7" ht="25.5">
      <c r="A49"/>
      <c r="B49" s="242" t="s">
        <v>512</v>
      </c>
      <c r="C49" s="242" t="s">
        <v>320</v>
      </c>
      <c r="D49" s="242" t="s">
        <v>682</v>
      </c>
      <c r="E49" s="242" t="s">
        <v>926</v>
      </c>
      <c r="F49" s="242" t="s">
        <v>936</v>
      </c>
      <c r="G49" s="242" t="s">
        <v>559</v>
      </c>
    </row>
    <row r="50" spans="1:7" ht="12.75">
      <c r="A50">
        <v>1997</v>
      </c>
      <c r="B50">
        <v>170</v>
      </c>
      <c r="C50">
        <v>8</v>
      </c>
      <c r="D50">
        <v>9</v>
      </c>
      <c r="E50">
        <v>50</v>
      </c>
      <c r="F50">
        <v>60</v>
      </c>
      <c r="G50">
        <v>55</v>
      </c>
    </row>
    <row r="51" spans="1:7" ht="12.75">
      <c r="A51">
        <f>A50+1</f>
        <v>1998</v>
      </c>
      <c r="B51">
        <v>130</v>
      </c>
      <c r="C51">
        <v>10</v>
      </c>
      <c r="D51">
        <v>10</v>
      </c>
      <c r="E51">
        <v>60</v>
      </c>
      <c r="F51">
        <v>70</v>
      </c>
      <c r="G51">
        <v>90</v>
      </c>
    </row>
    <row r="52" spans="1:7" ht="12.75">
      <c r="A52">
        <f>A51+1</f>
        <v>1999</v>
      </c>
      <c r="B52">
        <v>170</v>
      </c>
      <c r="C52">
        <v>11</v>
      </c>
      <c r="D52">
        <v>10</v>
      </c>
      <c r="E52">
        <v>71</v>
      </c>
      <c r="F52">
        <v>75</v>
      </c>
      <c r="G52">
        <v>152</v>
      </c>
    </row>
    <row r="53" spans="1:7" ht="12.75">
      <c r="A53">
        <f>A52+1</f>
        <v>2000</v>
      </c>
      <c r="B53">
        <v>220</v>
      </c>
      <c r="C53">
        <v>13</v>
      </c>
      <c r="D53">
        <v>9</v>
      </c>
      <c r="E53">
        <v>84</v>
      </c>
      <c r="F53">
        <v>76</v>
      </c>
      <c r="G53">
        <v>195</v>
      </c>
    </row>
    <row r="54" spans="1:7" ht="12.75">
      <c r="A54">
        <f>A53+1</f>
        <v>2001</v>
      </c>
      <c r="B54">
        <v>230</v>
      </c>
      <c r="C54">
        <v>13</v>
      </c>
      <c r="D54">
        <v>7</v>
      </c>
      <c r="E54">
        <v>97</v>
      </c>
      <c r="F54">
        <v>70</v>
      </c>
      <c r="G54">
        <v>210</v>
      </c>
    </row>
    <row r="55" spans="1:7" ht="12.75">
      <c r="A55">
        <f>A54+1</f>
        <v>2002</v>
      </c>
      <c r="B55">
        <v>240</v>
      </c>
      <c r="C55">
        <v>13</v>
      </c>
      <c r="D55">
        <v>6</v>
      </c>
      <c r="E55">
        <v>110</v>
      </c>
      <c r="F55">
        <v>65</v>
      </c>
      <c r="G55">
        <v>200</v>
      </c>
    </row>
    <row r="56" ht="12.75">
      <c r="A56"/>
    </row>
    <row r="57" spans="1:2" ht="12.75">
      <c r="A57" t="s">
        <v>666</v>
      </c>
      <c r="B57" s="239">
        <v>1000000</v>
      </c>
    </row>
    <row r="58" spans="1:2" ht="12.75">
      <c r="A58" t="s">
        <v>683</v>
      </c>
      <c r="B58" s="47">
        <v>0.33</v>
      </c>
    </row>
    <row r="59" ht="12.75">
      <c r="A59"/>
    </row>
    <row r="60" spans="1:3" ht="12.75">
      <c r="A60" t="s">
        <v>1194</v>
      </c>
      <c r="B60" s="4" t="s">
        <v>1340</v>
      </c>
      <c r="C60" s="4" t="s">
        <v>1372</v>
      </c>
    </row>
    <row r="61" spans="1:3" ht="12.75">
      <c r="A61">
        <f aca="true" t="shared" si="10" ref="A61:A66">A50</f>
        <v>1997</v>
      </c>
      <c r="B61" s="79">
        <f aca="true" t="shared" si="11" ref="B61:B66">(C50+D50*(1-B$58))/(E50+F50)</f>
        <v>0.12754545454545455</v>
      </c>
      <c r="C61" s="79">
        <f aca="true" t="shared" si="12" ref="C61:C66">C50/E50</f>
        <v>0.16</v>
      </c>
    </row>
    <row r="62" spans="1:3" ht="12.75">
      <c r="A62">
        <f t="shared" si="10"/>
        <v>1998</v>
      </c>
      <c r="B62" s="79">
        <f t="shared" si="11"/>
        <v>0.12846153846153846</v>
      </c>
      <c r="C62" s="79">
        <f t="shared" si="12"/>
        <v>0.16666666666666666</v>
      </c>
    </row>
    <row r="63" spans="1:3" ht="12.75">
      <c r="A63">
        <f t="shared" si="10"/>
        <v>1999</v>
      </c>
      <c r="B63" s="79">
        <f t="shared" si="11"/>
        <v>0.12123287671232877</v>
      </c>
      <c r="C63" s="79">
        <f t="shared" si="12"/>
        <v>0.15492957746478872</v>
      </c>
    </row>
    <row r="64" spans="1:3" ht="12.75">
      <c r="A64">
        <f t="shared" si="10"/>
        <v>2000</v>
      </c>
      <c r="B64" s="79">
        <f t="shared" si="11"/>
        <v>0.1189375</v>
      </c>
      <c r="C64" s="79">
        <f t="shared" si="12"/>
        <v>0.15476190476190477</v>
      </c>
    </row>
    <row r="65" spans="1:3" ht="12.75">
      <c r="A65">
        <f t="shared" si="10"/>
        <v>2001</v>
      </c>
      <c r="B65" s="79">
        <f t="shared" si="11"/>
        <v>0.10592814371257483</v>
      </c>
      <c r="C65" s="79">
        <f t="shared" si="12"/>
        <v>0.13402061855670103</v>
      </c>
    </row>
    <row r="66" spans="1:3" ht="12.75">
      <c r="A66">
        <f t="shared" si="10"/>
        <v>2002</v>
      </c>
      <c r="B66" s="79">
        <f t="shared" si="11"/>
        <v>0.09725714285714286</v>
      </c>
      <c r="C66" s="79">
        <f t="shared" si="12"/>
        <v>0.11818181818181818</v>
      </c>
    </row>
    <row r="67" ht="12.75">
      <c r="A67"/>
    </row>
    <row r="68" ht="12.75">
      <c r="A68" t="s">
        <v>1195</v>
      </c>
    </row>
    <row r="69" spans="1:2" ht="12.75">
      <c r="A69"/>
      <c r="B69" t="s">
        <v>1545</v>
      </c>
    </row>
    <row r="70" spans="1:2" ht="12.75">
      <c r="A70" s="3">
        <f>A62</f>
        <v>1998</v>
      </c>
      <c r="B70" s="47">
        <f>(C51-C50)/(E51-E50)</f>
        <v>0.2</v>
      </c>
    </row>
    <row r="71" spans="1:2" ht="12.75">
      <c r="A71" s="3">
        <f>A63</f>
        <v>1999</v>
      </c>
      <c r="B71" s="47">
        <f>(C52-C51)/(E52-E51)</f>
        <v>0.09090909090909091</v>
      </c>
    </row>
    <row r="72" spans="1:2" ht="12.75">
      <c r="A72" s="3">
        <f>A64</f>
        <v>2000</v>
      </c>
      <c r="B72" s="47">
        <f>(C53-C52)/(E53-E52)</f>
        <v>0.15384615384615385</v>
      </c>
    </row>
    <row r="73" spans="1:2" ht="12.75">
      <c r="A73" s="3">
        <f>A65</f>
        <v>2001</v>
      </c>
      <c r="B73" s="47">
        <f>(C54-C53)/(E54-E53)</f>
        <v>0</v>
      </c>
    </row>
    <row r="74" spans="1:2" ht="12.75">
      <c r="A74" s="3">
        <f>A66</f>
        <v>2002</v>
      </c>
      <c r="B74" s="47">
        <f>(C55-C54)/(E55-E54)</f>
        <v>0</v>
      </c>
    </row>
    <row r="75" ht="12.75">
      <c r="A75" s="3"/>
    </row>
    <row r="76" ht="12.75">
      <c r="A76" s="30" t="s">
        <v>1546</v>
      </c>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8.xml><?xml version="1.0" encoding="utf-8"?>
<worksheet xmlns="http://schemas.openxmlformats.org/spreadsheetml/2006/main" xmlns:r="http://schemas.openxmlformats.org/officeDocument/2006/relationships">
  <sheetPr codeName="Feuil37">
    <pageSetUpPr fitToPage="1"/>
  </sheetPr>
  <dimension ref="A1:F104"/>
  <sheetViews>
    <sheetView showGridLines="0" zoomScale="75" zoomScaleNormal="75" workbookViewId="0" topLeftCell="A1">
      <selection activeCell="A1" sqref="A1"/>
    </sheetView>
  </sheetViews>
  <sheetFormatPr defaultColWidth="11.00390625" defaultRowHeight="12.75"/>
  <cols>
    <col min="1" max="1" width="16.375" style="203" customWidth="1"/>
    <col min="3" max="3" width="14.375" style="0" bestFit="1" customWidth="1"/>
    <col min="4" max="4" width="15.50390625" style="0" bestFit="1" customWidth="1"/>
    <col min="5" max="5" width="12.00390625" style="0" bestFit="1" customWidth="1"/>
  </cols>
  <sheetData>
    <row r="1" spans="1:3" ht="21">
      <c r="A1" s="20" t="s">
        <v>968</v>
      </c>
      <c r="B1" s="76" t="s">
        <v>614</v>
      </c>
      <c r="C1" s="76" t="s">
        <v>615</v>
      </c>
    </row>
    <row r="2" spans="1:4" ht="12.75">
      <c r="A2" s="204" t="s">
        <v>341</v>
      </c>
      <c r="B2" s="23">
        <v>100</v>
      </c>
      <c r="C2" s="23">
        <f>C7/B7*B2</f>
        <v>200</v>
      </c>
      <c r="D2" t="s">
        <v>426</v>
      </c>
    </row>
    <row r="3" spans="1:4" ht="12.75">
      <c r="A3" s="204" t="s">
        <v>585</v>
      </c>
      <c r="B3">
        <v>1</v>
      </c>
      <c r="C3">
        <f>B3</f>
        <v>1</v>
      </c>
      <c r="D3" t="s">
        <v>943</v>
      </c>
    </row>
    <row r="5" spans="1:4" ht="12.75">
      <c r="A5" s="204" t="s">
        <v>586</v>
      </c>
      <c r="B5" s="23">
        <v>25</v>
      </c>
      <c r="C5" s="23">
        <f>B5</f>
        <v>25</v>
      </c>
      <c r="D5" t="s">
        <v>426</v>
      </c>
    </row>
    <row r="6" spans="1:4" ht="12.75">
      <c r="A6" s="204" t="s">
        <v>621</v>
      </c>
      <c r="B6" s="47">
        <v>0.25</v>
      </c>
      <c r="C6" s="99">
        <f>B7/C7*B6</f>
        <v>0.125</v>
      </c>
      <c r="D6" t="s">
        <v>341</v>
      </c>
    </row>
    <row r="7" spans="1:4" ht="25.5">
      <c r="A7" s="204" t="s">
        <v>587</v>
      </c>
      <c r="B7" s="23">
        <v>75</v>
      </c>
      <c r="C7" s="23">
        <v>150</v>
      </c>
      <c r="D7" t="s">
        <v>200</v>
      </c>
    </row>
    <row r="8" spans="1:3" ht="25.5">
      <c r="A8" s="204" t="s">
        <v>620</v>
      </c>
      <c r="B8" s="23">
        <f>B3*B7/B5</f>
        <v>3</v>
      </c>
      <c r="C8" s="23">
        <f>C3*C7/C5</f>
        <v>6</v>
      </c>
    </row>
    <row r="10" spans="1:4" ht="12.75">
      <c r="A10" s="208" t="s">
        <v>588</v>
      </c>
      <c r="B10" s="40">
        <f>(B2/B3-B7)/(1+B8)</f>
        <v>6.25</v>
      </c>
      <c r="C10" s="40">
        <f>(C2/C3-C7)/(1+C8)</f>
        <v>7.142857142857143</v>
      </c>
      <c r="D10" s="1" t="s">
        <v>200</v>
      </c>
    </row>
    <row r="12" ht="12.75">
      <c r="A12" s="179" t="s">
        <v>528</v>
      </c>
    </row>
    <row r="13" spans="1:3" ht="12.75">
      <c r="A13" s="208" t="s">
        <v>589</v>
      </c>
      <c r="B13" s="130">
        <f>(B6/B7)/(B3/B2+B6/B7)</f>
        <v>0.25</v>
      </c>
      <c r="C13" s="130">
        <f>(C6/C7)/(C3/C2+C6/C7)</f>
        <v>0.14285714285714285</v>
      </c>
    </row>
    <row r="14" spans="1:3" ht="12.75">
      <c r="A14" s="208" t="s">
        <v>590</v>
      </c>
      <c r="B14" s="130">
        <f>B6/(1+B6)</f>
        <v>0.2</v>
      </c>
      <c r="C14" s="130">
        <f>C6/(1+C6)</f>
        <v>0.1111111111111111</v>
      </c>
    </row>
    <row r="15" spans="1:3" ht="12.75">
      <c r="A15" s="208" t="s">
        <v>591</v>
      </c>
      <c r="B15" s="159">
        <f>B13-B14</f>
        <v>0.04999999999999999</v>
      </c>
      <c r="C15" s="159">
        <f>C13-C14</f>
        <v>0.031746031746031744</v>
      </c>
    </row>
    <row r="17" spans="1:3" ht="25.5">
      <c r="A17" s="208" t="s">
        <v>592</v>
      </c>
      <c r="B17" s="368">
        <f>(B2+B5)/((B3+B5/B7)*B2/B3)</f>
        <v>0.9375000000000001</v>
      </c>
      <c r="C17" s="368">
        <f>(C2+C5)/((C3+C5/C7)*C2/C3)</f>
        <v>0.9642857142857143</v>
      </c>
    </row>
    <row r="19" spans="1:3" ht="25.5">
      <c r="A19" s="204" t="s">
        <v>593</v>
      </c>
      <c r="B19" s="23">
        <f>B8</f>
        <v>3</v>
      </c>
      <c r="C19" s="23">
        <f>C8</f>
        <v>6</v>
      </c>
    </row>
    <row r="21" ht="12.75">
      <c r="A21" s="179" t="s">
        <v>594</v>
      </c>
    </row>
    <row r="22" spans="1:3" ht="12.75">
      <c r="A22" s="204" t="s">
        <v>585</v>
      </c>
      <c r="B22">
        <v>90</v>
      </c>
      <c r="C22">
        <v>90</v>
      </c>
    </row>
    <row r="24" spans="1:3" ht="25.5">
      <c r="A24" s="204" t="s">
        <v>596</v>
      </c>
      <c r="B24">
        <v>72</v>
      </c>
      <c r="C24">
        <v>72</v>
      </c>
    </row>
    <row r="25" spans="1:4" ht="25.5">
      <c r="A25" s="204" t="s">
        <v>595</v>
      </c>
      <c r="B25" s="50">
        <f>B24*B10</f>
        <v>450</v>
      </c>
      <c r="C25" s="50">
        <f>C24*C10</f>
        <v>514.2857142857143</v>
      </c>
      <c r="D25" t="s">
        <v>200</v>
      </c>
    </row>
    <row r="26" spans="1:4" ht="38.25">
      <c r="A26" s="204" t="s">
        <v>597</v>
      </c>
      <c r="B26" s="50">
        <f>B7*(B22-B24)/B8</f>
        <v>450</v>
      </c>
      <c r="C26" s="50">
        <f>C7*(C22-C24)/C8</f>
        <v>450</v>
      </c>
      <c r="D26" t="s">
        <v>200</v>
      </c>
    </row>
    <row r="27" spans="1:4" ht="12.75">
      <c r="A27" s="204" t="s">
        <v>598</v>
      </c>
      <c r="B27" s="50">
        <f>B25-B26</f>
        <v>0</v>
      </c>
      <c r="C27" s="50">
        <f>C25-C26</f>
        <v>64.28571428571433</v>
      </c>
      <c r="D27" t="s">
        <v>200</v>
      </c>
    </row>
    <row r="28" spans="1:4" ht="38.25">
      <c r="A28" s="208" t="s">
        <v>600</v>
      </c>
      <c r="B28" s="1">
        <f>B26/B7</f>
        <v>6</v>
      </c>
      <c r="C28" s="1">
        <f>C26/C7</f>
        <v>3</v>
      </c>
      <c r="D28" s="1" t="s">
        <v>601</v>
      </c>
    </row>
    <row r="30" ht="12.75">
      <c r="A30" s="179" t="s">
        <v>602</v>
      </c>
    </row>
    <row r="31" spans="1:3" ht="12.75">
      <c r="A31" s="204" t="s">
        <v>1548</v>
      </c>
      <c r="B31" s="125">
        <f>B22/B3/1000000</f>
        <v>9E-05</v>
      </c>
      <c r="C31" s="125">
        <f>C22/C3/1000000</f>
        <v>9E-05</v>
      </c>
    </row>
    <row r="33" spans="1:4" ht="25.5">
      <c r="A33" s="208" t="s">
        <v>1547</v>
      </c>
      <c r="B33" s="150">
        <f>B31*(1-B14)</f>
        <v>7.2E-05</v>
      </c>
      <c r="C33" s="150">
        <f>C31*(1-C14)</f>
        <v>8E-05</v>
      </c>
      <c r="D33" s="227"/>
    </row>
    <row r="34" spans="1:4" ht="12.75">
      <c r="A34" s="208"/>
      <c r="B34" s="150">
        <f>(B22+B28)/(B3*1000000*(1+1/B19))</f>
        <v>7.2E-05</v>
      </c>
      <c r="C34" s="150">
        <f>(C22+C28)/(C3*1000000*(1+1/C19))</f>
        <v>7.97142857142857E-05</v>
      </c>
      <c r="D34" s="227"/>
    </row>
    <row r="36" ht="12.75">
      <c r="A36" s="179" t="s">
        <v>603</v>
      </c>
    </row>
    <row r="38" spans="1:3" ht="38.25">
      <c r="A38" s="204" t="s">
        <v>1550</v>
      </c>
      <c r="B38" s="47">
        <v>0.12</v>
      </c>
      <c r="C38" s="47">
        <v>0.12</v>
      </c>
    </row>
    <row r="39" spans="1:4" ht="25.5">
      <c r="A39" s="204" t="s">
        <v>604</v>
      </c>
      <c r="B39" s="50">
        <f>B6*B2</f>
        <v>25</v>
      </c>
      <c r="C39" s="50">
        <f>C6*C2</f>
        <v>25</v>
      </c>
      <c r="D39" t="s">
        <v>426</v>
      </c>
    </row>
    <row r="40" spans="1:3" ht="25.5">
      <c r="A40" s="204" t="s">
        <v>605</v>
      </c>
      <c r="B40" s="47">
        <f>B38</f>
        <v>0.12</v>
      </c>
      <c r="C40" s="47">
        <f>C38</f>
        <v>0.12</v>
      </c>
    </row>
    <row r="41" spans="1:3" ht="25.5">
      <c r="A41" s="204" t="s">
        <v>599</v>
      </c>
      <c r="B41">
        <f>B39*B40/B7*1000000</f>
        <v>40000</v>
      </c>
      <c r="C41">
        <f>C39*C40/C7*1000000</f>
        <v>20000</v>
      </c>
    </row>
    <row r="43" spans="1:3" ht="38.25">
      <c r="A43" s="208" t="s">
        <v>1549</v>
      </c>
      <c r="B43" s="226">
        <f>(B38*B3*1000000+B41)/(B3*1000000+B39*1000000/B7)</f>
        <v>0.12000000000000001</v>
      </c>
      <c r="C43" s="226">
        <f>(C38*C3*1000000+C41)/(C3*1000000+C39*1000000/C7)</f>
        <v>0.12</v>
      </c>
    </row>
    <row r="45" ht="12.75">
      <c r="A45" s="180" t="s">
        <v>606</v>
      </c>
    </row>
    <row r="46" spans="1:4" ht="12.75">
      <c r="A46" s="204" t="s">
        <v>607</v>
      </c>
      <c r="B46" s="50">
        <v>10</v>
      </c>
      <c r="C46" s="50">
        <v>10</v>
      </c>
      <c r="D46" t="s">
        <v>200</v>
      </c>
    </row>
    <row r="47" spans="1:4" ht="12.75">
      <c r="A47" s="208" t="s">
        <v>606</v>
      </c>
      <c r="B47" s="40">
        <f>B46*(1-B13)</f>
        <v>7.5</v>
      </c>
      <c r="C47" s="40">
        <f>C46*(1-C13)</f>
        <v>8.571428571428573</v>
      </c>
      <c r="D47" s="1" t="s">
        <v>200</v>
      </c>
    </row>
    <row r="49" ht="12.75">
      <c r="A49" s="180" t="s">
        <v>608</v>
      </c>
    </row>
    <row r="50" spans="1:4" ht="12.75">
      <c r="A50" s="204" t="s">
        <v>609</v>
      </c>
      <c r="B50" s="50">
        <v>80</v>
      </c>
      <c r="C50" s="50">
        <v>80</v>
      </c>
      <c r="D50" t="s">
        <v>426</v>
      </c>
    </row>
    <row r="51" spans="1:4" ht="12.75">
      <c r="A51" s="204" t="s">
        <v>610</v>
      </c>
      <c r="B51" s="50">
        <f>B50+B39</f>
        <v>105</v>
      </c>
      <c r="C51" s="50">
        <f>C50+C39</f>
        <v>105</v>
      </c>
      <c r="D51" t="s">
        <v>426</v>
      </c>
    </row>
    <row r="52" spans="1:3" ht="12.75">
      <c r="A52" s="208" t="s">
        <v>611</v>
      </c>
      <c r="B52" s="106">
        <f>(B51-B50)/B50</f>
        <v>0.3125</v>
      </c>
      <c r="C52" s="106">
        <f>(C51-C50)/C50</f>
        <v>0.3125</v>
      </c>
    </row>
    <row r="54" spans="1:4" ht="12.75">
      <c r="A54" s="208" t="s">
        <v>612</v>
      </c>
      <c r="B54" s="40">
        <f>B50/B3</f>
        <v>80</v>
      </c>
      <c r="C54" s="40">
        <f>C50/C3</f>
        <v>80</v>
      </c>
      <c r="D54" t="s">
        <v>200</v>
      </c>
    </row>
    <row r="55" spans="1:4" ht="12.75">
      <c r="A55" s="208" t="s">
        <v>613</v>
      </c>
      <c r="B55" s="40">
        <f>B51/(B3+B2*B6/B7)</f>
        <v>78.75</v>
      </c>
      <c r="C55" s="40">
        <f>C51/(C3+C2*C6/C7)</f>
        <v>90</v>
      </c>
      <c r="D55" t="s">
        <v>200</v>
      </c>
    </row>
    <row r="58" ht="14.25">
      <c r="A58" s="41" t="s">
        <v>742</v>
      </c>
    </row>
    <row r="59" spans="1:5" ht="12.75">
      <c r="A59" s="228" t="s">
        <v>1551</v>
      </c>
      <c r="B59" s="53">
        <v>2002</v>
      </c>
      <c r="C59" s="53">
        <v>2003</v>
      </c>
      <c r="D59" s="53" t="s">
        <v>743</v>
      </c>
      <c r="E59" s="53"/>
    </row>
    <row r="60" spans="1:5" ht="12.75">
      <c r="A60" s="204" t="s">
        <v>512</v>
      </c>
      <c r="B60" s="23">
        <v>34.5</v>
      </c>
      <c r="C60" s="23">
        <v>39.5</v>
      </c>
      <c r="D60" s="23">
        <v>16.7</v>
      </c>
      <c r="E60" s="23"/>
    </row>
    <row r="61" spans="1:5" ht="12.75">
      <c r="A61" s="204" t="s">
        <v>1198</v>
      </c>
      <c r="B61" s="23">
        <v>4.3</v>
      </c>
      <c r="C61" s="23">
        <v>5.7</v>
      </c>
      <c r="D61" s="23">
        <v>1.2</v>
      </c>
      <c r="E61" s="23"/>
    </row>
    <row r="62" spans="1:5" ht="12.75">
      <c r="A62" s="204" t="s">
        <v>616</v>
      </c>
      <c r="B62" s="23">
        <v>1.9</v>
      </c>
      <c r="C62" s="23">
        <v>3.5</v>
      </c>
      <c r="D62" s="23">
        <v>0.5</v>
      </c>
      <c r="E62" s="23"/>
    </row>
    <row r="63" spans="1:5" ht="12.75">
      <c r="A63" s="204" t="s">
        <v>1552</v>
      </c>
      <c r="B63" s="23">
        <v>0.5</v>
      </c>
      <c r="C63" s="23">
        <v>0.6</v>
      </c>
      <c r="D63" s="23">
        <v>0</v>
      </c>
      <c r="E63" s="23"/>
    </row>
    <row r="64" spans="1:5" ht="12.75">
      <c r="A64" s="238" t="s">
        <v>744</v>
      </c>
      <c r="B64" s="23">
        <v>0.4</v>
      </c>
      <c r="C64" s="23">
        <v>0.4</v>
      </c>
      <c r="D64" s="23">
        <v>1.1</v>
      </c>
      <c r="E64" s="23"/>
    </row>
    <row r="65" spans="1:5" ht="12.75">
      <c r="A65" s="204" t="s">
        <v>369</v>
      </c>
      <c r="B65" s="23">
        <v>-0.2</v>
      </c>
      <c r="C65" s="23">
        <v>0.6</v>
      </c>
      <c r="D65" s="23">
        <v>-0.1</v>
      </c>
      <c r="E65" s="23"/>
    </row>
    <row r="66" spans="1:5" ht="12.75">
      <c r="A66" s="204"/>
      <c r="B66" s="25">
        <f>-B65/(B67-B65)</f>
        <v>0.14285714285714288</v>
      </c>
      <c r="C66" s="25">
        <f>-C65/(C67-C65)</f>
        <v>-0.4999999999999999</v>
      </c>
      <c r="D66" s="25">
        <f>-D65/(D67-D65)</f>
        <v>0.05263157894736842</v>
      </c>
      <c r="E66" s="23"/>
    </row>
    <row r="67" spans="1:5" ht="12.75">
      <c r="A67" s="204" t="s">
        <v>617</v>
      </c>
      <c r="B67" s="23">
        <v>1.2</v>
      </c>
      <c r="C67" s="23">
        <v>1.8</v>
      </c>
      <c r="D67" s="23">
        <v>1.8</v>
      </c>
      <c r="E67" s="23"/>
    </row>
    <row r="68" spans="2:5" ht="12.75">
      <c r="B68" s="23"/>
      <c r="C68" s="23"/>
      <c r="D68" s="23"/>
      <c r="E68" s="64"/>
    </row>
    <row r="69" spans="1:5" ht="12.75">
      <c r="A69" s="228" t="s">
        <v>937</v>
      </c>
      <c r="B69" s="53">
        <v>2003</v>
      </c>
      <c r="C69" s="53" t="s">
        <v>743</v>
      </c>
      <c r="D69" s="64"/>
      <c r="E69" s="64"/>
    </row>
    <row r="70" spans="1:5" ht="12.75">
      <c r="A70" s="204" t="s">
        <v>1553</v>
      </c>
      <c r="B70" s="23">
        <v>4.6</v>
      </c>
      <c r="C70" s="23">
        <v>5.5</v>
      </c>
      <c r="D70" s="64"/>
      <c r="E70" s="64"/>
    </row>
    <row r="71" spans="1:5" ht="12.75">
      <c r="A71" s="204" t="s">
        <v>1554</v>
      </c>
      <c r="B71" s="23">
        <v>0.7</v>
      </c>
      <c r="C71" s="23">
        <v>0.8</v>
      </c>
      <c r="D71" s="64"/>
      <c r="E71" s="64"/>
    </row>
    <row r="72" spans="1:5" ht="12.75">
      <c r="A72" s="204" t="s">
        <v>1555</v>
      </c>
      <c r="B72" s="23">
        <v>0</v>
      </c>
      <c r="C72" s="23">
        <v>0.2</v>
      </c>
      <c r="D72" s="64"/>
      <c r="E72" s="23"/>
    </row>
    <row r="73" spans="1:5" ht="12.75">
      <c r="A73" s="204" t="s">
        <v>1556</v>
      </c>
      <c r="B73" s="23">
        <v>20.2</v>
      </c>
      <c r="C73" s="23">
        <v>19.1</v>
      </c>
      <c r="D73" s="64"/>
      <c r="E73" s="23"/>
    </row>
    <row r="74" spans="1:5" ht="12.75">
      <c r="A74" s="204" t="s">
        <v>618</v>
      </c>
      <c r="B74" s="23">
        <v>2.7</v>
      </c>
      <c r="C74" s="23">
        <v>3.5</v>
      </c>
      <c r="D74" s="64"/>
      <c r="E74" s="23"/>
    </row>
    <row r="75" spans="2:5" ht="12.75">
      <c r="B75" s="23"/>
      <c r="C75" s="23"/>
      <c r="D75" s="23"/>
      <c r="E75" s="23"/>
    </row>
    <row r="76" spans="1:5" ht="12.75">
      <c r="A76" s="228" t="s">
        <v>945</v>
      </c>
      <c r="B76" s="53">
        <v>2003</v>
      </c>
      <c r="C76" s="53" t="s">
        <v>743</v>
      </c>
      <c r="D76" s="64"/>
      <c r="E76" s="64"/>
    </row>
    <row r="77" spans="1:5" ht="12.75">
      <c r="A77" s="204" t="s">
        <v>540</v>
      </c>
      <c r="B77" s="23">
        <v>10.4</v>
      </c>
      <c r="C77" s="23">
        <v>12.6</v>
      </c>
      <c r="D77" s="64"/>
      <c r="E77" s="64"/>
    </row>
    <row r="78" spans="1:5" ht="12.75">
      <c r="A78" s="204" t="s">
        <v>1204</v>
      </c>
      <c r="B78" s="23">
        <v>7.8</v>
      </c>
      <c r="C78" s="23">
        <v>6.9</v>
      </c>
      <c r="D78" s="64"/>
      <c r="E78" s="64"/>
    </row>
    <row r="79" spans="1:5" ht="12.75">
      <c r="A79" s="204" t="s">
        <v>928</v>
      </c>
      <c r="B79" s="23">
        <v>10</v>
      </c>
      <c r="C79" s="23">
        <v>9.6</v>
      </c>
      <c r="D79" s="64"/>
      <c r="E79" s="64"/>
    </row>
    <row r="80" spans="1:5" ht="12.75">
      <c r="A80" s="204"/>
      <c r="B80" s="23"/>
      <c r="C80" s="23"/>
      <c r="D80" s="64"/>
      <c r="E80" s="64"/>
    </row>
    <row r="81" spans="1:5" ht="12.75">
      <c r="A81" s="204" t="s">
        <v>225</v>
      </c>
      <c r="B81" s="23">
        <v>15.9</v>
      </c>
      <c r="C81" s="23"/>
      <c r="D81" s="64"/>
      <c r="E81" s="64"/>
    </row>
    <row r="82" spans="1:5" ht="12.75">
      <c r="A82" s="204" t="s">
        <v>1562</v>
      </c>
      <c r="B82" s="23">
        <v>16.6</v>
      </c>
      <c r="C82" s="23"/>
      <c r="D82" s="64"/>
      <c r="E82" s="64"/>
    </row>
    <row r="83" spans="1:5" ht="25.5">
      <c r="A83" s="204" t="s">
        <v>620</v>
      </c>
      <c r="B83" s="23">
        <v>7</v>
      </c>
      <c r="C83" s="23"/>
      <c r="D83" s="64"/>
      <c r="E83" s="64"/>
    </row>
    <row r="84" spans="1:5" ht="12.75">
      <c r="A84" s="204"/>
      <c r="B84" s="23"/>
      <c r="C84" s="23"/>
      <c r="D84" s="64"/>
      <c r="E84" s="64"/>
    </row>
    <row r="85" spans="1:5" ht="12.75">
      <c r="A85" s="204"/>
      <c r="B85" s="23"/>
      <c r="C85" s="23"/>
      <c r="D85" s="64"/>
      <c r="E85" s="64"/>
    </row>
    <row r="86" spans="1:5" ht="12.75">
      <c r="A86" s="204" t="s">
        <v>1194</v>
      </c>
      <c r="B86" s="23"/>
      <c r="C86" s="23"/>
      <c r="D86" s="64"/>
      <c r="E86" s="64"/>
    </row>
    <row r="87" spans="1:5" ht="12.75">
      <c r="A87" s="238" t="s">
        <v>745</v>
      </c>
      <c r="B87" s="23"/>
      <c r="C87" s="23"/>
      <c r="D87" s="64"/>
      <c r="E87" s="64"/>
    </row>
    <row r="88" spans="1:5" ht="12.75">
      <c r="A88" s="238" t="s">
        <v>746</v>
      </c>
      <c r="B88" s="23"/>
      <c r="C88" s="23"/>
      <c r="D88" s="64"/>
      <c r="E88" s="64"/>
    </row>
    <row r="89" spans="1:5" ht="12.75">
      <c r="A89" s="238" t="s">
        <v>747</v>
      </c>
      <c r="B89" s="23"/>
      <c r="C89" s="23"/>
      <c r="D89" s="64"/>
      <c r="E89" s="64"/>
    </row>
    <row r="90" spans="1:5" ht="12.75">
      <c r="A90" s="204" t="s">
        <v>748</v>
      </c>
      <c r="B90" s="23"/>
      <c r="C90" s="23"/>
      <c r="D90" s="64"/>
      <c r="E90" s="64"/>
    </row>
    <row r="91" spans="1:5" ht="12.75">
      <c r="A91" s="238" t="s">
        <v>749</v>
      </c>
      <c r="B91" s="23"/>
      <c r="C91" s="23"/>
      <c r="D91" s="64"/>
      <c r="E91" s="64"/>
    </row>
    <row r="92" spans="1:5" ht="12.75">
      <c r="A92" s="204"/>
      <c r="B92" s="23"/>
      <c r="C92" s="23"/>
      <c r="D92" s="64"/>
      <c r="E92" s="64"/>
    </row>
    <row r="93" ht="12.75">
      <c r="A93" s="204" t="s">
        <v>1195</v>
      </c>
    </row>
    <row r="94" spans="1:3" ht="12.75">
      <c r="A94" s="238" t="s">
        <v>1558</v>
      </c>
      <c r="C94" s="23">
        <f>C77</f>
        <v>12.6</v>
      </c>
    </row>
    <row r="95" spans="1:3" ht="12.75">
      <c r="A95" s="204" t="s">
        <v>1560</v>
      </c>
      <c r="C95" s="23">
        <f>C94+C96</f>
        <v>16.9</v>
      </c>
    </row>
    <row r="96" spans="1:3" ht="12.75">
      <c r="A96" s="238" t="s">
        <v>405</v>
      </c>
      <c r="C96" s="23">
        <v>4.3</v>
      </c>
    </row>
    <row r="97" spans="1:3" ht="25.5">
      <c r="A97" s="204" t="s">
        <v>1559</v>
      </c>
      <c r="C97" s="23">
        <f>1.879674*16.6</f>
        <v>31.202588400000003</v>
      </c>
    </row>
    <row r="98" spans="1:3" ht="12.75">
      <c r="A98" s="204"/>
      <c r="C98" s="23"/>
    </row>
    <row r="99" ht="12.75">
      <c r="A99" s="204" t="s">
        <v>1405</v>
      </c>
    </row>
    <row r="100" spans="1:3" ht="12.75">
      <c r="A100" s="204" t="s">
        <v>1561</v>
      </c>
      <c r="C100" s="47">
        <f>C96/(C97+C96)</f>
        <v>0.12111792953101977</v>
      </c>
    </row>
    <row r="101" ht="12.75">
      <c r="A101" s="204"/>
    </row>
    <row r="102" ht="12.75">
      <c r="A102" s="204" t="s">
        <v>1407</v>
      </c>
    </row>
    <row r="103" spans="1:6" ht="12.75">
      <c r="A103" s="204" t="s">
        <v>1442</v>
      </c>
      <c r="C103" s="6">
        <f>(B82-B81)/(1+B83)</f>
        <v>0.08750000000000013</v>
      </c>
      <c r="D103" s="55"/>
      <c r="E103" s="55"/>
      <c r="F103" s="55"/>
    </row>
    <row r="104" spans="3:6" ht="12.75">
      <c r="C104" s="55"/>
      <c r="D104" s="55"/>
      <c r="E104" s="55"/>
      <c r="F104" s="55"/>
    </row>
  </sheetData>
  <printOptions/>
  <pageMargins left="0.7874015748031497" right="0.7874015748031497" top="0.984251968503937" bottom="0.984251968503937" header="0.5118110236220472" footer="0.5118110236220472"/>
  <pageSetup fitToHeight="6"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39.xml><?xml version="1.0" encoding="utf-8"?>
<worksheet xmlns="http://schemas.openxmlformats.org/spreadsheetml/2006/main" xmlns:r="http://schemas.openxmlformats.org/officeDocument/2006/relationships">
  <sheetPr codeName="Feuil40"/>
  <dimension ref="A1:H67"/>
  <sheetViews>
    <sheetView showGridLines="0" zoomScale="75" zoomScaleNormal="75" workbookViewId="0" topLeftCell="A1">
      <selection activeCell="A1" sqref="A1"/>
    </sheetView>
  </sheetViews>
  <sheetFormatPr defaultColWidth="11.00390625" defaultRowHeight="12.75"/>
  <cols>
    <col min="1" max="1" width="26.00390625" style="0" bestFit="1" customWidth="1"/>
  </cols>
  <sheetData>
    <row r="1" ht="14.25">
      <c r="A1" s="41" t="s">
        <v>175</v>
      </c>
    </row>
    <row r="2" s="236" customFormat="1" ht="11.25"/>
    <row r="3" spans="1:8" ht="12.75">
      <c r="A3" t="s">
        <v>280</v>
      </c>
      <c r="B3" s="357">
        <v>120</v>
      </c>
      <c r="C3" s="357">
        <v>120</v>
      </c>
      <c r="D3" s="357" t="s">
        <v>281</v>
      </c>
      <c r="E3" s="357"/>
      <c r="F3" s="357"/>
      <c r="G3" s="357"/>
      <c r="H3" s="357"/>
    </row>
    <row r="5" spans="1:3" ht="12.75">
      <c r="A5" t="s">
        <v>653</v>
      </c>
      <c r="B5">
        <v>21</v>
      </c>
      <c r="C5">
        <v>14</v>
      </c>
    </row>
    <row r="6" spans="1:3" ht="12.75">
      <c r="A6" t="s">
        <v>259</v>
      </c>
      <c r="B6" s="436">
        <v>30</v>
      </c>
      <c r="C6" s="436"/>
    </row>
    <row r="7" spans="1:3" ht="12.75">
      <c r="A7" t="s">
        <v>687</v>
      </c>
      <c r="B7">
        <f>+B5*B6</f>
        <v>630</v>
      </c>
      <c r="C7">
        <f>+C5*B6</f>
        <v>420</v>
      </c>
    </row>
    <row r="8" spans="1:3" ht="12.75">
      <c r="A8" t="s">
        <v>702</v>
      </c>
      <c r="B8">
        <v>5</v>
      </c>
      <c r="C8">
        <v>5</v>
      </c>
    </row>
    <row r="10" spans="1:3" ht="12.75">
      <c r="A10" t="s">
        <v>54</v>
      </c>
      <c r="B10" s="47">
        <v>0.25</v>
      </c>
      <c r="C10" s="47">
        <v>0.25</v>
      </c>
    </row>
    <row r="12" spans="1:3" ht="12.75">
      <c r="A12" s="1" t="s">
        <v>58</v>
      </c>
      <c r="B12" s="140">
        <f>-B3+(B7)*POWER(1+B10,-B8)</f>
        <v>86.43840000000003</v>
      </c>
      <c r="C12" s="140">
        <f>-C3+(C7)*POWER(1+C10,-C8)</f>
        <v>17.62560000000002</v>
      </c>
    </row>
    <row r="15" ht="14.25">
      <c r="A15" s="41" t="s">
        <v>268</v>
      </c>
    </row>
    <row r="16" spans="1:7" ht="12.75">
      <c r="A16" t="s">
        <v>105</v>
      </c>
      <c r="B16" s="142">
        <v>1</v>
      </c>
      <c r="C16" s="142">
        <v>2</v>
      </c>
      <c r="D16" s="142">
        <v>3</v>
      </c>
      <c r="E16" s="142">
        <v>4</v>
      </c>
      <c r="F16" s="142">
        <v>5</v>
      </c>
      <c r="G16" s="142"/>
    </row>
    <row r="17" spans="1:6" ht="12.75">
      <c r="A17" t="s">
        <v>512</v>
      </c>
      <c r="B17">
        <v>3960</v>
      </c>
      <c r="C17">
        <v>4080</v>
      </c>
      <c r="D17">
        <v>4200</v>
      </c>
      <c r="E17">
        <v>4326</v>
      </c>
      <c r="F17">
        <v>4458</v>
      </c>
    </row>
    <row r="18" spans="1:6" ht="12.75">
      <c r="A18" t="s">
        <v>703</v>
      </c>
      <c r="B18">
        <v>1782</v>
      </c>
      <c r="C18">
        <v>1794</v>
      </c>
      <c r="D18">
        <v>1806</v>
      </c>
      <c r="E18">
        <v>1860</v>
      </c>
      <c r="F18">
        <v>1917</v>
      </c>
    </row>
    <row r="19" spans="1:6" ht="12.75">
      <c r="A19" t="s">
        <v>715</v>
      </c>
      <c r="B19">
        <v>870</v>
      </c>
      <c r="C19">
        <v>897</v>
      </c>
      <c r="D19">
        <v>924</v>
      </c>
      <c r="E19">
        <v>996</v>
      </c>
      <c r="F19">
        <v>1026</v>
      </c>
    </row>
    <row r="20" spans="1:6" ht="12.75">
      <c r="A20" t="s">
        <v>908</v>
      </c>
      <c r="B20">
        <v>396</v>
      </c>
      <c r="C20">
        <v>408</v>
      </c>
      <c r="D20">
        <v>420</v>
      </c>
      <c r="E20">
        <v>432</v>
      </c>
      <c r="F20">
        <v>447</v>
      </c>
    </row>
    <row r="21" spans="1:6" ht="12.75">
      <c r="A21" t="s">
        <v>1198</v>
      </c>
      <c r="B21">
        <v>912</v>
      </c>
      <c r="C21">
        <v>981</v>
      </c>
      <c r="D21">
        <v>1050</v>
      </c>
      <c r="E21">
        <v>1038</v>
      </c>
      <c r="F21">
        <v>1068</v>
      </c>
    </row>
    <row r="22" spans="1:6" ht="12.75">
      <c r="A22" t="s">
        <v>730</v>
      </c>
      <c r="B22">
        <v>330</v>
      </c>
      <c r="C22">
        <v>315</v>
      </c>
      <c r="D22">
        <v>300</v>
      </c>
      <c r="E22">
        <v>300</v>
      </c>
      <c r="F22">
        <v>300</v>
      </c>
    </row>
    <row r="23" spans="1:6" ht="12.75">
      <c r="A23" t="s">
        <v>766</v>
      </c>
      <c r="B23">
        <f>B21-B22</f>
        <v>582</v>
      </c>
      <c r="C23">
        <f>C21-C22</f>
        <v>666</v>
      </c>
      <c r="D23">
        <f>D21-D22</f>
        <v>750</v>
      </c>
      <c r="E23">
        <f>E21-E22</f>
        <v>738</v>
      </c>
      <c r="F23">
        <f>F21-F22</f>
        <v>768</v>
      </c>
    </row>
    <row r="25" spans="1:6" ht="12.75">
      <c r="A25" t="s">
        <v>1390</v>
      </c>
      <c r="B25">
        <v>300</v>
      </c>
      <c r="C25">
        <v>300</v>
      </c>
      <c r="D25">
        <v>300</v>
      </c>
      <c r="E25">
        <v>300</v>
      </c>
      <c r="F25">
        <v>300</v>
      </c>
    </row>
    <row r="26" spans="1:3" ht="12.75">
      <c r="A26" s="15" t="s">
        <v>1327</v>
      </c>
      <c r="B26">
        <v>50</v>
      </c>
      <c r="C26">
        <v>50</v>
      </c>
    </row>
    <row r="27" ht="12.75">
      <c r="A27" s="15"/>
    </row>
    <row r="28" ht="12.75">
      <c r="A28" s="15" t="s">
        <v>1238</v>
      </c>
    </row>
    <row r="29" spans="1:2" ht="12.75">
      <c r="A29" s="15" t="s">
        <v>540</v>
      </c>
      <c r="B29" s="47">
        <f>2/3</f>
        <v>0.6666666666666666</v>
      </c>
    </row>
    <row r="30" spans="1:2" ht="12.75">
      <c r="A30" s="15" t="s">
        <v>1204</v>
      </c>
      <c r="B30" s="47">
        <f>1-B29</f>
        <v>0.33333333333333337</v>
      </c>
    </row>
    <row r="31" spans="1:6" ht="12.75">
      <c r="A31" t="s">
        <v>335</v>
      </c>
      <c r="B31" s="47">
        <v>0.1</v>
      </c>
      <c r="C31" s="47"/>
      <c r="D31" s="47"/>
      <c r="E31" s="47"/>
      <c r="F31" s="47"/>
    </row>
    <row r="32" spans="1:6" ht="12.75">
      <c r="A32" t="s">
        <v>337</v>
      </c>
      <c r="B32" s="47">
        <v>0.06</v>
      </c>
      <c r="C32" s="47"/>
      <c r="D32" s="47"/>
      <c r="E32" s="47"/>
      <c r="F32" s="47"/>
    </row>
    <row r="33" spans="1:6" ht="12.75">
      <c r="A33" t="s">
        <v>338</v>
      </c>
      <c r="B33" s="95">
        <f>B31*B29+B32*(1-B35)*B30</f>
        <v>0.07926666666666667</v>
      </c>
      <c r="C33" s="95"/>
      <c r="D33" s="95"/>
      <c r="E33" s="95"/>
      <c r="F33" s="95"/>
    </row>
    <row r="35" spans="1:6" ht="12.75">
      <c r="A35" t="s">
        <v>654</v>
      </c>
      <c r="B35" s="47">
        <v>0.37</v>
      </c>
      <c r="C35" s="47"/>
      <c r="D35" s="47"/>
      <c r="E35" s="47"/>
      <c r="F35" s="47"/>
    </row>
    <row r="36" spans="1:2" ht="12.75">
      <c r="A36" t="s">
        <v>1239</v>
      </c>
      <c r="B36" s="47">
        <v>0.02</v>
      </c>
    </row>
    <row r="37" ht="12.75">
      <c r="B37" s="47"/>
    </row>
    <row r="38" spans="2:7" ht="12.75">
      <c r="B38" s="142">
        <v>1</v>
      </c>
      <c r="C38" s="142">
        <v>2</v>
      </c>
      <c r="D38" s="142">
        <v>3</v>
      </c>
      <c r="E38" s="142">
        <v>4</v>
      </c>
      <c r="F38" s="142">
        <v>5</v>
      </c>
      <c r="G38" s="142" t="s">
        <v>1248</v>
      </c>
    </row>
    <row r="39" spans="2:6" ht="12.75">
      <c r="B39" s="95"/>
      <c r="C39" s="95"/>
      <c r="D39" s="95"/>
      <c r="E39" s="95"/>
      <c r="F39" s="95"/>
    </row>
    <row r="40" spans="1:6" ht="12.75">
      <c r="A40" t="s">
        <v>1198</v>
      </c>
      <c r="B40" s="87">
        <f>B21</f>
        <v>912</v>
      </c>
      <c r="C40" s="87">
        <f>C21</f>
        <v>981</v>
      </c>
      <c r="D40" s="87">
        <f>D21</f>
        <v>1050</v>
      </c>
      <c r="E40" s="87">
        <f>E21</f>
        <v>1038</v>
      </c>
      <c r="F40" s="87">
        <f>F21</f>
        <v>1068</v>
      </c>
    </row>
    <row r="41" spans="1:6" ht="12.75">
      <c r="A41" s="30" t="s">
        <v>1237</v>
      </c>
      <c r="B41" s="87">
        <f>$B$35*B23</f>
        <v>215.34</v>
      </c>
      <c r="C41" s="87">
        <f>$B$35*C23</f>
        <v>246.42</v>
      </c>
      <c r="D41" s="87">
        <f>$B$35*D23</f>
        <v>277.5</v>
      </c>
      <c r="E41" s="87">
        <f>$B$35*E23</f>
        <v>273.06</v>
      </c>
      <c r="F41" s="87">
        <f>$B$35*F23</f>
        <v>284.15999999999997</v>
      </c>
    </row>
    <row r="42" spans="1:6" ht="12.75">
      <c r="A42" s="30" t="s">
        <v>458</v>
      </c>
      <c r="B42" s="87">
        <f aca="true" t="shared" si="0" ref="B42:F43">B25</f>
        <v>300</v>
      </c>
      <c r="C42" s="87">
        <f t="shared" si="0"/>
        <v>300</v>
      </c>
      <c r="D42" s="87">
        <f t="shared" si="0"/>
        <v>300</v>
      </c>
      <c r="E42" s="87">
        <f t="shared" si="0"/>
        <v>300</v>
      </c>
      <c r="F42" s="87">
        <f t="shared" si="0"/>
        <v>300</v>
      </c>
    </row>
    <row r="43" spans="1:6" ht="12.75">
      <c r="A43" s="248" t="s">
        <v>681</v>
      </c>
      <c r="B43" s="87">
        <f t="shared" si="0"/>
        <v>50</v>
      </c>
      <c r="C43" s="87">
        <f t="shared" si="0"/>
        <v>50</v>
      </c>
      <c r="D43" s="87">
        <f t="shared" si="0"/>
        <v>0</v>
      </c>
      <c r="E43" s="87">
        <f t="shared" si="0"/>
        <v>0</v>
      </c>
      <c r="F43" s="87">
        <f t="shared" si="0"/>
        <v>0</v>
      </c>
    </row>
    <row r="44" spans="2:7" ht="12.75">
      <c r="B44" s="33"/>
      <c r="C44" s="33"/>
      <c r="D44" s="33"/>
      <c r="E44" s="33"/>
      <c r="F44" s="33"/>
      <c r="G44" s="33"/>
    </row>
    <row r="45" spans="1:7" ht="12.75">
      <c r="A45" t="s">
        <v>1351</v>
      </c>
      <c r="B45" s="120">
        <f>B40-B41-B42-B43</f>
        <v>346.65999999999997</v>
      </c>
      <c r="C45" s="120">
        <f>C40-C41-C42-C43</f>
        <v>384.58000000000004</v>
      </c>
      <c r="D45" s="120">
        <f>D40-D41-D42-D43</f>
        <v>472.5</v>
      </c>
      <c r="E45" s="120">
        <f>E40-E41-E42-E43</f>
        <v>464.94000000000005</v>
      </c>
      <c r="F45" s="120">
        <f>F40-F41-F42-F43</f>
        <v>483.84000000000003</v>
      </c>
      <c r="G45" s="120">
        <f>F45*(1+B36)</f>
        <v>493.51680000000005</v>
      </c>
    </row>
    <row r="46" spans="1:7" ht="12.75">
      <c r="A46" t="s">
        <v>1240</v>
      </c>
      <c r="B46" s="87"/>
      <c r="C46" s="87"/>
      <c r="D46" s="87"/>
      <c r="E46" s="87"/>
      <c r="F46" s="120">
        <f>G45/(B33-B36)</f>
        <v>8327.055118110238</v>
      </c>
      <c r="G46" s="87"/>
    </row>
    <row r="47" spans="2:7" ht="12.75">
      <c r="B47" s="87"/>
      <c r="C47" s="87"/>
      <c r="D47" s="87"/>
      <c r="E47" s="87"/>
      <c r="F47" s="87"/>
      <c r="G47" s="87"/>
    </row>
    <row r="48" spans="1:7" ht="12.75">
      <c r="A48" t="s">
        <v>47</v>
      </c>
      <c r="B48" s="87"/>
      <c r="C48" s="87"/>
      <c r="D48" s="87"/>
      <c r="E48" s="87"/>
      <c r="F48" s="87"/>
      <c r="G48" s="87"/>
    </row>
    <row r="49" spans="1:6" ht="12.75">
      <c r="A49" s="30" t="s">
        <v>1243</v>
      </c>
      <c r="B49" s="120">
        <f>B45*POWER(1+$B$33,-B38)</f>
        <v>321.1995799617024</v>
      </c>
      <c r="C49" s="120">
        <f>C45*POWER(1+$B$33,-C38)</f>
        <v>330.16358158315376</v>
      </c>
      <c r="D49" s="120">
        <f>D45*POWER(1+$B$33,-D38)</f>
        <v>375.8508362066096</v>
      </c>
      <c r="E49" s="120">
        <f>E45*POWER(1+$B$33,-E38)</f>
        <v>342.6745532404446</v>
      </c>
      <c r="F49" s="120">
        <f>F45*POWER(1+$B$33,-F38)</f>
        <v>330.4136263465324</v>
      </c>
    </row>
    <row r="50" spans="1:6" ht="12.75">
      <c r="A50" s="30" t="s">
        <v>1244</v>
      </c>
      <c r="B50" s="120">
        <f>F46*POWER(1+B33,-F38)</f>
        <v>5686.533726773843</v>
      </c>
      <c r="C50" s="87"/>
      <c r="D50" s="87"/>
      <c r="E50" s="87"/>
      <c r="F50" s="87"/>
    </row>
    <row r="51" spans="2:6" ht="12.75">
      <c r="B51" s="120"/>
      <c r="C51" s="87"/>
      <c r="D51" s="87"/>
      <c r="E51" s="87"/>
      <c r="F51" s="87"/>
    </row>
    <row r="52" spans="1:3" ht="12.75">
      <c r="A52" s="1" t="s">
        <v>1518</v>
      </c>
      <c r="B52" s="358">
        <f>SUM(B49:F49)+B50</f>
        <v>7386.835904112286</v>
      </c>
      <c r="C52" t="s">
        <v>283</v>
      </c>
    </row>
    <row r="53" spans="1:2" ht="12.75">
      <c r="A53" t="s">
        <v>1241</v>
      </c>
      <c r="B53" s="120">
        <v>2250</v>
      </c>
    </row>
    <row r="54" spans="1:3" ht="12.75">
      <c r="A54" s="1" t="s">
        <v>1242</v>
      </c>
      <c r="B54" s="358">
        <f>B52-B53</f>
        <v>5136.835904112286</v>
      </c>
      <c r="C54" t="s">
        <v>284</v>
      </c>
    </row>
    <row r="56" ht="14.25">
      <c r="A56" s="41" t="s">
        <v>282</v>
      </c>
    </row>
    <row r="58" spans="1:2" ht="12.75">
      <c r="A58" t="s">
        <v>1245</v>
      </c>
      <c r="B58">
        <v>15</v>
      </c>
    </row>
    <row r="59" spans="1:2" ht="12.75">
      <c r="A59" t="s">
        <v>705</v>
      </c>
      <c r="B59">
        <v>25</v>
      </c>
    </row>
    <row r="61" spans="1:2" ht="12.75">
      <c r="A61" t="s">
        <v>176</v>
      </c>
      <c r="B61">
        <v>100</v>
      </c>
    </row>
    <row r="62" spans="1:2" ht="12.75">
      <c r="A62" t="s">
        <v>1246</v>
      </c>
      <c r="B62">
        <v>60</v>
      </c>
    </row>
    <row r="63" spans="1:2" ht="12.75">
      <c r="A63" t="s">
        <v>1247</v>
      </c>
      <c r="B63">
        <v>32</v>
      </c>
    </row>
    <row r="65" spans="1:2" ht="12.75">
      <c r="A65" s="1" t="s">
        <v>402</v>
      </c>
      <c r="B65" s="1">
        <f>B58*B62</f>
        <v>900</v>
      </c>
    </row>
    <row r="66" spans="1:2" ht="12.75">
      <c r="A66" s="1" t="s">
        <v>342</v>
      </c>
      <c r="B66" s="1">
        <f>B61</f>
        <v>100</v>
      </c>
    </row>
    <row r="67" spans="1:2" ht="12.75">
      <c r="A67" s="1" t="s">
        <v>341</v>
      </c>
      <c r="B67" s="1">
        <f>B59*B63</f>
        <v>800</v>
      </c>
    </row>
  </sheetData>
  <mergeCells count="1">
    <mergeCell ref="B6:C6"/>
  </mergeCells>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H39"/>
  <sheetViews>
    <sheetView showGridLines="0" zoomScale="75" zoomScaleNormal="75" workbookViewId="0" topLeftCell="A1">
      <selection activeCell="A1" sqref="A1"/>
    </sheetView>
  </sheetViews>
  <sheetFormatPr defaultColWidth="11.00390625" defaultRowHeight="12.75"/>
  <cols>
    <col min="1" max="1" width="52.625" style="0" bestFit="1" customWidth="1"/>
    <col min="2" max="4" width="11.875" style="0" customWidth="1"/>
    <col min="5" max="5" width="36.875" style="0" customWidth="1"/>
  </cols>
  <sheetData>
    <row r="1" ht="14.25">
      <c r="A1" s="41" t="s">
        <v>1161</v>
      </c>
    </row>
    <row r="2" spans="1:4" ht="12.75">
      <c r="A2" t="s">
        <v>1162</v>
      </c>
      <c r="B2" s="4" t="s">
        <v>901</v>
      </c>
      <c r="C2" s="4" t="s">
        <v>902</v>
      </c>
      <c r="D2" s="4" t="s">
        <v>903</v>
      </c>
    </row>
    <row r="3" spans="1:4" ht="12.75">
      <c r="A3" s="1" t="s">
        <v>806</v>
      </c>
      <c r="B3" s="40">
        <f>' Chapitre 3'!B80</f>
        <v>14.1</v>
      </c>
      <c r="C3" s="40">
        <f>' Chapitre 3'!C80</f>
        <v>16.5</v>
      </c>
      <c r="D3" s="40">
        <f>' Chapitre 3'!D80</f>
        <v>16.9</v>
      </c>
    </row>
    <row r="4" spans="1:4" ht="12.75">
      <c r="A4" s="30" t="s">
        <v>874</v>
      </c>
      <c r="B4" s="23">
        <f>' Chapitre 3'!B75</f>
        <v>6</v>
      </c>
      <c r="C4" s="23">
        <f>' Chapitre 3'!C75</f>
        <v>6</v>
      </c>
      <c r="D4" s="23">
        <f>' Chapitre 3'!D75</f>
        <v>6</v>
      </c>
    </row>
    <row r="5" spans="1:4" ht="12.75">
      <c r="A5" s="30" t="s">
        <v>875</v>
      </c>
      <c r="B5" s="23">
        <v>0</v>
      </c>
      <c r="C5" s="23">
        <v>0</v>
      </c>
      <c r="D5" s="23">
        <v>0</v>
      </c>
    </row>
    <row r="6" spans="1:4" ht="12.75">
      <c r="A6" s="1" t="s">
        <v>891</v>
      </c>
      <c r="B6" s="40">
        <f>B3+B4+B5</f>
        <v>20.1</v>
      </c>
      <c r="C6" s="40">
        <f>C3+C4+C5</f>
        <v>22.5</v>
      </c>
      <c r="D6" s="40">
        <f>D3+D4+D5</f>
        <v>22.9</v>
      </c>
    </row>
    <row r="7" spans="1:4" ht="12.75">
      <c r="A7" s="30" t="s">
        <v>876</v>
      </c>
      <c r="B7" s="23">
        <f>'Chapitre 4'!C9-'Chapitre 4'!B9</f>
        <v>36</v>
      </c>
      <c r="C7" s="23">
        <f>'Chapitre 4'!D9-'Chapitre 4'!C9</f>
        <v>0</v>
      </c>
      <c r="D7" s="23">
        <f>'Chapitre 4'!E9-'Chapitre 4'!D9</f>
        <v>0</v>
      </c>
    </row>
    <row r="8" spans="1:4" ht="12.75">
      <c r="A8" s="1" t="s">
        <v>895</v>
      </c>
      <c r="B8" s="40">
        <f>B6-B7</f>
        <v>-15.899999999999999</v>
      </c>
      <c r="C8" s="40">
        <f>C6-C7</f>
        <v>22.5</v>
      </c>
      <c r="D8" s="40">
        <f>D6-D7</f>
        <v>22.9</v>
      </c>
    </row>
    <row r="9" spans="1:4" ht="12.75">
      <c r="A9" s="30" t="s">
        <v>877</v>
      </c>
      <c r="B9" s="23">
        <f>-'Chapitre 2'!C34</f>
        <v>30</v>
      </c>
      <c r="C9" s="23">
        <f>'Chapitre 2'!D34</f>
        <v>0</v>
      </c>
      <c r="D9" s="23">
        <f>'Chapitre 2'!E34</f>
        <v>0</v>
      </c>
    </row>
    <row r="10" spans="1:4" ht="12.75">
      <c r="A10" s="30" t="s">
        <v>878</v>
      </c>
      <c r="B10" s="23">
        <v>0</v>
      </c>
      <c r="C10" s="23">
        <v>0</v>
      </c>
      <c r="D10" s="23">
        <v>0</v>
      </c>
    </row>
    <row r="11" spans="1:4" ht="12.75">
      <c r="A11" s="1" t="s">
        <v>894</v>
      </c>
      <c r="B11" s="40">
        <f>B8-B9+B10</f>
        <v>-45.9</v>
      </c>
      <c r="C11" s="40">
        <f>C8-C9+C10</f>
        <v>22.5</v>
      </c>
      <c r="D11" s="40">
        <f>D8-D9+D10</f>
        <v>22.9</v>
      </c>
    </row>
    <row r="12" spans="1:4" ht="12.75">
      <c r="A12" s="30" t="s">
        <v>879</v>
      </c>
      <c r="B12" s="23">
        <v>0</v>
      </c>
      <c r="C12" s="23">
        <v>0</v>
      </c>
      <c r="D12" s="23">
        <v>0</v>
      </c>
    </row>
    <row r="13" spans="1:4" ht="12.75">
      <c r="A13" s="30" t="s">
        <v>880</v>
      </c>
      <c r="B13" s="23">
        <f>'Chapitre 4'!B15</f>
        <v>0</v>
      </c>
      <c r="C13" s="23">
        <f>'Chapitre 4'!C15</f>
        <v>0</v>
      </c>
      <c r="D13" s="23">
        <f>'Chapitre 4'!D15</f>
        <v>0</v>
      </c>
    </row>
    <row r="14" spans="1:4" ht="12.75">
      <c r="A14" s="1" t="s">
        <v>873</v>
      </c>
      <c r="B14" s="40">
        <f>B3+B4+B5-B7-B9+B10+B12-B13</f>
        <v>-45.9</v>
      </c>
      <c r="C14" s="40">
        <f>C3+C4+C5-C7-C9+C12-C13</f>
        <v>22.5</v>
      </c>
      <c r="D14" s="40">
        <f>D3+D4+D5-D7-D9+D12-D13</f>
        <v>22.9</v>
      </c>
    </row>
    <row r="16" spans="1:4" ht="12.75">
      <c r="A16" s="30" t="s">
        <v>896</v>
      </c>
      <c r="B16" s="23">
        <f>-('Chapitre 4'!C16-'Chapitre 4'!B16)</f>
        <v>-16</v>
      </c>
      <c r="C16" s="23">
        <f>-('Chapitre 4'!D16-'Chapitre 4'!C16)</f>
        <v>4</v>
      </c>
      <c r="D16" s="23">
        <f>-('Chapitre 4'!E16-'Chapitre 4'!D16)</f>
        <v>4</v>
      </c>
    </row>
    <row r="17" spans="1:4" ht="12.75">
      <c r="A17" s="30" t="s">
        <v>897</v>
      </c>
      <c r="B17" s="23">
        <v>0</v>
      </c>
      <c r="C17" s="23">
        <v>0</v>
      </c>
      <c r="D17" s="23">
        <v>0</v>
      </c>
    </row>
    <row r="18" spans="1:4" ht="12.75">
      <c r="A18" s="30" t="s">
        <v>898</v>
      </c>
      <c r="B18" s="23">
        <v>0</v>
      </c>
      <c r="C18" s="23">
        <v>0</v>
      </c>
      <c r="D18" s="23">
        <v>0</v>
      </c>
    </row>
    <row r="19" spans="1:4" ht="12.75">
      <c r="A19" s="30" t="s">
        <v>899</v>
      </c>
      <c r="B19" s="23">
        <f>'Chapitre 4'!C18-'Chapitre 4'!B18</f>
        <v>-29.9</v>
      </c>
      <c r="C19" s="23">
        <f>'Chapitre 4'!D18-'Chapitre 4'!C18</f>
        <v>18.5</v>
      </c>
      <c r="D19" s="23">
        <f>'Chapitre 4'!E18-'Chapitre 4'!D18</f>
        <v>18.9</v>
      </c>
    </row>
    <row r="20" spans="1:4" ht="12.75">
      <c r="A20" s="1" t="s">
        <v>873</v>
      </c>
      <c r="B20" s="40">
        <f>B16-B17+B18+B19</f>
        <v>-45.9</v>
      </c>
      <c r="C20" s="40">
        <f>C16-C17+C18+C19</f>
        <v>22.5</v>
      </c>
      <c r="D20" s="40">
        <f>D16-D17+D18+D19</f>
        <v>22.9</v>
      </c>
    </row>
    <row r="24" ht="14.25">
      <c r="A24" s="41" t="s">
        <v>1054</v>
      </c>
    </row>
    <row r="26" spans="1:3" s="1" customFormat="1" ht="12.75">
      <c r="A26" s="102" t="s">
        <v>1162</v>
      </c>
      <c r="B26" s="74" t="s">
        <v>1063</v>
      </c>
      <c r="C26" s="74" t="s">
        <v>1064</v>
      </c>
    </row>
    <row r="27" spans="1:3" ht="12.75">
      <c r="A27" t="s">
        <v>806</v>
      </c>
      <c r="B27" s="385">
        <v>0.7</v>
      </c>
      <c r="C27" s="385">
        <v>0.6</v>
      </c>
    </row>
    <row r="28" spans="1:8" ht="12.75">
      <c r="A28" s="30" t="s">
        <v>874</v>
      </c>
      <c r="B28" s="385">
        <v>4.9</v>
      </c>
      <c r="C28" s="385">
        <v>4.8</v>
      </c>
      <c r="E28" s="1" t="s">
        <v>1068</v>
      </c>
      <c r="F28" s="118" t="s">
        <v>1066</v>
      </c>
      <c r="G28" s="118" t="s">
        <v>1063</v>
      </c>
      <c r="H28" s="118" t="s">
        <v>1064</v>
      </c>
    </row>
    <row r="29" spans="1:8" ht="12.75">
      <c r="A29" s="30" t="s">
        <v>1055</v>
      </c>
      <c r="B29" s="385"/>
      <c r="C29" s="385"/>
      <c r="E29" s="78" t="s">
        <v>714</v>
      </c>
      <c r="F29" s="78">
        <v>23.3</v>
      </c>
      <c r="G29" s="78">
        <v>24.2</v>
      </c>
      <c r="H29" s="78">
        <v>28.6</v>
      </c>
    </row>
    <row r="30" spans="1:8" ht="12.75">
      <c r="A30" s="30" t="s">
        <v>1574</v>
      </c>
      <c r="B30" s="385">
        <f>SUM(B27:B29)</f>
        <v>5.6000000000000005</v>
      </c>
      <c r="C30" s="385">
        <f>SUM(C27:C29)</f>
        <v>5.3999999999999995</v>
      </c>
      <c r="E30" t="s">
        <v>1573</v>
      </c>
      <c r="F30">
        <v>25.7</v>
      </c>
      <c r="G30">
        <v>31.5</v>
      </c>
      <c r="H30">
        <v>42.9</v>
      </c>
    </row>
    <row r="31" spans="1:8" ht="12.75">
      <c r="A31" s="30" t="s">
        <v>1056</v>
      </c>
      <c r="B31" s="385">
        <f>G35</f>
        <v>6.900000000000006</v>
      </c>
      <c r="C31" s="385">
        <f>H35</f>
        <v>11.099999999999994</v>
      </c>
      <c r="E31" t="s">
        <v>1024</v>
      </c>
      <c r="F31">
        <v>10.7</v>
      </c>
      <c r="G31">
        <v>9.5</v>
      </c>
      <c r="H31">
        <v>14.2</v>
      </c>
    </row>
    <row r="32" spans="1:8" ht="12.75">
      <c r="A32" s="244" t="s">
        <v>1057</v>
      </c>
      <c r="B32" s="386">
        <f>+B30-B31</f>
        <v>-1.3000000000000052</v>
      </c>
      <c r="C32" s="386">
        <f>+C30-C31</f>
        <v>-5.699999999999995</v>
      </c>
      <c r="E32" t="s">
        <v>969</v>
      </c>
      <c r="F32">
        <f>F29+F30-F31</f>
        <v>38.3</v>
      </c>
      <c r="G32">
        <f>G29+G30-G31</f>
        <v>46.2</v>
      </c>
      <c r="H32">
        <f>H29+H30-H31</f>
        <v>57.3</v>
      </c>
    </row>
    <row r="33" spans="1:8" ht="12.75">
      <c r="A33" t="s">
        <v>1058</v>
      </c>
      <c r="B33" s="385">
        <v>2.6</v>
      </c>
      <c r="C33" s="385">
        <v>3.1</v>
      </c>
      <c r="E33" t="s">
        <v>1188</v>
      </c>
      <c r="F33">
        <v>13</v>
      </c>
      <c r="G33">
        <v>12</v>
      </c>
      <c r="H33">
        <v>12</v>
      </c>
    </row>
    <row r="34" spans="1:8" ht="12.75">
      <c r="A34" s="30" t="s">
        <v>1059</v>
      </c>
      <c r="B34" s="385"/>
      <c r="C34" s="385"/>
      <c r="E34" t="s">
        <v>1067</v>
      </c>
      <c r="F34" t="s">
        <v>1397</v>
      </c>
      <c r="G34">
        <f>G33-F33</f>
        <v>-1</v>
      </c>
      <c r="H34">
        <f>H33-G33</f>
        <v>0</v>
      </c>
    </row>
    <row r="35" spans="1:8" ht="12.75">
      <c r="A35" s="30" t="s">
        <v>1060</v>
      </c>
      <c r="B35" s="385"/>
      <c r="C35" s="385"/>
      <c r="E35" t="s">
        <v>1065</v>
      </c>
      <c r="F35" t="s">
        <v>1397</v>
      </c>
      <c r="G35">
        <f>G32-F32+G34</f>
        <v>6.900000000000006</v>
      </c>
      <c r="H35">
        <f>H32-G32+H34</f>
        <v>11.099999999999994</v>
      </c>
    </row>
    <row r="36" spans="1:3" ht="12.75">
      <c r="A36" s="244" t="s">
        <v>1187</v>
      </c>
      <c r="B36" s="386">
        <f>+B33</f>
        <v>2.6</v>
      </c>
      <c r="C36" s="386">
        <f>+C33</f>
        <v>3.1</v>
      </c>
    </row>
    <row r="37" spans="1:3" ht="12.75">
      <c r="A37" t="s">
        <v>1061</v>
      </c>
      <c r="B37" s="385"/>
      <c r="C37" s="385"/>
    </row>
    <row r="38" spans="1:3" ht="12.75">
      <c r="A38" s="55" t="s">
        <v>1186</v>
      </c>
      <c r="B38" s="387">
        <v>0.6</v>
      </c>
      <c r="C38" s="387">
        <v>0.6</v>
      </c>
    </row>
    <row r="39" spans="1:3" ht="12.75">
      <c r="A39" s="33" t="s">
        <v>1062</v>
      </c>
      <c r="B39" s="386">
        <f>+B32-B33-B38</f>
        <v>-4.500000000000005</v>
      </c>
      <c r="C39" s="386">
        <f>+C32-C33-C38</f>
        <v>-9.399999999999995</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40.xml><?xml version="1.0" encoding="utf-8"?>
<worksheet xmlns="http://schemas.openxmlformats.org/spreadsheetml/2006/main" xmlns:r="http://schemas.openxmlformats.org/officeDocument/2006/relationships">
  <sheetPr codeName="Feuil41"/>
  <dimension ref="A1:D18"/>
  <sheetViews>
    <sheetView showGridLines="0" zoomScale="75" zoomScaleNormal="75" workbookViewId="0" topLeftCell="A1">
      <selection activeCell="A1" sqref="A1"/>
    </sheetView>
  </sheetViews>
  <sheetFormatPr defaultColWidth="11.00390625" defaultRowHeight="12.75"/>
  <cols>
    <col min="1" max="1" width="24.50390625" style="0" customWidth="1"/>
  </cols>
  <sheetData>
    <row r="1" ht="14.25">
      <c r="A1" s="20" t="s">
        <v>968</v>
      </c>
    </row>
    <row r="2" ht="14.25">
      <c r="A2" s="20"/>
    </row>
    <row r="3" ht="12.75">
      <c r="A3" s="370" t="s">
        <v>1254</v>
      </c>
    </row>
    <row r="4" spans="1:4" ht="12.75">
      <c r="A4" s="328"/>
      <c r="B4" s="142" t="s">
        <v>1256</v>
      </c>
      <c r="C4" s="33" t="s">
        <v>1249</v>
      </c>
      <c r="D4" s="33" t="s">
        <v>1252</v>
      </c>
    </row>
    <row r="5" spans="1:4" ht="12.75">
      <c r="A5" s="67" t="s">
        <v>1257</v>
      </c>
      <c r="B5" s="359">
        <f>1/3</f>
        <v>0.3333333333333333</v>
      </c>
      <c r="C5" s="327">
        <v>2</v>
      </c>
      <c r="D5" s="47">
        <f>B5*C5/(B5*C5+B6*C6)</f>
        <v>0.4999999999999999</v>
      </c>
    </row>
    <row r="6" spans="1:4" ht="12.75">
      <c r="A6" s="67" t="s">
        <v>1258</v>
      </c>
      <c r="B6" s="359">
        <f>1-B5</f>
        <v>0.6666666666666667</v>
      </c>
      <c r="C6" s="327">
        <v>1</v>
      </c>
      <c r="D6" s="47">
        <f>1-D5</f>
        <v>0.5000000000000001</v>
      </c>
    </row>
    <row r="7" spans="2:4" ht="12.75">
      <c r="B7" s="359"/>
      <c r="C7" s="327"/>
      <c r="D7" s="47"/>
    </row>
    <row r="8" ht="12.75">
      <c r="A8" s="30" t="s">
        <v>1250</v>
      </c>
    </row>
    <row r="9" ht="12.75">
      <c r="A9" s="30"/>
    </row>
    <row r="10" ht="12.75">
      <c r="A10" s="97" t="s">
        <v>1255</v>
      </c>
    </row>
    <row r="11" spans="1:4" ht="12.75">
      <c r="A11" s="328"/>
      <c r="B11" s="142" t="s">
        <v>1256</v>
      </c>
      <c r="C11" s="33" t="s">
        <v>1249</v>
      </c>
      <c r="D11" s="33" t="s">
        <v>1253</v>
      </c>
    </row>
    <row r="12" spans="1:4" ht="12.75">
      <c r="A12" s="67" t="s">
        <v>1257</v>
      </c>
      <c r="B12" s="359">
        <v>0.5</v>
      </c>
      <c r="C12" s="327">
        <v>2</v>
      </c>
      <c r="D12" s="47">
        <f>B12*C12/(B12*C12+B13*C13)</f>
        <v>0.6666666666666666</v>
      </c>
    </row>
    <row r="13" spans="1:4" ht="12.75">
      <c r="A13" s="67" t="s">
        <v>1258</v>
      </c>
      <c r="B13" s="359">
        <f>1-B12</f>
        <v>0.5</v>
      </c>
      <c r="C13" s="327">
        <v>1</v>
      </c>
      <c r="D13" s="47">
        <f>1-D12</f>
        <v>0.33333333333333337</v>
      </c>
    </row>
    <row r="14" ht="12.75">
      <c r="A14" s="30"/>
    </row>
    <row r="15" ht="12.75">
      <c r="A15" s="30" t="s">
        <v>1251</v>
      </c>
    </row>
    <row r="16" ht="12.75">
      <c r="A16" s="30"/>
    </row>
    <row r="18" ht="14.25">
      <c r="A18" s="41" t="s">
        <v>970</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41.xml><?xml version="1.0" encoding="utf-8"?>
<worksheet xmlns="http://schemas.openxmlformats.org/spreadsheetml/2006/main" xmlns:r="http://schemas.openxmlformats.org/officeDocument/2006/relationships">
  <sheetPr codeName="Feuil42"/>
  <dimension ref="A1:H51"/>
  <sheetViews>
    <sheetView showGridLines="0" zoomScale="75" zoomScaleNormal="75" workbookViewId="0" topLeftCell="A1">
      <selection activeCell="A1" sqref="A1"/>
    </sheetView>
  </sheetViews>
  <sheetFormatPr defaultColWidth="11.00390625" defaultRowHeight="12.75"/>
  <cols>
    <col min="1" max="1" width="26.375" style="0" customWidth="1"/>
  </cols>
  <sheetData>
    <row r="1" ht="14.25">
      <c r="A1" s="41" t="s">
        <v>968</v>
      </c>
    </row>
    <row r="2" spans="1:7" ht="24" customHeight="1">
      <c r="A2" s="180" t="s">
        <v>688</v>
      </c>
      <c r="B2" s="76" t="s">
        <v>751</v>
      </c>
      <c r="C2" s="76" t="s">
        <v>753</v>
      </c>
      <c r="D2" s="76"/>
      <c r="F2" s="236" t="s">
        <v>750</v>
      </c>
      <c r="G2" s="236" t="s">
        <v>752</v>
      </c>
    </row>
    <row r="3" spans="1:7" ht="12.75">
      <c r="A3" s="236" t="s">
        <v>750</v>
      </c>
      <c r="B3" s="47">
        <v>1</v>
      </c>
      <c r="E3" s="76" t="s">
        <v>320</v>
      </c>
      <c r="F3">
        <v>60</v>
      </c>
      <c r="G3">
        <v>30</v>
      </c>
    </row>
    <row r="4" spans="1:7" ht="12.75">
      <c r="A4" s="236" t="s">
        <v>752</v>
      </c>
      <c r="C4" s="47">
        <v>1</v>
      </c>
      <c r="E4" s="76" t="s">
        <v>341</v>
      </c>
      <c r="F4">
        <v>750</v>
      </c>
      <c r="G4">
        <v>1500</v>
      </c>
    </row>
    <row r="5" spans="5:7" ht="12.75">
      <c r="E5" s="76" t="s">
        <v>540</v>
      </c>
      <c r="F5">
        <v>800</v>
      </c>
      <c r="G5">
        <v>400</v>
      </c>
    </row>
    <row r="6" ht="12.75">
      <c r="A6" s="179" t="s">
        <v>689</v>
      </c>
    </row>
    <row r="7" spans="1:3" ht="12.75">
      <c r="A7" t="s">
        <v>690</v>
      </c>
      <c r="B7" s="25">
        <f aca="true" t="shared" si="0" ref="B7:C9">F3/($F3+$G3)</f>
        <v>0.6666666666666666</v>
      </c>
      <c r="C7" s="25">
        <f t="shared" si="0"/>
        <v>0.3333333333333333</v>
      </c>
    </row>
    <row r="8" spans="1:3" ht="12.75">
      <c r="A8" t="s">
        <v>691</v>
      </c>
      <c r="B8" s="25">
        <f t="shared" si="0"/>
        <v>0.3333333333333333</v>
      </c>
      <c r="C8" s="25">
        <f t="shared" si="0"/>
        <v>0.6666666666666666</v>
      </c>
    </row>
    <row r="9" spans="1:3" ht="12.75">
      <c r="A9" t="s">
        <v>692</v>
      </c>
      <c r="B9" s="25">
        <f t="shared" si="0"/>
        <v>0.6666666666666666</v>
      </c>
      <c r="C9" s="25">
        <f t="shared" si="0"/>
        <v>0.3333333333333333</v>
      </c>
    </row>
    <row r="11" ht="14.25">
      <c r="A11" s="20" t="s">
        <v>970</v>
      </c>
    </row>
    <row r="12" spans="1:8" ht="31.5">
      <c r="A12" s="180" t="s">
        <v>688</v>
      </c>
      <c r="B12" s="76" t="s">
        <v>320</v>
      </c>
      <c r="C12" s="76" t="s">
        <v>668</v>
      </c>
      <c r="D12" s="76" t="s">
        <v>259</v>
      </c>
      <c r="E12" s="76" t="s">
        <v>693</v>
      </c>
      <c r="G12" s="86" t="s">
        <v>257</v>
      </c>
      <c r="H12" s="86" t="s">
        <v>671</v>
      </c>
    </row>
    <row r="13" spans="1:8" ht="12.75">
      <c r="A13" t="s">
        <v>754</v>
      </c>
      <c r="B13">
        <v>20</v>
      </c>
      <c r="C13">
        <v>60</v>
      </c>
      <c r="D13">
        <v>50</v>
      </c>
      <c r="E13">
        <v>2000</v>
      </c>
      <c r="G13" s="6">
        <f>B13/E13</f>
        <v>0.01</v>
      </c>
      <c r="H13" s="6">
        <f>C13/E13</f>
        <v>0.03</v>
      </c>
    </row>
    <row r="14" spans="1:8" ht="12.75">
      <c r="A14" t="s">
        <v>755</v>
      </c>
      <c r="B14">
        <v>40</v>
      </c>
      <c r="C14">
        <v>300</v>
      </c>
      <c r="D14">
        <v>8</v>
      </c>
      <c r="E14">
        <v>1000</v>
      </c>
      <c r="G14" s="6">
        <f>B14/E14</f>
        <v>0.04</v>
      </c>
      <c r="H14" s="6">
        <f>C14/E14</f>
        <v>0.3</v>
      </c>
    </row>
    <row r="16" ht="12.75">
      <c r="A16" s="179" t="s">
        <v>756</v>
      </c>
    </row>
    <row r="17" spans="4:5" ht="21">
      <c r="D17" s="76" t="s">
        <v>269</v>
      </c>
      <c r="E17">
        <f>E13*100%/B18</f>
        <v>2640</v>
      </c>
    </row>
    <row r="18" spans="1:2" ht="12.75">
      <c r="A18" s="1" t="s">
        <v>757</v>
      </c>
      <c r="B18" s="79">
        <f>B13*D13/(B$13*D$13+B$14*D$14)</f>
        <v>0.7575757575757576</v>
      </c>
    </row>
    <row r="19" spans="1:2" ht="12.75">
      <c r="A19" s="1" t="s">
        <v>758</v>
      </c>
      <c r="B19" s="79">
        <f>B14*D14/(B$13*D$13+B$14*D$14)</f>
        <v>0.24242424242424243</v>
      </c>
    </row>
    <row r="21" spans="1:2" ht="12.75">
      <c r="A21" s="1" t="s">
        <v>257</v>
      </c>
      <c r="B21" s="243">
        <f>(B13+B14)/E17</f>
        <v>0.022727272727272728</v>
      </c>
    </row>
    <row r="22" spans="1:2" ht="12.75">
      <c r="A22" s="1" t="s">
        <v>671</v>
      </c>
      <c r="B22" s="243">
        <f>(C13+C14)/E17</f>
        <v>0.13636363636363635</v>
      </c>
    </row>
    <row r="24" ht="12.75">
      <c r="A24" s="179" t="s">
        <v>694</v>
      </c>
    </row>
    <row r="26" spans="1:3" ht="12.75">
      <c r="A26" t="s">
        <v>759</v>
      </c>
      <c r="B26">
        <v>15</v>
      </c>
      <c r="C26">
        <v>6</v>
      </c>
    </row>
    <row r="27" spans="1:3" ht="12.75">
      <c r="A27" s="1" t="s">
        <v>757</v>
      </c>
      <c r="B27" s="79">
        <f>B13*B26/(B$13*B26+B$14*D$14)</f>
        <v>0.4838709677419355</v>
      </c>
      <c r="C27" s="79">
        <f>B13*C26/(B$13*C$26+B$14*D$14)</f>
        <v>0.2727272727272727</v>
      </c>
    </row>
    <row r="28" spans="1:3" ht="12.75">
      <c r="A28" s="1" t="s">
        <v>758</v>
      </c>
      <c r="B28" s="79">
        <f>B14*D14/(B$13*B26+B$14*D$14)</f>
        <v>0.5161290322580645</v>
      </c>
      <c r="C28" s="79">
        <f>B14*D14/(B$13*C26+B$14*D$14)</f>
        <v>0.7272727272727273</v>
      </c>
    </row>
    <row r="30" ht="12.75">
      <c r="A30" s="179" t="s">
        <v>695</v>
      </c>
    </row>
    <row r="32" spans="1:2" ht="12.75">
      <c r="A32" t="s">
        <v>696</v>
      </c>
      <c r="B32">
        <v>10</v>
      </c>
    </row>
    <row r="33" spans="1:2" ht="12.75">
      <c r="A33" t="s">
        <v>697</v>
      </c>
      <c r="B33">
        <v>21</v>
      </c>
    </row>
    <row r="35" spans="1:2" ht="12.75">
      <c r="A35" t="s">
        <v>698</v>
      </c>
      <c r="B35">
        <f>(B13+B14+B32)*B33-(D13*B13+D14*B14)</f>
        <v>150</v>
      </c>
    </row>
    <row r="37" spans="1:2" ht="12.75">
      <c r="A37" s="1" t="s">
        <v>760</v>
      </c>
      <c r="B37" s="157">
        <f>D13*B13/(B35+D14*B14)</f>
        <v>2.127659574468085</v>
      </c>
    </row>
    <row r="38" spans="1:2" ht="12.75">
      <c r="A38" s="1" t="s">
        <v>761</v>
      </c>
      <c r="B38" s="157">
        <f>(B35+D13*B13)/(D14*B14)</f>
        <v>3.59375</v>
      </c>
    </row>
    <row r="40" ht="12.75">
      <c r="A40" s="179" t="s">
        <v>762</v>
      </c>
    </row>
    <row r="42" spans="1:2" ht="12.75">
      <c r="A42" t="s">
        <v>696</v>
      </c>
      <c r="B42">
        <v>10</v>
      </c>
    </row>
    <row r="43" spans="1:2" ht="12.75">
      <c r="A43" t="s">
        <v>697</v>
      </c>
      <c r="B43">
        <v>50</v>
      </c>
    </row>
    <row r="45" spans="1:3" ht="12.75">
      <c r="A45" s="1" t="s">
        <v>763</v>
      </c>
      <c r="B45">
        <f>B43*(B42+B13+B14)</f>
        <v>3500</v>
      </c>
      <c r="C45" t="s">
        <v>285</v>
      </c>
    </row>
    <row r="47" ht="12.75">
      <c r="A47" s="179" t="s">
        <v>699</v>
      </c>
    </row>
    <row r="49" spans="1:2" ht="12.75">
      <c r="A49" t="s">
        <v>700</v>
      </c>
      <c r="B49">
        <f>B45-(D13*B13+D14*B14)</f>
        <v>2180</v>
      </c>
    </row>
    <row r="50" spans="1:2" ht="12.75">
      <c r="A50" s="22" t="s">
        <v>701</v>
      </c>
      <c r="B50">
        <f>B42*B43</f>
        <v>500</v>
      </c>
    </row>
    <row r="51" spans="1:2" ht="12.75">
      <c r="A51" s="22" t="s">
        <v>764</v>
      </c>
      <c r="B51">
        <f>B49-B50</f>
        <v>1680</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42.xml><?xml version="1.0" encoding="utf-8"?>
<worksheet xmlns="http://schemas.openxmlformats.org/spreadsheetml/2006/main" xmlns:r="http://schemas.openxmlformats.org/officeDocument/2006/relationships">
  <sheetPr codeName="Feuil43"/>
  <dimension ref="A1:H95"/>
  <sheetViews>
    <sheetView showGridLines="0" zoomScale="75" zoomScaleNormal="75" workbookViewId="0" topLeftCell="A51">
      <selection activeCell="B82" sqref="B82"/>
    </sheetView>
  </sheetViews>
  <sheetFormatPr defaultColWidth="11.00390625" defaultRowHeight="12.75"/>
  <cols>
    <col min="1" max="1" width="30.125" style="0" customWidth="1"/>
    <col min="2" max="2" width="12.875" style="0" bestFit="1" customWidth="1"/>
  </cols>
  <sheetData>
    <row r="1" ht="14.25">
      <c r="A1" s="41" t="s">
        <v>983</v>
      </c>
    </row>
    <row r="2" spans="2:3" ht="12.75">
      <c r="B2" s="359"/>
      <c r="C2" s="359"/>
    </row>
    <row r="3" spans="1:3" ht="12.75">
      <c r="A3" t="s">
        <v>971</v>
      </c>
      <c r="B3" s="371" t="s">
        <v>1397</v>
      </c>
      <c r="C3" s="371" t="s">
        <v>1396</v>
      </c>
    </row>
    <row r="4" spans="1:3" ht="12.75">
      <c r="A4" t="s">
        <v>704</v>
      </c>
      <c r="B4" s="118">
        <v>500</v>
      </c>
      <c r="C4" s="118">
        <v>1000</v>
      </c>
    </row>
    <row r="5" spans="1:3" ht="12.75">
      <c r="A5" t="s">
        <v>972</v>
      </c>
      <c r="B5" s="118">
        <v>-500</v>
      </c>
      <c r="C5" s="118">
        <v>-500</v>
      </c>
    </row>
    <row r="6" spans="1:3" s="78" customFormat="1" ht="12.75">
      <c r="A6" s="78" t="s">
        <v>973</v>
      </c>
      <c r="B6" s="118">
        <f>B4+B5</f>
        <v>0</v>
      </c>
      <c r="C6" s="118">
        <f>C4+C5</f>
        <v>500</v>
      </c>
    </row>
    <row r="7" spans="1:3" s="78" customFormat="1" ht="12.75">
      <c r="A7" s="78" t="s">
        <v>710</v>
      </c>
      <c r="B7" s="118">
        <v>0</v>
      </c>
      <c r="C7" s="118">
        <v>300</v>
      </c>
    </row>
    <row r="8" spans="2:3" s="78" customFormat="1" ht="12.75">
      <c r="B8" s="118"/>
      <c r="C8" s="118"/>
    </row>
    <row r="9" s="78" customFormat="1" ht="12.75">
      <c r="A9" s="78" t="s">
        <v>1194</v>
      </c>
    </row>
    <row r="10" spans="1:2" s="78" customFormat="1" ht="12.75">
      <c r="A10" s="78" t="s">
        <v>975</v>
      </c>
      <c r="B10" s="78">
        <f>AVERAGE(B4:C4)</f>
        <v>750</v>
      </c>
    </row>
    <row r="11" spans="1:2" s="78" customFormat="1" ht="12.75">
      <c r="A11" s="78" t="s">
        <v>974</v>
      </c>
      <c r="B11" s="78">
        <f>-AVERAGE(B5,C5)</f>
        <v>500</v>
      </c>
    </row>
    <row r="12" spans="1:2" s="78" customFormat="1" ht="12.75">
      <c r="A12" s="78" t="s">
        <v>1464</v>
      </c>
      <c r="B12" s="78">
        <f>B10-B11</f>
        <v>250</v>
      </c>
    </row>
    <row r="13" s="78" customFormat="1" ht="12.75"/>
    <row r="14" s="78" customFormat="1" ht="12.75">
      <c r="A14" s="78" t="s">
        <v>1195</v>
      </c>
    </row>
    <row r="15" spans="1:2" s="78" customFormat="1" ht="12.75">
      <c r="A15" s="78" t="s">
        <v>976</v>
      </c>
      <c r="B15" s="78">
        <f>AVERAGE(B7,C7)</f>
        <v>150</v>
      </c>
    </row>
    <row r="16" s="78" customFormat="1" ht="12.75">
      <c r="A16" s="78" t="s">
        <v>977</v>
      </c>
    </row>
    <row r="17" spans="1:2" s="78" customFormat="1" ht="12.75">
      <c r="A17" s="78" t="s">
        <v>978</v>
      </c>
      <c r="B17" s="78">
        <f>B15+150</f>
        <v>300</v>
      </c>
    </row>
    <row r="18" spans="1:2" s="78" customFormat="1" ht="12.75">
      <c r="A18" s="78" t="s">
        <v>979</v>
      </c>
      <c r="B18" s="78">
        <f>B15</f>
        <v>150</v>
      </c>
    </row>
    <row r="19" s="78" customFormat="1" ht="12.75"/>
    <row r="20" s="78" customFormat="1" ht="12.75">
      <c r="A20" s="78" t="s">
        <v>1405</v>
      </c>
    </row>
    <row r="21" s="78" customFormat="1" ht="12.75">
      <c r="A21" s="78" t="s">
        <v>980</v>
      </c>
    </row>
    <row r="22" s="78" customFormat="1" ht="12.75"/>
    <row r="23" s="78" customFormat="1" ht="12.75">
      <c r="A23" s="78" t="s">
        <v>1407</v>
      </c>
    </row>
    <row r="24" s="78" customFormat="1" ht="12.75">
      <c r="A24" s="78" t="s">
        <v>981</v>
      </c>
    </row>
    <row r="25" s="78" customFormat="1" ht="12.75"/>
    <row r="26" ht="14.25">
      <c r="A26" s="41" t="s">
        <v>982</v>
      </c>
    </row>
    <row r="27" spans="1:8" ht="12.75">
      <c r="A27" s="180"/>
      <c r="B27" s="76"/>
      <c r="C27" s="76"/>
      <c r="D27" s="76"/>
      <c r="E27" s="76"/>
      <c r="G27" s="86"/>
      <c r="H27" s="86"/>
    </row>
    <row r="28" spans="2:8" ht="12.75">
      <c r="B28">
        <v>2000</v>
      </c>
      <c r="C28">
        <f>B28+1</f>
        <v>2001</v>
      </c>
      <c r="D28">
        <f>C28+1</f>
        <v>2002</v>
      </c>
      <c r="G28" s="6"/>
      <c r="H28" s="6"/>
    </row>
    <row r="29" spans="1:8" ht="12.75">
      <c r="A29" t="s">
        <v>906</v>
      </c>
      <c r="B29">
        <v>8026</v>
      </c>
      <c r="C29">
        <v>5208</v>
      </c>
      <c r="D29">
        <v>3018</v>
      </c>
      <c r="G29" s="6"/>
      <c r="H29" s="6"/>
    </row>
    <row r="30" spans="1:8" ht="12.75">
      <c r="A30" t="s">
        <v>766</v>
      </c>
      <c r="B30">
        <v>130</v>
      </c>
      <c r="C30">
        <v>-168</v>
      </c>
      <c r="D30">
        <v>-100</v>
      </c>
      <c r="G30" s="6"/>
      <c r="H30" s="6"/>
    </row>
    <row r="31" spans="1:8" ht="12.75">
      <c r="A31" t="s">
        <v>910</v>
      </c>
      <c r="B31">
        <v>330</v>
      </c>
      <c r="C31">
        <v>144</v>
      </c>
      <c r="D31">
        <v>62</v>
      </c>
      <c r="G31" s="6"/>
      <c r="H31" s="6"/>
    </row>
    <row r="32" spans="1:8" ht="12.75">
      <c r="A32" t="s">
        <v>1182</v>
      </c>
      <c r="B32">
        <v>-1020</v>
      </c>
      <c r="C32">
        <v>-314</v>
      </c>
      <c r="G32" s="6"/>
      <c r="H32" s="6"/>
    </row>
    <row r="33" spans="1:8" ht="12.75">
      <c r="A33" t="s">
        <v>806</v>
      </c>
      <c r="B33">
        <f>B30-B31+B32</f>
        <v>-1220</v>
      </c>
      <c r="C33">
        <f>C30-C31+C32</f>
        <v>-626</v>
      </c>
      <c r="D33">
        <f>D30-D31+D32</f>
        <v>-162</v>
      </c>
      <c r="G33" s="6"/>
      <c r="H33" s="6"/>
    </row>
    <row r="34" spans="7:8" ht="12.75">
      <c r="G34" s="6"/>
      <c r="H34" s="6"/>
    </row>
    <row r="35" spans="1:8" ht="12.75">
      <c r="A35" t="s">
        <v>1362</v>
      </c>
      <c r="C35">
        <v>122</v>
      </c>
      <c r="D35">
        <v>72</v>
      </c>
      <c r="G35" s="6"/>
      <c r="H35" s="6"/>
    </row>
    <row r="36" spans="1:8" ht="12.75">
      <c r="A36" t="s">
        <v>969</v>
      </c>
      <c r="C36">
        <v>614</v>
      </c>
      <c r="D36">
        <v>330</v>
      </c>
      <c r="G36" s="6"/>
      <c r="H36" s="6"/>
    </row>
    <row r="37" spans="1:8" ht="12.75">
      <c r="A37" t="s">
        <v>926</v>
      </c>
      <c r="C37">
        <v>-620</v>
      </c>
      <c r="D37">
        <v>-784</v>
      </c>
      <c r="G37" s="6"/>
      <c r="H37" s="6"/>
    </row>
    <row r="38" spans="1:8" ht="12.75">
      <c r="A38" t="s">
        <v>984</v>
      </c>
      <c r="C38">
        <v>616</v>
      </c>
      <c r="D38">
        <v>616</v>
      </c>
      <c r="G38" s="6"/>
      <c r="H38" s="6"/>
    </row>
    <row r="39" spans="1:4" ht="12.75">
      <c r="A39" t="s">
        <v>985</v>
      </c>
      <c r="C39">
        <v>740</v>
      </c>
      <c r="D39">
        <v>570</v>
      </c>
    </row>
    <row r="41" spans="1:2" ht="12.75">
      <c r="A41" t="s">
        <v>619</v>
      </c>
      <c r="B41" s="369">
        <v>8910000</v>
      </c>
    </row>
    <row r="42" spans="1:2" ht="12.75">
      <c r="A42" t="s">
        <v>245</v>
      </c>
      <c r="B42" s="118">
        <v>24</v>
      </c>
    </row>
    <row r="46" ht="12.75">
      <c r="A46" t="s">
        <v>1194</v>
      </c>
    </row>
    <row r="47" ht="12.75">
      <c r="A47" t="s">
        <v>988</v>
      </c>
    </row>
    <row r="48" ht="12.75">
      <c r="A48" t="s">
        <v>989</v>
      </c>
    </row>
    <row r="49" ht="12.75">
      <c r="A49" t="s">
        <v>1557</v>
      </c>
    </row>
    <row r="50" ht="12.75">
      <c r="A50" t="s">
        <v>991</v>
      </c>
    </row>
    <row r="52" ht="12.75">
      <c r="A52" s="30" t="s">
        <v>990</v>
      </c>
    </row>
    <row r="53" ht="12.75">
      <c r="A53" s="30"/>
    </row>
    <row r="54" ht="12.75">
      <c r="A54" t="s">
        <v>1195</v>
      </c>
    </row>
    <row r="55" spans="1:2" ht="12.75">
      <c r="A55" t="s">
        <v>1464</v>
      </c>
      <c r="B55" s="87">
        <f>B41*B42/1000000</f>
        <v>213.84</v>
      </c>
    </row>
    <row r="56" spans="1:2" ht="12.75">
      <c r="A56" t="s">
        <v>987</v>
      </c>
      <c r="B56" s="87">
        <f>0.5*D39</f>
        <v>285</v>
      </c>
    </row>
    <row r="57" spans="1:2" ht="12.75">
      <c r="A57" t="s">
        <v>986</v>
      </c>
      <c r="B57" s="87">
        <f>21%*D38</f>
        <v>129.35999999999999</v>
      </c>
    </row>
    <row r="58" spans="1:2" ht="12.75">
      <c r="A58" t="s">
        <v>975</v>
      </c>
      <c r="B58" s="87">
        <f>B55+B56+B57</f>
        <v>628.2</v>
      </c>
    </row>
    <row r="59" ht="12.75">
      <c r="B59" s="120"/>
    </row>
    <row r="60" spans="1:2" ht="12.75">
      <c r="A60" t="s">
        <v>1405</v>
      </c>
      <c r="B60" s="120"/>
    </row>
    <row r="61" spans="1:2" ht="12.75">
      <c r="A61" t="s">
        <v>405</v>
      </c>
      <c r="B61" s="120"/>
    </row>
    <row r="62" spans="1:2" ht="12.75">
      <c r="A62" t="s">
        <v>992</v>
      </c>
      <c r="B62" s="137">
        <v>15500000</v>
      </c>
    </row>
    <row r="63" spans="1:2" ht="12.75">
      <c r="A63" s="33" t="s">
        <v>993</v>
      </c>
      <c r="B63" s="373">
        <v>20</v>
      </c>
    </row>
    <row r="64" spans="1:2" ht="12.75">
      <c r="A64" t="s">
        <v>165</v>
      </c>
      <c r="B64" s="372">
        <f>B62*B63/1000000</f>
        <v>310</v>
      </c>
    </row>
    <row r="65" ht="12.75">
      <c r="B65" s="372"/>
    </row>
    <row r="66" spans="1:2" ht="12.75">
      <c r="A66" t="s">
        <v>994</v>
      </c>
      <c r="B66" s="372"/>
    </row>
    <row r="67" spans="1:2" ht="12.75">
      <c r="A67" t="s">
        <v>992</v>
      </c>
      <c r="B67" s="137">
        <v>3850000</v>
      </c>
    </row>
    <row r="68" spans="1:2" ht="12.75">
      <c r="A68" t="s">
        <v>995</v>
      </c>
      <c r="B68" s="374">
        <v>36.96</v>
      </c>
    </row>
    <row r="69" ht="12.75">
      <c r="B69" s="372"/>
    </row>
    <row r="70" spans="1:2" ht="12.75">
      <c r="A70" t="s">
        <v>996</v>
      </c>
      <c r="B70" s="372"/>
    </row>
    <row r="71" spans="1:2" ht="12.75">
      <c r="A71" t="s">
        <v>997</v>
      </c>
      <c r="B71" s="372">
        <v>160</v>
      </c>
    </row>
    <row r="72" spans="1:2" ht="12.75">
      <c r="A72" t="s">
        <v>998</v>
      </c>
      <c r="B72" s="137">
        <v>1250000</v>
      </c>
    </row>
    <row r="73" spans="1:2" ht="12.75">
      <c r="A73" t="s">
        <v>999</v>
      </c>
      <c r="B73" s="372">
        <v>4</v>
      </c>
    </row>
    <row r="74" ht="12.75">
      <c r="B74" s="372"/>
    </row>
    <row r="75" spans="1:2" ht="12.75">
      <c r="A75" s="1" t="s">
        <v>1000</v>
      </c>
      <c r="B75" s="372"/>
    </row>
    <row r="76" spans="1:2" ht="12.75">
      <c r="A76" t="s">
        <v>1002</v>
      </c>
      <c r="B76" s="372">
        <f>B64-B68</f>
        <v>273.04</v>
      </c>
    </row>
    <row r="77" spans="1:2" ht="12.75">
      <c r="A77" t="s">
        <v>1001</v>
      </c>
      <c r="B77" s="372">
        <f>80%*(D39-B71-(B64-B68))</f>
        <v>109.56799999999998</v>
      </c>
    </row>
    <row r="78" spans="1:2" ht="12.75">
      <c r="A78" s="33" t="s">
        <v>1003</v>
      </c>
      <c r="B78" s="373">
        <f>B72*B73/1000000</f>
        <v>5</v>
      </c>
    </row>
    <row r="79" spans="1:2" ht="12.75">
      <c r="A79" t="s">
        <v>1004</v>
      </c>
      <c r="B79" s="372">
        <f>SUM(B76:B78)</f>
        <v>387.608</v>
      </c>
    </row>
    <row r="80" ht="12.75">
      <c r="B80" s="372"/>
    </row>
    <row r="81" spans="1:2" ht="12.75">
      <c r="A81" s="1" t="s">
        <v>1521</v>
      </c>
      <c r="B81" s="372"/>
    </row>
    <row r="82" spans="1:2" ht="12.75">
      <c r="A82" t="s">
        <v>1005</v>
      </c>
      <c r="B82" s="372">
        <f>B58</f>
        <v>628.2</v>
      </c>
    </row>
    <row r="83" spans="1:2" ht="12.75">
      <c r="A83" t="s">
        <v>996</v>
      </c>
      <c r="B83" s="372">
        <f>80%*(D39-B71-B64+B68)</f>
        <v>109.56800000000001</v>
      </c>
    </row>
    <row r="84" spans="1:2" ht="12.75">
      <c r="A84" s="33" t="s">
        <v>1006</v>
      </c>
      <c r="B84" s="373">
        <f>B72*B73/1000000</f>
        <v>5</v>
      </c>
    </row>
    <row r="85" spans="1:2" ht="12.75">
      <c r="A85" s="375" t="s">
        <v>1464</v>
      </c>
      <c r="B85" s="293">
        <f>B82-B83-B84</f>
        <v>513.6320000000001</v>
      </c>
    </row>
    <row r="86" ht="12.75">
      <c r="B86" s="372"/>
    </row>
    <row r="87" spans="1:2" ht="12.75">
      <c r="A87" t="s">
        <v>1007</v>
      </c>
      <c r="B87" s="293">
        <f>B85/(B41+B62+B67)*1000000</f>
        <v>18.175230007077143</v>
      </c>
    </row>
    <row r="88" ht="12.75">
      <c r="B88" s="293"/>
    </row>
    <row r="89" ht="12.75">
      <c r="B89" s="293"/>
    </row>
    <row r="90" ht="12.75">
      <c r="B90" s="293"/>
    </row>
    <row r="91" ht="12.75">
      <c r="B91" s="293"/>
    </row>
    <row r="92" spans="1:2" ht="12.75">
      <c r="A92" s="1" t="s">
        <v>1008</v>
      </c>
      <c r="B92" s="293"/>
    </row>
    <row r="93" spans="1:2" ht="12.75">
      <c r="A93" t="s">
        <v>165</v>
      </c>
      <c r="B93" s="293">
        <f>B68+B87*B67/1000000</f>
        <v>106.934635527247</v>
      </c>
    </row>
    <row r="94" ht="12.75">
      <c r="B94" s="293"/>
    </row>
    <row r="95" spans="1:2" ht="12.75">
      <c r="A95" t="s">
        <v>1009</v>
      </c>
      <c r="B95" s="293"/>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43.xml><?xml version="1.0" encoding="utf-8"?>
<worksheet xmlns="http://schemas.openxmlformats.org/spreadsheetml/2006/main" xmlns:r="http://schemas.openxmlformats.org/officeDocument/2006/relationships">
  <sheetPr codeName="Feuil44"/>
  <dimension ref="A1:I53"/>
  <sheetViews>
    <sheetView showGridLines="0" tabSelected="1" zoomScale="75" zoomScaleNormal="75" workbookViewId="0" topLeftCell="A1">
      <selection activeCell="A1" sqref="A1"/>
    </sheetView>
  </sheetViews>
  <sheetFormatPr defaultColWidth="11.00390625" defaultRowHeight="12.75"/>
  <cols>
    <col min="1" max="1" width="23.625" style="0" bestFit="1" customWidth="1"/>
    <col min="2" max="2" width="11.875" style="0" bestFit="1" customWidth="1"/>
    <col min="6" max="6" width="11.875" style="0" bestFit="1" customWidth="1"/>
  </cols>
  <sheetData>
    <row r="1" ht="14.25">
      <c r="A1" s="20" t="s">
        <v>968</v>
      </c>
    </row>
    <row r="2" spans="2:4" s="236" customFormat="1" ht="22.5">
      <c r="B2" s="236" t="s">
        <v>460</v>
      </c>
      <c r="C2" s="236" t="s">
        <v>461</v>
      </c>
      <c r="D2" s="225" t="s">
        <v>462</v>
      </c>
    </row>
    <row r="3" spans="1:6" ht="12.75">
      <c r="A3" t="s">
        <v>628</v>
      </c>
      <c r="B3" s="124">
        <v>0.0475</v>
      </c>
      <c r="C3" s="124">
        <v>0.04875</v>
      </c>
      <c r="F3" s="96"/>
    </row>
    <row r="4" spans="1:6" ht="12.75">
      <c r="A4" t="s">
        <v>629</v>
      </c>
      <c r="B4" s="124">
        <f>(3+7/8)/100</f>
        <v>0.03875</v>
      </c>
      <c r="C4" s="124">
        <v>0.04</v>
      </c>
      <c r="F4" s="96"/>
    </row>
    <row r="5" spans="1:6" ht="12.75">
      <c r="A5" t="s">
        <v>630</v>
      </c>
      <c r="B5">
        <v>1.021</v>
      </c>
      <c r="C5">
        <v>1.022</v>
      </c>
      <c r="D5" t="s">
        <v>631</v>
      </c>
      <c r="F5" s="96"/>
    </row>
    <row r="6" spans="1:9" ht="12.75">
      <c r="A6" t="s">
        <v>459</v>
      </c>
      <c r="B6">
        <f>1/C5</f>
        <v>0.9784735812133072</v>
      </c>
      <c r="C6">
        <f>1/B5</f>
        <v>0.9794319294809012</v>
      </c>
      <c r="D6" t="s">
        <v>200</v>
      </c>
      <c r="F6">
        <f>B6*(1+C3/4)/(1+B4/4)</f>
        <v>0.9808962951253177</v>
      </c>
      <c r="G6">
        <f>B6*(1+B3/4)/(1+C4/4)</f>
        <v>0.9802900544457578</v>
      </c>
      <c r="H6">
        <f>C6*(1+C3/4)/(1+B4/4)</f>
        <v>0.9818570162762732</v>
      </c>
      <c r="I6">
        <f>C6*(1+B3/4)/(1+C4/4)</f>
        <v>0.9812501818252346</v>
      </c>
    </row>
    <row r="7" spans="6:9" ht="12.75">
      <c r="F7">
        <f>B6*(1+B3/4)/(1+B4/4)</f>
        <v>0.9805934558863165</v>
      </c>
      <c r="G7">
        <f>B6*(1+C3/4)/(1+C4/4)</f>
        <v>0.9805927999844993</v>
      </c>
      <c r="H7">
        <f>C6*(1+B3/4)/(1+B4/4)</f>
        <v>0.9815538804268518</v>
      </c>
      <c r="I7">
        <f>C6*(1+C3/4)/(1+C4/4)</f>
        <v>0.9815532238826234</v>
      </c>
    </row>
    <row r="8" spans="1:9" ht="42">
      <c r="A8" t="s">
        <v>633</v>
      </c>
      <c r="B8" s="225" t="s">
        <v>463</v>
      </c>
      <c r="C8" s="225" t="s">
        <v>464</v>
      </c>
      <c r="D8" t="s">
        <v>200</v>
      </c>
      <c r="F8">
        <f>B6*(1+B4/4)/(1+C3/4)</f>
        <v>0.9760568511578251</v>
      </c>
      <c r="G8">
        <f>B6*(1+C4/4)/(1+B3/4)</f>
        <v>0.9766604738979027</v>
      </c>
      <c r="H8">
        <f>C6*(1+B4/4)/(1+C3/4)</f>
        <v>0.977012832402838</v>
      </c>
      <c r="I8">
        <f>C6*(1+C4/4)/(1+B3/4)</f>
        <v>0.9776170463503003</v>
      </c>
    </row>
    <row r="9" spans="2:9" ht="12.75">
      <c r="B9" s="225"/>
      <c r="C9" s="225"/>
      <c r="F9">
        <f>B6*(1+B4/4)/(1+B3/4)</f>
        <v>0.9763582893453352</v>
      </c>
      <c r="G9">
        <f>B6*(1+C4/4)/(1+C3/4)</f>
        <v>0.9763589424147604</v>
      </c>
      <c r="H9">
        <f>C6*(1+B4/4)/(1+B3/4)</f>
        <v>0.9773145658285336</v>
      </c>
      <c r="I9">
        <f>C6*(1+C4/4)/(1+C3/4)</f>
        <v>0.9773152195375957</v>
      </c>
    </row>
    <row r="10" spans="2:6" ht="21">
      <c r="B10" s="225" t="s">
        <v>634</v>
      </c>
      <c r="C10" s="225" t="s">
        <v>379</v>
      </c>
      <c r="F10">
        <f>B6*(1+F4/4)/(1+F3/4)</f>
        <v>0.9784735812133072</v>
      </c>
    </row>
    <row r="11" spans="2:3" ht="12.75">
      <c r="B11" s="225">
        <f>1/(1+C4*90/360)</f>
        <v>0.9900990099009901</v>
      </c>
      <c r="C11" s="225">
        <f>1/(1+B4/4)</f>
        <v>0.9904054472299597</v>
      </c>
    </row>
    <row r="12" spans="2:3" ht="31.5">
      <c r="B12" s="225" t="s">
        <v>376</v>
      </c>
      <c r="C12" s="225" t="s">
        <v>378</v>
      </c>
    </row>
    <row r="13" spans="1:4" ht="12.75">
      <c r="A13" t="s">
        <v>632</v>
      </c>
      <c r="B13" s="225">
        <f>B6</f>
        <v>0.9784735812133072</v>
      </c>
      <c r="C13" s="225">
        <f>C6</f>
        <v>0.9794319294809012</v>
      </c>
      <c r="D13" t="s">
        <v>200</v>
      </c>
    </row>
    <row r="14" spans="2:3" ht="21">
      <c r="B14" s="225" t="s">
        <v>377</v>
      </c>
      <c r="C14" s="225" t="s">
        <v>380</v>
      </c>
    </row>
    <row r="15" spans="2:3" ht="12.75">
      <c r="B15" s="225">
        <f>(1+B3*90/360)</f>
        <v>1.011875</v>
      </c>
      <c r="C15" s="225">
        <f>(1+C3/4)</f>
        <v>1.0121875</v>
      </c>
    </row>
    <row r="17" spans="1:4" ht="12.75">
      <c r="A17" s="1" t="s">
        <v>633</v>
      </c>
      <c r="B17" s="267">
        <f>B11*B13*B15</f>
        <v>0.9802900544457577</v>
      </c>
      <c r="C17" s="267">
        <f>C11*C13*C15</f>
        <v>0.9818570162762733</v>
      </c>
      <c r="D17" t="s">
        <v>200</v>
      </c>
    </row>
    <row r="19" spans="1:7" ht="14.25">
      <c r="A19" s="41" t="s">
        <v>970</v>
      </c>
      <c r="G19" s="96"/>
    </row>
    <row r="20" spans="2:3" ht="22.5">
      <c r="B20" s="236" t="s">
        <v>460</v>
      </c>
      <c r="C20" s="236" t="s">
        <v>461</v>
      </c>
    </row>
    <row r="21" spans="1:3" ht="12.75">
      <c r="A21" t="s">
        <v>635</v>
      </c>
      <c r="B21" s="95">
        <v>0.045</v>
      </c>
      <c r="C21" s="95">
        <v>0.04625</v>
      </c>
    </row>
    <row r="22" spans="1:4" ht="12.75">
      <c r="A22" t="s">
        <v>636</v>
      </c>
      <c r="B22">
        <v>1.021</v>
      </c>
      <c r="C22">
        <v>1.022</v>
      </c>
      <c r="D22" t="s">
        <v>631</v>
      </c>
    </row>
    <row r="23" spans="1:4" ht="12.75">
      <c r="A23" t="s">
        <v>637</v>
      </c>
      <c r="B23">
        <v>1.015</v>
      </c>
      <c r="C23">
        <v>1.016</v>
      </c>
      <c r="D23" t="s">
        <v>631</v>
      </c>
    </row>
    <row r="25" spans="2:3" ht="42">
      <c r="B25" s="225" t="s">
        <v>638</v>
      </c>
      <c r="C25" s="225" t="s">
        <v>639</v>
      </c>
    </row>
    <row r="27" spans="2:3" ht="21">
      <c r="B27" s="225" t="s">
        <v>640</v>
      </c>
      <c r="C27" s="225" t="s">
        <v>644</v>
      </c>
    </row>
    <row r="28" spans="2:3" ht="12.75">
      <c r="B28" s="246">
        <f>B21</f>
        <v>0.045</v>
      </c>
      <c r="C28" s="13">
        <f>1/B22</f>
        <v>0.9794319294809012</v>
      </c>
    </row>
    <row r="29" spans="2:3" ht="21">
      <c r="B29" s="225" t="s">
        <v>641</v>
      </c>
      <c r="C29" s="225" t="s">
        <v>645</v>
      </c>
    </row>
    <row r="30" spans="2:3" ht="12.75">
      <c r="B30" s="225">
        <f>1/C22</f>
        <v>0.9784735812133072</v>
      </c>
      <c r="C30" s="246">
        <f>C21</f>
        <v>0.04625</v>
      </c>
    </row>
    <row r="31" spans="2:3" ht="31.5">
      <c r="B31" s="225" t="s">
        <v>642</v>
      </c>
      <c r="C31" s="225" t="s">
        <v>646</v>
      </c>
    </row>
    <row r="32" spans="2:3" ht="12.75">
      <c r="B32" s="13">
        <f>B23</f>
        <v>1.015</v>
      </c>
      <c r="C32" s="13">
        <f>C23</f>
        <v>1.016</v>
      </c>
    </row>
    <row r="34" spans="1:3" ht="12.75">
      <c r="A34" s="1" t="s">
        <v>643</v>
      </c>
      <c r="B34" s="106">
        <f>((1+B28*180/360)*B30*B32-1)*360/180</f>
        <v>0.030993150684931248</v>
      </c>
      <c r="C34" s="106">
        <f>((C28*(1+C30*180/360)*C32)-1)*360/180</f>
        <v>0.0362291870714988</v>
      </c>
    </row>
    <row r="36" ht="14.25">
      <c r="A36" s="41" t="s">
        <v>1337</v>
      </c>
    </row>
    <row r="37" spans="2:4" ht="22.5">
      <c r="B37" s="236" t="s">
        <v>460</v>
      </c>
      <c r="C37" s="236" t="s">
        <v>461</v>
      </c>
      <c r="D37" t="s">
        <v>272</v>
      </c>
    </row>
    <row r="38" spans="1:3" ht="25.5">
      <c r="A38" s="3" t="s">
        <v>647</v>
      </c>
      <c r="B38" s="245">
        <v>0.0375</v>
      </c>
      <c r="C38" s="245">
        <v>0.03875</v>
      </c>
    </row>
    <row r="39" spans="1:3" ht="12.75">
      <c r="A39" s="3"/>
      <c r="B39" s="245"/>
      <c r="C39" s="245"/>
    </row>
    <row r="40" spans="1:3" ht="12.75">
      <c r="A40" s="3"/>
      <c r="B40" s="250" t="s">
        <v>54</v>
      </c>
      <c r="C40" s="253">
        <v>0.02</v>
      </c>
    </row>
    <row r="41" spans="2:6" ht="12.75">
      <c r="B41" t="s">
        <v>92</v>
      </c>
      <c r="C41" t="s">
        <v>98</v>
      </c>
      <c r="D41" t="s">
        <v>46</v>
      </c>
      <c r="E41" t="s">
        <v>49</v>
      </c>
      <c r="F41" t="s">
        <v>235</v>
      </c>
    </row>
    <row r="42" spans="1:4" ht="12.75">
      <c r="A42" s="180" t="s">
        <v>273</v>
      </c>
      <c r="B42" s="245"/>
      <c r="D42" s="245"/>
    </row>
    <row r="43" spans="1:6" s="13" customFormat="1" ht="10.5">
      <c r="A43" s="225" t="s">
        <v>274</v>
      </c>
      <c r="B43" s="247">
        <v>500000000</v>
      </c>
      <c r="C43" s="13">
        <v>90</v>
      </c>
      <c r="D43" s="249">
        <f>C38</f>
        <v>0.03875</v>
      </c>
      <c r="E43" s="13">
        <v>90</v>
      </c>
      <c r="F43" s="247">
        <f>B43/(1+C$40*C43/360)</f>
        <v>497512437.81094533</v>
      </c>
    </row>
    <row r="44" spans="1:6" s="13" customFormat="1" ht="10.5">
      <c r="A44" s="225" t="s">
        <v>275</v>
      </c>
      <c r="B44" s="247">
        <f>-B43*(1+D43*E43/360)</f>
        <v>-504843750.00000006</v>
      </c>
      <c r="C44" s="13">
        <v>180</v>
      </c>
      <c r="F44" s="247">
        <f>B44/(1+C$40*C44/360)</f>
        <v>-499845297.029703</v>
      </c>
    </row>
    <row r="45" spans="1:6" ht="12.75">
      <c r="A45" s="3"/>
      <c r="B45" s="247"/>
      <c r="E45" s="251" t="s">
        <v>717</v>
      </c>
      <c r="F45" s="252">
        <f>SUM(F43:F44)</f>
        <v>-2332859.218757689</v>
      </c>
    </row>
    <row r="46" spans="1:2" ht="12.75">
      <c r="A46" s="179" t="s">
        <v>276</v>
      </c>
      <c r="B46" s="247"/>
    </row>
    <row r="47" spans="1:7" s="13" customFormat="1" ht="21">
      <c r="A47" s="225" t="s">
        <v>648</v>
      </c>
      <c r="B47" s="247">
        <f>B43/(1+D48/4)</f>
        <v>495202723.61497986</v>
      </c>
      <c r="C47" s="225">
        <v>0</v>
      </c>
      <c r="D47" s="249">
        <f>C34</f>
        <v>0.0362291870714988</v>
      </c>
      <c r="E47" s="13">
        <v>180</v>
      </c>
      <c r="F47" s="247">
        <f>B47/(1+C$40*C47/360)</f>
        <v>495202723.61497986</v>
      </c>
      <c r="G47" s="225"/>
    </row>
    <row r="48" spans="1:7" s="13" customFormat="1" ht="10.5">
      <c r="A48" s="13" t="s">
        <v>277</v>
      </c>
      <c r="B48" s="247">
        <f>-B47</f>
        <v>-495202723.61497986</v>
      </c>
      <c r="C48" s="225">
        <v>0</v>
      </c>
      <c r="D48" s="249">
        <f>B4</f>
        <v>0.03875</v>
      </c>
      <c r="E48" s="225">
        <v>90</v>
      </c>
      <c r="F48" s="247">
        <f>B48/(1+C$40*C48/360)</f>
        <v>-495202723.61497986</v>
      </c>
      <c r="G48" s="225"/>
    </row>
    <row r="49" spans="1:6" s="13" customFormat="1" ht="10.5">
      <c r="A49" s="13" t="s">
        <v>286</v>
      </c>
      <c r="B49" s="247">
        <f>-B48*(1+D48*E48/360)</f>
        <v>500000000</v>
      </c>
      <c r="C49" s="13">
        <v>90</v>
      </c>
      <c r="D49" s="246"/>
      <c r="F49" s="247">
        <f>B49/(1+C$40*C49/360)</f>
        <v>497512437.81094533</v>
      </c>
    </row>
    <row r="50" spans="1:6" s="13" customFormat="1" ht="10.5">
      <c r="A50" s="13" t="s">
        <v>287</v>
      </c>
      <c r="B50" s="247">
        <f>-B47*(1+D47*E47/360)</f>
        <v>-504173119.6710613</v>
      </c>
      <c r="C50" s="225">
        <v>180</v>
      </c>
      <c r="D50" s="225"/>
      <c r="E50" s="225"/>
      <c r="F50" s="247">
        <f>B50/(1+C$40*C50/360)</f>
        <v>-499181306.60501117</v>
      </c>
    </row>
    <row r="51" spans="5:6" ht="12.75">
      <c r="E51" s="251" t="s">
        <v>717</v>
      </c>
      <c r="F51" s="252">
        <f>SUM(F47:F50)</f>
        <v>-1668868.794065833</v>
      </c>
    </row>
    <row r="53" spans="1:6" ht="12.75">
      <c r="A53" s="179" t="s">
        <v>288</v>
      </c>
      <c r="F53" s="252">
        <f>F51-F45</f>
        <v>663990.4246918559</v>
      </c>
    </row>
  </sheetData>
  <printOptions/>
  <pageMargins left="0.7874015748031497" right="0.7874015748031497" top="0.984251968503937" bottom="0.984251968503937" header="0.5118110236220472" footer="0.5118110236220472"/>
  <pageSetup horizontalDpi="200" verticalDpi="200" orientation="portrait" paperSize="9" r:id="rId2"/>
  <headerFooter alignWithMargins="0">
    <oddFooter>&amp;L&amp;"Verdana,Italique"&amp;9&amp;F - &amp;A&amp;C&amp;P / &amp;N&amp;R&amp;"Verdana,Italique"&amp;9&amp;D - &amp;T</oddFooter>
  </headerFooter>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F47"/>
  <sheetViews>
    <sheetView showGridLines="0" zoomScale="75" zoomScaleNormal="75" workbookViewId="0" topLeftCell="A1">
      <pane xSplit="1" ySplit="1" topLeftCell="B2" activePane="bottomRight" state="frozen"/>
      <selection pane="topLeft" activeCell="A1" sqref="A1"/>
      <selection pane="topRight" activeCell="B1" sqref="B1"/>
      <selection pane="bottomLeft" activeCell="A1" sqref="A1"/>
      <selection pane="bottomRight" activeCell="A1" sqref="A1"/>
    </sheetView>
  </sheetViews>
  <sheetFormatPr defaultColWidth="11.00390625" defaultRowHeight="12.75"/>
  <cols>
    <col min="1" max="1" width="34.25390625" style="0" bestFit="1" customWidth="1"/>
    <col min="2" max="6" width="13.125" style="23" customWidth="1"/>
  </cols>
  <sheetData>
    <row r="1" spans="1:6" ht="12.75">
      <c r="A1" s="1" t="s">
        <v>905</v>
      </c>
      <c r="B1" s="14">
        <v>1</v>
      </c>
      <c r="C1" s="14">
        <v>2</v>
      </c>
      <c r="D1" s="14">
        <v>3</v>
      </c>
      <c r="E1" s="14">
        <v>4</v>
      </c>
      <c r="F1" s="14">
        <v>5</v>
      </c>
    </row>
    <row r="3" ht="14.25">
      <c r="A3" s="20" t="s">
        <v>904</v>
      </c>
    </row>
    <row r="4" spans="1:6" ht="12.75">
      <c r="A4" t="s">
        <v>906</v>
      </c>
      <c r="B4" s="23">
        <v>3320</v>
      </c>
      <c r="C4" s="23">
        <v>5868</v>
      </c>
      <c r="D4" s="23">
        <v>846</v>
      </c>
      <c r="E4" s="23">
        <v>348</v>
      </c>
      <c r="F4" s="23">
        <v>252</v>
      </c>
    </row>
    <row r="5" spans="1:6" ht="12.75">
      <c r="A5" t="s">
        <v>727</v>
      </c>
      <c r="B5" s="23">
        <v>3320</v>
      </c>
      <c r="C5" s="23">
        <v>6115</v>
      </c>
      <c r="D5" s="23">
        <v>1059</v>
      </c>
      <c r="E5" s="23">
        <v>353</v>
      </c>
      <c r="F5" s="23">
        <v>252</v>
      </c>
    </row>
    <row r="6" spans="1:6" ht="12.75">
      <c r="A6" t="s">
        <v>907</v>
      </c>
      <c r="B6" s="23">
        <v>2673</v>
      </c>
      <c r="C6" s="23">
        <v>1059</v>
      </c>
      <c r="D6" s="23">
        <v>480</v>
      </c>
      <c r="E6" s="23">
        <v>236</v>
      </c>
      <c r="F6" s="23">
        <v>36</v>
      </c>
    </row>
    <row r="7" spans="1:6" ht="12.75">
      <c r="A7" t="s">
        <v>908</v>
      </c>
      <c r="B7" s="23">
        <v>556</v>
      </c>
      <c r="C7" s="23">
        <v>4484</v>
      </c>
      <c r="D7" s="23">
        <v>216.1</v>
      </c>
      <c r="E7" s="23">
        <v>106.3</v>
      </c>
      <c r="F7" s="23">
        <v>162</v>
      </c>
    </row>
    <row r="8" spans="1:6" ht="12.75">
      <c r="A8" t="s">
        <v>909</v>
      </c>
      <c r="B8" s="23">
        <v>320</v>
      </c>
      <c r="C8" s="23">
        <v>1365</v>
      </c>
      <c r="D8" s="23">
        <v>183</v>
      </c>
      <c r="E8" s="23">
        <v>46.7</v>
      </c>
      <c r="F8" s="23">
        <v>36</v>
      </c>
    </row>
    <row r="9" spans="1:6" ht="12.75">
      <c r="A9" t="s">
        <v>803</v>
      </c>
      <c r="B9" s="23">
        <v>41</v>
      </c>
      <c r="C9" s="23">
        <v>316</v>
      </c>
      <c r="D9" s="23">
        <v>245</v>
      </c>
      <c r="E9" s="23">
        <v>5.5</v>
      </c>
      <c r="F9" s="23">
        <v>20</v>
      </c>
    </row>
    <row r="10" spans="1:6" ht="12.75">
      <c r="A10" t="s">
        <v>910</v>
      </c>
      <c r="B10" s="23">
        <v>11</v>
      </c>
      <c r="C10" s="23">
        <v>194</v>
      </c>
      <c r="D10" s="23">
        <v>100</v>
      </c>
      <c r="E10" s="23">
        <v>2</v>
      </c>
      <c r="F10" s="23">
        <v>36</v>
      </c>
    </row>
    <row r="11" spans="1:3" ht="12.75">
      <c r="A11" t="s">
        <v>932</v>
      </c>
      <c r="B11" s="23">
        <v>9</v>
      </c>
      <c r="C11" s="23">
        <v>49</v>
      </c>
    </row>
    <row r="12" spans="1:6" ht="12.75">
      <c r="A12" t="s">
        <v>1569</v>
      </c>
      <c r="B12" s="23">
        <v>5</v>
      </c>
      <c r="C12" s="23">
        <v>-7</v>
      </c>
      <c r="D12" s="23">
        <v>-11</v>
      </c>
      <c r="E12" s="23">
        <v>-0.5</v>
      </c>
      <c r="F12" s="23">
        <v>2</v>
      </c>
    </row>
    <row r="13" spans="1:5" ht="12.75">
      <c r="A13" t="s">
        <v>911</v>
      </c>
      <c r="B13" s="23">
        <v>20</v>
      </c>
      <c r="C13" s="23">
        <v>52</v>
      </c>
      <c r="D13" s="23">
        <v>0</v>
      </c>
      <c r="E13" s="23">
        <v>1.4</v>
      </c>
    </row>
    <row r="14" spans="1:6" ht="12.75">
      <c r="A14" s="1" t="s">
        <v>771</v>
      </c>
      <c r="B14" s="40">
        <f>MAX(B4,B5)-B6-B7-B10+B11-B9+B12-B13</f>
        <v>33</v>
      </c>
      <c r="C14" s="40">
        <f>MAX(C4,C5)-C6-C7-C10+C11-C9+C12-C13</f>
        <v>52</v>
      </c>
      <c r="D14" s="40">
        <f>MAX(D4,D5)-D6-D7-D10+D11-D9+D12-D13</f>
        <v>6.899999999999977</v>
      </c>
      <c r="E14" s="40">
        <f>MAX(E4,E5)-E6-E7-E10+E11-E9+E12-E13</f>
        <v>1.300000000000003</v>
      </c>
      <c r="F14" s="254">
        <f>MAX(F4,F5)-F6-F7-F10+F11-F9+F12-F13</f>
        <v>0</v>
      </c>
    </row>
    <row r="16" ht="14.25">
      <c r="A16" s="20" t="s">
        <v>912</v>
      </c>
    </row>
    <row r="17" spans="1:4" ht="12.75">
      <c r="A17" t="s">
        <v>913</v>
      </c>
      <c r="D17" s="23">
        <v>601</v>
      </c>
    </row>
    <row r="18" spans="1:6" ht="12.75">
      <c r="A18" t="s">
        <v>914</v>
      </c>
      <c r="B18" s="23">
        <v>162</v>
      </c>
      <c r="C18" s="23">
        <v>2233</v>
      </c>
      <c r="D18" s="23">
        <v>12733</v>
      </c>
      <c r="E18" s="23">
        <v>32</v>
      </c>
      <c r="F18" s="23">
        <v>226</v>
      </c>
    </row>
    <row r="19" spans="1:6" ht="12.75">
      <c r="A19" t="s">
        <v>915</v>
      </c>
      <c r="B19" s="23">
        <v>51</v>
      </c>
      <c r="D19" s="23">
        <v>12290</v>
      </c>
      <c r="E19" s="23" t="s">
        <v>28</v>
      </c>
      <c r="F19" s="23">
        <v>133</v>
      </c>
    </row>
    <row r="20" spans="1:2" ht="12.75">
      <c r="A20" t="s">
        <v>916</v>
      </c>
      <c r="B20" s="23">
        <v>70</v>
      </c>
    </row>
    <row r="21" spans="1:3" ht="12.75">
      <c r="A21" t="s">
        <v>917</v>
      </c>
      <c r="C21" s="23">
        <v>1663</v>
      </c>
    </row>
    <row r="22" spans="1:2" ht="12.75">
      <c r="A22" t="s">
        <v>918</v>
      </c>
      <c r="B22" s="23">
        <v>27</v>
      </c>
    </row>
    <row r="23" spans="1:2" ht="12.75">
      <c r="A23" t="s">
        <v>920</v>
      </c>
      <c r="B23" s="23">
        <v>44</v>
      </c>
    </row>
    <row r="24" spans="1:6" ht="12.75">
      <c r="A24" t="s">
        <v>919</v>
      </c>
      <c r="B24" s="23">
        <v>30</v>
      </c>
      <c r="C24" s="23">
        <v>690</v>
      </c>
      <c r="D24" s="23">
        <v>106</v>
      </c>
      <c r="E24" s="23">
        <v>3</v>
      </c>
      <c r="F24" s="23">
        <v>17</v>
      </c>
    </row>
    <row r="25" spans="1:6" ht="12.75">
      <c r="A25" t="s">
        <v>921</v>
      </c>
      <c r="B25" s="23">
        <v>282</v>
      </c>
      <c r="C25" s="23">
        <v>277</v>
      </c>
      <c r="D25" s="23">
        <v>213</v>
      </c>
      <c r="E25" s="23">
        <v>39</v>
      </c>
      <c r="F25" s="23">
        <v>25</v>
      </c>
    </row>
    <row r="26" spans="1:6" ht="12.75">
      <c r="A26" t="s">
        <v>922</v>
      </c>
      <c r="B26" s="23">
        <v>142</v>
      </c>
      <c r="C26" s="23">
        <v>1193</v>
      </c>
      <c r="D26" s="23">
        <v>1068</v>
      </c>
      <c r="E26" s="23">
        <v>28</v>
      </c>
      <c r="F26" s="23">
        <v>8</v>
      </c>
    </row>
    <row r="27" spans="1:6" ht="12.75">
      <c r="A27" t="s">
        <v>923</v>
      </c>
      <c r="B27" s="23">
        <v>247</v>
      </c>
      <c r="C27" s="23">
        <v>692</v>
      </c>
      <c r="D27" s="23">
        <v>40</v>
      </c>
      <c r="E27" s="23">
        <v>11</v>
      </c>
      <c r="F27" s="23">
        <v>4</v>
      </c>
    </row>
    <row r="28" spans="1:6" ht="12.75">
      <c r="A28" s="1" t="s">
        <v>924</v>
      </c>
      <c r="B28" s="40">
        <f>B17+B18+B23+B24+B25+B26+B27</f>
        <v>907</v>
      </c>
      <c r="C28" s="40">
        <f>C17+C18+C23+C24+C25+C26+C27</f>
        <v>5085</v>
      </c>
      <c r="D28" s="40">
        <f>D17+D18+D23+D24+D25+D26+D27</f>
        <v>14761</v>
      </c>
      <c r="E28" s="40">
        <f>E17+E18+E23+E24+E25+E26+E27</f>
        <v>113</v>
      </c>
      <c r="F28" s="40">
        <f>F17+F18+F23+F24+F25+F26+F27</f>
        <v>280</v>
      </c>
    </row>
    <row r="30" ht="14.25">
      <c r="A30" s="20" t="s">
        <v>925</v>
      </c>
    </row>
    <row r="31" spans="1:6" ht="12.75">
      <c r="A31" t="s">
        <v>926</v>
      </c>
      <c r="B31" s="23">
        <v>174</v>
      </c>
      <c r="C31" s="23">
        <v>1088</v>
      </c>
      <c r="D31" s="23">
        <v>2021</v>
      </c>
      <c r="E31" s="23">
        <v>65</v>
      </c>
      <c r="F31" s="23">
        <v>77</v>
      </c>
    </row>
    <row r="32" spans="1:6" ht="12.75">
      <c r="A32" t="s">
        <v>927</v>
      </c>
      <c r="B32" s="23">
        <v>72</v>
      </c>
      <c r="C32" s="23">
        <v>2182</v>
      </c>
      <c r="D32" s="23">
        <v>9655</v>
      </c>
      <c r="E32" s="23">
        <v>2</v>
      </c>
      <c r="F32" s="23">
        <v>169</v>
      </c>
    </row>
    <row r="33" spans="1:6" ht="12.75">
      <c r="A33" t="s">
        <v>928</v>
      </c>
      <c r="B33" s="23">
        <v>661</v>
      </c>
      <c r="D33" s="23">
        <v>793</v>
      </c>
      <c r="E33" s="23">
        <v>33</v>
      </c>
      <c r="F33" s="23">
        <v>20</v>
      </c>
    </row>
    <row r="34" spans="1:6" ht="12.75">
      <c r="A34" t="s">
        <v>929</v>
      </c>
      <c r="C34" s="23">
        <v>1815</v>
      </c>
      <c r="D34" s="23">
        <v>0</v>
      </c>
      <c r="F34" s="23">
        <v>14</v>
      </c>
    </row>
    <row r="35" spans="1:5" ht="12.75">
      <c r="A35" t="s">
        <v>930</v>
      </c>
      <c r="D35" s="23">
        <v>2292</v>
      </c>
      <c r="E35" s="23">
        <v>13</v>
      </c>
    </row>
    <row r="36" spans="1:6" ht="12.75">
      <c r="A36" s="1" t="s">
        <v>931</v>
      </c>
      <c r="B36" s="40">
        <f>SUM(B31:B35)</f>
        <v>907</v>
      </c>
      <c r="C36" s="40">
        <f>SUM(C31:C35)</f>
        <v>5085</v>
      </c>
      <c r="D36" s="40">
        <f>SUM(D31:D35)</f>
        <v>14761</v>
      </c>
      <c r="E36" s="40">
        <f>SUM(E31:E35)</f>
        <v>113</v>
      </c>
      <c r="F36" s="40">
        <f>SUM(F31:F35)</f>
        <v>280</v>
      </c>
    </row>
    <row r="39" spans="1:6" ht="12.75">
      <c r="A39" t="s">
        <v>933</v>
      </c>
      <c r="B39" s="23">
        <f>MAX(B4,B5)-B6-B7</f>
        <v>91</v>
      </c>
      <c r="C39" s="23">
        <f>MAX(C4,C5)-C6-C7</f>
        <v>572</v>
      </c>
      <c r="D39" s="23">
        <f>MAX(D4,D5)-D6-D7</f>
        <v>362.9</v>
      </c>
      <c r="E39" s="23">
        <f>MAX(E4,E5)-E6-E7</f>
        <v>10.700000000000003</v>
      </c>
      <c r="F39" s="255">
        <f>F4-F6-F7</f>
        <v>54</v>
      </c>
    </row>
    <row r="40" spans="1:6" ht="12.75">
      <c r="A40" t="s">
        <v>891</v>
      </c>
      <c r="B40" s="23">
        <f>B14+B9-B12</f>
        <v>69</v>
      </c>
      <c r="C40" s="23">
        <f>C14+C9-C12</f>
        <v>375</v>
      </c>
      <c r="D40" s="23">
        <f>D14+D9-D12</f>
        <v>262.9</v>
      </c>
      <c r="E40" s="23">
        <f>E14+E9-E12</f>
        <v>7.3000000000000025</v>
      </c>
      <c r="F40" s="23">
        <f>F14+F9-F12</f>
        <v>18</v>
      </c>
    </row>
    <row r="41" spans="1:6" ht="12.75">
      <c r="A41" t="s">
        <v>766</v>
      </c>
      <c r="B41" s="23">
        <f>B39-B9</f>
        <v>50</v>
      </c>
      <c r="C41" s="23">
        <f>C39-C9</f>
        <v>256</v>
      </c>
      <c r="D41" s="23">
        <f>D39-D9</f>
        <v>117.89999999999998</v>
      </c>
      <c r="E41" s="23">
        <f>E39-E9</f>
        <v>5.200000000000003</v>
      </c>
      <c r="F41" s="255">
        <f>F39-F9</f>
        <v>34</v>
      </c>
    </row>
    <row r="42" spans="1:6" ht="12.75">
      <c r="A42" t="s">
        <v>805</v>
      </c>
      <c r="B42" s="23">
        <f>B41-B10+B11</f>
        <v>48</v>
      </c>
      <c r="C42" s="23">
        <f>C41-C10+C11</f>
        <v>111</v>
      </c>
      <c r="D42" s="23">
        <f>D41-D10+D11</f>
        <v>17.899999999999977</v>
      </c>
      <c r="E42" s="23">
        <f>E41-E10+E11</f>
        <v>3.200000000000003</v>
      </c>
      <c r="F42" s="255">
        <f>F41-F10+F11</f>
        <v>-2</v>
      </c>
    </row>
    <row r="43" spans="1:6" ht="12.75">
      <c r="A43" s="164" t="s">
        <v>806</v>
      </c>
      <c r="B43" s="127">
        <f>B42-B13+B12</f>
        <v>33</v>
      </c>
      <c r="C43" s="127">
        <f>C42-C13+C12</f>
        <v>52</v>
      </c>
      <c r="D43" s="127">
        <f>D42-D13+D12</f>
        <v>6.899999999999977</v>
      </c>
      <c r="E43" s="127">
        <f>E42-E13+E12</f>
        <v>1.300000000000003</v>
      </c>
      <c r="F43" s="165">
        <f>F42-F13+F12</f>
        <v>0</v>
      </c>
    </row>
    <row r="44" spans="1:6" ht="12.75">
      <c r="A44" t="s">
        <v>934</v>
      </c>
      <c r="B44" s="23">
        <f>B25+B26-B33-B34</f>
        <v>-237</v>
      </c>
      <c r="C44" s="23">
        <f>C25+C26-C33-C34</f>
        <v>-345</v>
      </c>
      <c r="D44" s="23">
        <f>D25+D26-D33-D34</f>
        <v>488</v>
      </c>
      <c r="E44" s="23">
        <f>E25+E26-E33-E34</f>
        <v>34</v>
      </c>
      <c r="F44" s="23">
        <f>F25+F26-F33-F34</f>
        <v>-1</v>
      </c>
    </row>
    <row r="45" spans="1:6" ht="12.75">
      <c r="A45" t="s">
        <v>935</v>
      </c>
      <c r="B45" s="23">
        <f>B17+B18+B23+B24+B44</f>
        <v>-1</v>
      </c>
      <c r="C45" s="255">
        <f>C17+C18+C23+C24+C44</f>
        <v>2578</v>
      </c>
      <c r="D45" s="23">
        <f>D17+D18+D23+D24+D44</f>
        <v>13928</v>
      </c>
      <c r="E45" s="23">
        <f>E17+E18+E23+E24+E44</f>
        <v>69</v>
      </c>
      <c r="F45" s="255">
        <f>F17+F18+F23+F24+F44</f>
        <v>242</v>
      </c>
    </row>
    <row r="46" spans="1:6" ht="12.75">
      <c r="A46" t="s">
        <v>936</v>
      </c>
      <c r="B46" s="23">
        <f>B45-B31</f>
        <v>-175</v>
      </c>
      <c r="C46" s="255">
        <f>C45-C31</f>
        <v>1490</v>
      </c>
      <c r="D46" s="23">
        <f>D45-D31</f>
        <v>11907</v>
      </c>
      <c r="E46" s="23">
        <f>E45-E31</f>
        <v>4</v>
      </c>
      <c r="F46" s="255">
        <f>F45-F31</f>
        <v>165</v>
      </c>
    </row>
    <row r="47" spans="1:6" ht="12.75">
      <c r="A47" s="164" t="s">
        <v>313</v>
      </c>
      <c r="B47" s="127">
        <f>B31+B46</f>
        <v>-1</v>
      </c>
      <c r="C47" s="127">
        <f>C31+C46</f>
        <v>2578</v>
      </c>
      <c r="D47" s="127">
        <f>D31+D46</f>
        <v>13928</v>
      </c>
      <c r="E47" s="127">
        <f>E31+E46</f>
        <v>69</v>
      </c>
      <c r="F47" s="127">
        <f>F31+F46</f>
        <v>242</v>
      </c>
    </row>
  </sheetData>
  <printOptions/>
  <pageMargins left="0.7874015748031497" right="0.7874015748031497" top="0.984251968503937" bottom="0.984251968503937" header="0.5118110236220472" footer="0.5118110236220472"/>
  <pageSetup fitToHeight="3" fitToWidth="1" horizontalDpi="200" verticalDpi="200" orientation="landscape" paperSize="9" r:id="rId1"/>
  <headerFooter alignWithMargins="0">
    <oddFooter>&amp;L&amp;"Verdana,Italique"&amp;9&amp;F - &amp;A&amp;C&amp;P / &amp;N&amp;R&amp;"Verdana,Italique"&amp;9&amp;D - &amp;T</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A1:H54"/>
  <sheetViews>
    <sheetView showGridLines="0" zoomScale="75" zoomScaleNormal="75" workbookViewId="0" topLeftCell="A1">
      <selection activeCell="A1" sqref="A1"/>
    </sheetView>
  </sheetViews>
  <sheetFormatPr defaultColWidth="11.00390625" defaultRowHeight="12.75"/>
  <cols>
    <col min="1" max="1" width="26.875" style="0" customWidth="1"/>
    <col min="2" max="4" width="5.625" style="0" customWidth="1"/>
    <col min="5" max="5" width="24.625" style="0" customWidth="1"/>
    <col min="6" max="8" width="5.625" style="0" customWidth="1"/>
  </cols>
  <sheetData>
    <row r="1" ht="14.25">
      <c r="A1" s="41" t="s">
        <v>968</v>
      </c>
    </row>
    <row r="2" spans="1:7" ht="12.75">
      <c r="A2" s="1" t="s">
        <v>937</v>
      </c>
      <c r="B2" s="4" t="s">
        <v>943</v>
      </c>
      <c r="C2" s="4" t="s">
        <v>944</v>
      </c>
      <c r="D2" s="4"/>
      <c r="E2" s="1" t="s">
        <v>945</v>
      </c>
      <c r="F2" s="4" t="s">
        <v>943</v>
      </c>
      <c r="G2" s="4" t="s">
        <v>944</v>
      </c>
    </row>
    <row r="3" spans="1:7" ht="25.5">
      <c r="A3" s="3" t="s">
        <v>938</v>
      </c>
      <c r="B3">
        <v>100</v>
      </c>
      <c r="C3">
        <v>30</v>
      </c>
      <c r="E3" t="s">
        <v>946</v>
      </c>
      <c r="F3">
        <v>40</v>
      </c>
      <c r="G3">
        <v>10</v>
      </c>
    </row>
    <row r="4" spans="1:7" ht="12.75">
      <c r="A4" s="3" t="s">
        <v>939</v>
      </c>
      <c r="E4" t="s">
        <v>947</v>
      </c>
      <c r="F4">
        <v>80</v>
      </c>
      <c r="G4">
        <v>10</v>
      </c>
    </row>
    <row r="5" spans="1:7" ht="12.75">
      <c r="A5" s="10" t="s">
        <v>940</v>
      </c>
      <c r="B5">
        <v>16</v>
      </c>
      <c r="E5" t="s">
        <v>806</v>
      </c>
      <c r="F5">
        <v>10</v>
      </c>
      <c r="G5">
        <v>5</v>
      </c>
    </row>
    <row r="6" spans="1:7" ht="12.75">
      <c r="A6" s="10" t="s">
        <v>941</v>
      </c>
      <c r="B6">
        <v>5</v>
      </c>
      <c r="E6" t="s">
        <v>948</v>
      </c>
      <c r="F6">
        <v>191</v>
      </c>
      <c r="G6">
        <v>75</v>
      </c>
    </row>
    <row r="7" spans="1:3" ht="12.75">
      <c r="A7" s="3" t="s">
        <v>942</v>
      </c>
      <c r="B7">
        <v>200</v>
      </c>
      <c r="C7">
        <v>70</v>
      </c>
    </row>
    <row r="8" spans="1:7" ht="12.75">
      <c r="A8" s="1" t="s">
        <v>717</v>
      </c>
      <c r="B8" s="1">
        <f>SUM(B3:B7)</f>
        <v>321</v>
      </c>
      <c r="C8" s="1">
        <f>SUM(C3:C7)</f>
        <v>100</v>
      </c>
      <c r="D8" s="1"/>
      <c r="E8" s="1" t="s">
        <v>717</v>
      </c>
      <c r="F8" s="1">
        <f>SUM(F3:F7)</f>
        <v>321</v>
      </c>
      <c r="G8" s="1">
        <f>SUM(G3:G7)</f>
        <v>100</v>
      </c>
    </row>
    <row r="10" spans="1:4" ht="12.75">
      <c r="A10" s="1" t="s">
        <v>949</v>
      </c>
      <c r="B10" s="4" t="s">
        <v>943</v>
      </c>
      <c r="C10" s="4" t="s">
        <v>944</v>
      </c>
      <c r="D10" s="4"/>
    </row>
    <row r="11" spans="1:3" ht="12.75">
      <c r="A11" s="30" t="s">
        <v>950</v>
      </c>
      <c r="B11">
        <v>200</v>
      </c>
      <c r="C11">
        <v>90</v>
      </c>
    </row>
    <row r="12" spans="1:3" ht="12.75">
      <c r="A12" s="30" t="s">
        <v>964</v>
      </c>
      <c r="B12">
        <v>100</v>
      </c>
      <c r="C12">
        <v>50</v>
      </c>
    </row>
    <row r="13" spans="1:3" ht="12.75">
      <c r="A13" s="30" t="s">
        <v>959</v>
      </c>
      <c r="C13">
        <v>2</v>
      </c>
    </row>
    <row r="14" spans="1:3" ht="12.75">
      <c r="A14" s="30" t="s">
        <v>958</v>
      </c>
      <c r="B14">
        <v>25</v>
      </c>
      <c r="C14">
        <v>20</v>
      </c>
    </row>
    <row r="15" spans="1:3" ht="12.75">
      <c r="A15" s="30" t="s">
        <v>957</v>
      </c>
      <c r="B15">
        <v>40</v>
      </c>
      <c r="C15">
        <v>8</v>
      </c>
    </row>
    <row r="16" spans="1:3" ht="12.75">
      <c r="A16" s="30" t="s">
        <v>956</v>
      </c>
      <c r="B16">
        <v>10</v>
      </c>
      <c r="C16">
        <v>1</v>
      </c>
    </row>
    <row r="17" spans="1:2" ht="12.75">
      <c r="A17" s="30" t="s">
        <v>951</v>
      </c>
      <c r="B17">
        <v>3</v>
      </c>
    </row>
    <row r="18" spans="1:2" ht="12.75">
      <c r="A18" s="30" t="s">
        <v>955</v>
      </c>
      <c r="B18">
        <v>9</v>
      </c>
    </row>
    <row r="19" spans="1:2" ht="12.75">
      <c r="A19" s="30" t="s">
        <v>952</v>
      </c>
      <c r="B19">
        <v>2</v>
      </c>
    </row>
    <row r="20" spans="1:3" ht="12.75">
      <c r="A20" s="30" t="s">
        <v>954</v>
      </c>
      <c r="B20">
        <v>11</v>
      </c>
      <c r="C20">
        <v>4</v>
      </c>
    </row>
    <row r="21" spans="1:4" ht="12.75">
      <c r="A21" s="46" t="s">
        <v>953</v>
      </c>
      <c r="B21" s="1">
        <f>B11-B12-B13-B14-B15-B16+B17-B18+B19-B20</f>
        <v>10</v>
      </c>
      <c r="C21" s="1">
        <f>C11-C12-C13-C14-C15-C16+C17-C18+C19-C20</f>
        <v>5</v>
      </c>
      <c r="D21" s="1"/>
    </row>
    <row r="24" ht="12.75">
      <c r="A24" s="4" t="s">
        <v>965</v>
      </c>
    </row>
    <row r="25" spans="1:8" ht="12.75">
      <c r="A25" s="1" t="s">
        <v>937</v>
      </c>
      <c r="B25" s="47">
        <v>0.8</v>
      </c>
      <c r="C25" s="47">
        <v>0.5</v>
      </c>
      <c r="D25" s="47">
        <v>0.2</v>
      </c>
      <c r="E25" s="1" t="s">
        <v>945</v>
      </c>
      <c r="F25" s="47">
        <v>0.8</v>
      </c>
      <c r="G25" s="47">
        <v>0.5</v>
      </c>
      <c r="H25" s="47">
        <v>0.2</v>
      </c>
    </row>
    <row r="26" spans="1:8" ht="25.5">
      <c r="A26" s="3" t="s">
        <v>938</v>
      </c>
      <c r="B26">
        <f>B3+C3</f>
        <v>130</v>
      </c>
      <c r="C26">
        <f>B3+$C$25*C3</f>
        <v>115</v>
      </c>
      <c r="D26">
        <f>B3</f>
        <v>100</v>
      </c>
      <c r="E26" t="s">
        <v>946</v>
      </c>
      <c r="F26">
        <f>F3</f>
        <v>40</v>
      </c>
      <c r="G26">
        <f>F3</f>
        <v>40</v>
      </c>
      <c r="H26">
        <f>F3</f>
        <v>40</v>
      </c>
    </row>
    <row r="27" spans="1:5" ht="12.75">
      <c r="A27" s="3" t="s">
        <v>939</v>
      </c>
      <c r="B27">
        <f>B28+B29</f>
        <v>5</v>
      </c>
      <c r="C27">
        <f>C28+C29</f>
        <v>5</v>
      </c>
      <c r="D27">
        <f>D28+D29</f>
        <v>10</v>
      </c>
      <c r="E27" t="s">
        <v>947</v>
      </c>
    </row>
    <row r="28" spans="1:8" ht="12.75">
      <c r="A28" s="10" t="s">
        <v>1570</v>
      </c>
      <c r="B28" s="13"/>
      <c r="C28" s="13"/>
      <c r="D28" s="13">
        <f>SUM(G3:G5)*D25</f>
        <v>5</v>
      </c>
      <c r="E28" s="10" t="s">
        <v>966</v>
      </c>
      <c r="F28">
        <f>F4+G4+G3-B5-F29</f>
        <v>80</v>
      </c>
      <c r="G28">
        <f>F4+G4*C25+G3*C25-B5</f>
        <v>74</v>
      </c>
      <c r="H28">
        <f>F4+D25*SUM(G3:G4)-B5</f>
        <v>68</v>
      </c>
    </row>
    <row r="29" spans="1:6" ht="12.75">
      <c r="A29" s="10" t="s">
        <v>941</v>
      </c>
      <c r="B29" s="13">
        <f>B6</f>
        <v>5</v>
      </c>
      <c r="C29" s="13">
        <f>B6+$C$25*C6</f>
        <v>5</v>
      </c>
      <c r="D29" s="13">
        <f>B6</f>
        <v>5</v>
      </c>
      <c r="E29" s="10" t="s">
        <v>967</v>
      </c>
      <c r="F29">
        <f>(G4+G3)*(1-B25)</f>
        <v>3.999999999999999</v>
      </c>
    </row>
    <row r="30" spans="1:5" ht="12.75">
      <c r="A30" s="3" t="s">
        <v>942</v>
      </c>
      <c r="B30">
        <f>B7+C7</f>
        <v>270</v>
      </c>
      <c r="C30">
        <f>B7+$C$25*C7</f>
        <v>235</v>
      </c>
      <c r="D30">
        <f>B7</f>
        <v>200</v>
      </c>
      <c r="E30" t="s">
        <v>806</v>
      </c>
    </row>
    <row r="31" spans="1:8" ht="12.75">
      <c r="A31" s="3"/>
      <c r="E31" s="10" t="s">
        <v>966</v>
      </c>
      <c r="F31">
        <f>F5+G5*B25</f>
        <v>14</v>
      </c>
      <c r="G31">
        <f>F5+G5*C25</f>
        <v>12.5</v>
      </c>
      <c r="H31">
        <f>F5+G5*D25</f>
        <v>11</v>
      </c>
    </row>
    <row r="32" spans="1:6" ht="12.75">
      <c r="A32" s="1" t="s">
        <v>717</v>
      </c>
      <c r="B32" s="1">
        <f>B26+B27+B30</f>
        <v>405</v>
      </c>
      <c r="C32" s="1">
        <f>C26+C27+C30</f>
        <v>355</v>
      </c>
      <c r="D32" s="1">
        <f>D26+D27+D30</f>
        <v>310</v>
      </c>
      <c r="E32" s="10" t="s">
        <v>967</v>
      </c>
      <c r="F32">
        <f>G5*(1-B25)</f>
        <v>0.9999999999999998</v>
      </c>
    </row>
    <row r="33" spans="5:8" ht="12.75">
      <c r="E33" t="s">
        <v>948</v>
      </c>
      <c r="F33">
        <f>F6+G6</f>
        <v>266</v>
      </c>
      <c r="G33">
        <f>F6+G6*$C$25</f>
        <v>228.5</v>
      </c>
      <c r="H33">
        <f>F6</f>
        <v>191</v>
      </c>
    </row>
    <row r="34" spans="5:8" ht="12.75">
      <c r="E34" s="1" t="s">
        <v>717</v>
      </c>
      <c r="F34" s="1">
        <f>SUM(F26:F33)</f>
        <v>405</v>
      </c>
      <c r="G34" s="1">
        <f>SUM(G26:G33)</f>
        <v>355</v>
      </c>
      <c r="H34" s="1">
        <f>SUM(H26:H33)</f>
        <v>310</v>
      </c>
    </row>
    <row r="35" spans="5:8" ht="12.75">
      <c r="E35" s="1"/>
      <c r="F35" s="1"/>
      <c r="G35" s="1"/>
      <c r="H35" s="1"/>
    </row>
    <row r="36" spans="5:8" ht="12.75">
      <c r="E36" s="1"/>
      <c r="F36" s="1"/>
      <c r="G36" s="1"/>
      <c r="H36" s="1"/>
    </row>
    <row r="37" spans="1:4" ht="12.75">
      <c r="A37" s="1" t="s">
        <v>949</v>
      </c>
      <c r="B37" s="47">
        <v>0.8</v>
      </c>
      <c r="C37" s="47">
        <v>0.5</v>
      </c>
      <c r="D37" s="47">
        <v>0.2</v>
      </c>
    </row>
    <row r="38" spans="1:4" ht="12.75">
      <c r="A38" s="30" t="s">
        <v>950</v>
      </c>
      <c r="B38">
        <f>B11+C11</f>
        <v>290</v>
      </c>
      <c r="C38">
        <f>B11+C11*$C$25</f>
        <v>245</v>
      </c>
      <c r="D38">
        <f aca="true" t="shared" si="0" ref="D38:D44">B11</f>
        <v>200</v>
      </c>
    </row>
    <row r="39" spans="1:4" ht="12.75">
      <c r="A39" s="30" t="s">
        <v>964</v>
      </c>
      <c r="B39">
        <f aca="true" t="shared" si="1" ref="B39:B44">B12+C12</f>
        <v>150</v>
      </c>
      <c r="C39">
        <f aca="true" t="shared" si="2" ref="C39:C44">B12+C12*$C$25</f>
        <v>125</v>
      </c>
      <c r="D39">
        <f t="shared" si="0"/>
        <v>100</v>
      </c>
    </row>
    <row r="40" spans="1:4" ht="12.75">
      <c r="A40" s="30" t="s">
        <v>959</v>
      </c>
      <c r="B40">
        <f t="shared" si="1"/>
        <v>2</v>
      </c>
      <c r="C40">
        <f t="shared" si="2"/>
        <v>1</v>
      </c>
      <c r="D40">
        <f t="shared" si="0"/>
        <v>0</v>
      </c>
    </row>
    <row r="41" spans="1:4" ht="12.75">
      <c r="A41" s="30" t="s">
        <v>958</v>
      </c>
      <c r="B41">
        <f t="shared" si="1"/>
        <v>45</v>
      </c>
      <c r="C41">
        <f t="shared" si="2"/>
        <v>35</v>
      </c>
      <c r="D41">
        <f t="shared" si="0"/>
        <v>25</v>
      </c>
    </row>
    <row r="42" spans="1:4" ht="12.75">
      <c r="A42" s="30" t="s">
        <v>957</v>
      </c>
      <c r="B42">
        <f t="shared" si="1"/>
        <v>48</v>
      </c>
      <c r="C42">
        <f t="shared" si="2"/>
        <v>44</v>
      </c>
      <c r="D42">
        <f t="shared" si="0"/>
        <v>40</v>
      </c>
    </row>
    <row r="43" spans="1:4" ht="12.75">
      <c r="A43" s="30" t="s">
        <v>956</v>
      </c>
      <c r="B43">
        <f t="shared" si="1"/>
        <v>11</v>
      </c>
      <c r="C43">
        <f t="shared" si="2"/>
        <v>10.5</v>
      </c>
      <c r="D43">
        <f t="shared" si="0"/>
        <v>10</v>
      </c>
    </row>
    <row r="44" spans="1:4" ht="12.75">
      <c r="A44" s="30" t="s">
        <v>951</v>
      </c>
      <c r="B44">
        <f t="shared" si="1"/>
        <v>3</v>
      </c>
      <c r="C44">
        <f t="shared" si="2"/>
        <v>3</v>
      </c>
      <c r="D44">
        <f t="shared" si="0"/>
        <v>3</v>
      </c>
    </row>
    <row r="45" spans="1:4" ht="25.5">
      <c r="A45" s="34" t="s">
        <v>1571</v>
      </c>
      <c r="D45">
        <f>C21*D25</f>
        <v>1</v>
      </c>
    </row>
    <row r="46" spans="1:4" ht="12.75">
      <c r="A46" s="30" t="s">
        <v>955</v>
      </c>
      <c r="B46">
        <f>B18+C18</f>
        <v>9</v>
      </c>
      <c r="C46">
        <f>B18+C18*$C$25</f>
        <v>9</v>
      </c>
      <c r="D46">
        <f>B18</f>
        <v>9</v>
      </c>
    </row>
    <row r="47" spans="1:4" ht="12.75">
      <c r="A47" s="30" t="s">
        <v>952</v>
      </c>
      <c r="B47">
        <f>B19+C19</f>
        <v>2</v>
      </c>
      <c r="C47">
        <f>B19+C19*$C$25</f>
        <v>2</v>
      </c>
      <c r="D47">
        <f>B19</f>
        <v>2</v>
      </c>
    </row>
    <row r="48" spans="1:4" ht="12.75">
      <c r="A48" s="30" t="s">
        <v>954</v>
      </c>
      <c r="B48">
        <f>B20+C20</f>
        <v>15</v>
      </c>
      <c r="C48">
        <f>B20+C20*$C$25</f>
        <v>13</v>
      </c>
      <c r="D48">
        <f>B20</f>
        <v>11</v>
      </c>
    </row>
    <row r="49" spans="1:4" ht="12.75">
      <c r="A49" s="46" t="s">
        <v>953</v>
      </c>
      <c r="B49" s="1">
        <f>B38-B39-B40-B41-B42-B43+B44-B46+B47-B48</f>
        <v>15</v>
      </c>
      <c r="C49" s="1">
        <f>C38-C39-C40-C41-C42-C43+C44-C46+C47-C48</f>
        <v>12.5</v>
      </c>
      <c r="D49" s="1">
        <f>D38-D39-D40-D41-D42-D43+D44+D45-D46+D47-D48</f>
        <v>11</v>
      </c>
    </row>
    <row r="50" spans="1:2" ht="12.75">
      <c r="A50" s="30" t="s">
        <v>27</v>
      </c>
      <c r="B50" s="78">
        <f>(1-B25)*C21</f>
        <v>0.9999999999999998</v>
      </c>
    </row>
    <row r="51" spans="1:4" ht="12.75">
      <c r="A51" s="46" t="s">
        <v>1572</v>
      </c>
      <c r="B51" s="1">
        <f>B49-B50</f>
        <v>14</v>
      </c>
      <c r="C51" s="1"/>
      <c r="D51" s="1"/>
    </row>
    <row r="52" ht="12.75">
      <c r="A52" s="10"/>
    </row>
    <row r="54" ht="14.25">
      <c r="A54" s="41" t="s">
        <v>970</v>
      </c>
    </row>
  </sheetData>
  <printOptions/>
  <pageMargins left="0.7874015748031497" right="0.7874015748031497" top="0.984251968503937" bottom="0.984251968503937" header="0.5118110236220472" footer="0.5118110236220472"/>
  <pageSetup fitToHeight="3" fitToWidth="1" horizontalDpi="200" verticalDpi="200" orientation="landscape" paperSize="9" r:id="rId2"/>
  <headerFooter alignWithMargins="0">
    <oddFooter>&amp;L&amp;"Verdana,Italique"&amp;9&amp;F - &amp;A&amp;C&amp;P / &amp;N&amp;R&amp;"Verdana,Italique"&amp;9&amp;D - &amp;T</oddFooter>
  </headerFooter>
  <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H137"/>
  <sheetViews>
    <sheetView showGridLines="0" zoomScale="75" zoomScaleNormal="75" workbookViewId="0" topLeftCell="A1">
      <selection activeCell="A1" sqref="A1"/>
    </sheetView>
  </sheetViews>
  <sheetFormatPr defaultColWidth="11.00390625" defaultRowHeight="12.75"/>
  <cols>
    <col min="1" max="1" width="37.25390625" style="0" bestFit="1" customWidth="1"/>
    <col min="2" max="5" width="12.50390625" style="0" bestFit="1" customWidth="1"/>
    <col min="6" max="6" width="13.50390625" style="0" bestFit="1" customWidth="1"/>
  </cols>
  <sheetData>
    <row r="1" spans="1:7" ht="14.25">
      <c r="A1" s="41" t="s">
        <v>264</v>
      </c>
      <c r="F1" s="76"/>
      <c r="G1" s="76"/>
    </row>
    <row r="2" spans="2:7" ht="12.75">
      <c r="B2" s="4">
        <v>1997</v>
      </c>
      <c r="C2" s="4">
        <v>1998</v>
      </c>
      <c r="D2" s="4">
        <v>1999</v>
      </c>
      <c r="F2" s="4"/>
      <c r="G2" s="4"/>
    </row>
    <row r="3" spans="1:6" ht="12.75">
      <c r="A3" t="s">
        <v>906</v>
      </c>
      <c r="B3" s="75">
        <v>256</v>
      </c>
      <c r="C3" s="75">
        <v>326</v>
      </c>
      <c r="D3" s="75">
        <v>422</v>
      </c>
      <c r="E3" s="75"/>
      <c r="F3" s="75"/>
    </row>
    <row r="4" spans="1:7" ht="12.75">
      <c r="A4" t="s">
        <v>1189</v>
      </c>
      <c r="B4" s="75">
        <v>78</v>
      </c>
      <c r="C4" s="75">
        <v>104</v>
      </c>
      <c r="D4" s="75">
        <v>143</v>
      </c>
      <c r="E4" s="47"/>
      <c r="F4" s="75"/>
      <c r="G4" s="75"/>
    </row>
    <row r="5" spans="1:7" ht="12.75">
      <c r="A5" t="s">
        <v>715</v>
      </c>
      <c r="B5" s="75">
        <v>102</v>
      </c>
      <c r="C5" s="75">
        <v>139</v>
      </c>
      <c r="D5" s="75">
        <v>190</v>
      </c>
      <c r="E5" s="75"/>
      <c r="F5" s="75"/>
      <c r="G5" s="75"/>
    </row>
    <row r="6" spans="1:6" ht="12.75">
      <c r="A6" t="s">
        <v>766</v>
      </c>
      <c r="B6" s="75">
        <v>41</v>
      </c>
      <c r="C6" s="75">
        <v>52</v>
      </c>
      <c r="D6" s="75">
        <v>59</v>
      </c>
      <c r="E6" s="75"/>
      <c r="F6" s="75"/>
    </row>
    <row r="7" spans="1:6" ht="12.75">
      <c r="A7" t="s">
        <v>806</v>
      </c>
      <c r="B7" s="75">
        <v>23</v>
      </c>
      <c r="C7" s="75">
        <v>27</v>
      </c>
      <c r="D7" s="75">
        <v>30</v>
      </c>
      <c r="E7" s="75"/>
      <c r="F7" s="75"/>
    </row>
    <row r="8" spans="1:6" ht="12.75">
      <c r="A8" t="s">
        <v>926</v>
      </c>
      <c r="B8" s="75">
        <v>119</v>
      </c>
      <c r="C8" s="75">
        <v>129</v>
      </c>
      <c r="D8" s="75">
        <v>152</v>
      </c>
      <c r="E8" s="75"/>
      <c r="F8" s="75"/>
    </row>
    <row r="9" spans="1:6" ht="12.75">
      <c r="A9" t="s">
        <v>1190</v>
      </c>
      <c r="B9" s="75">
        <v>42</v>
      </c>
      <c r="C9" s="75">
        <v>125</v>
      </c>
      <c r="D9" s="75">
        <v>150</v>
      </c>
      <c r="E9" s="75"/>
      <c r="F9" s="75"/>
    </row>
    <row r="11" ht="12.75">
      <c r="A11" s="31" t="s">
        <v>1191</v>
      </c>
    </row>
    <row r="12" ht="12.75">
      <c r="A12" s="31"/>
    </row>
    <row r="13" spans="1:4" ht="12.75">
      <c r="A13" s="78" t="s">
        <v>1575</v>
      </c>
      <c r="C13" s="47">
        <f>C3/B3-1</f>
        <v>0.2734375</v>
      </c>
      <c r="D13" s="47">
        <f>D3/C3-1</f>
        <v>0.29447852760736204</v>
      </c>
    </row>
    <row r="14" spans="1:4" ht="12.75">
      <c r="A14" s="78" t="s">
        <v>1576</v>
      </c>
      <c r="B14" s="47">
        <f>B6/B3</f>
        <v>0.16015625</v>
      </c>
      <c r="C14" s="47">
        <f>C6/C3</f>
        <v>0.15950920245398773</v>
      </c>
      <c r="D14" s="47">
        <f>D6/D3</f>
        <v>0.13981042654028436</v>
      </c>
    </row>
    <row r="15" spans="1:4" ht="12.75">
      <c r="A15" s="78" t="s">
        <v>1577</v>
      </c>
      <c r="B15" s="47">
        <f>B7/B3</f>
        <v>0.08984375</v>
      </c>
      <c r="C15" s="47">
        <f>C7/C3</f>
        <v>0.08282208588957055</v>
      </c>
      <c r="D15" s="47">
        <f>D7/D3</f>
        <v>0.07109004739336493</v>
      </c>
    </row>
    <row r="16" spans="1:4" ht="12.75">
      <c r="A16" s="78" t="s">
        <v>1579</v>
      </c>
      <c r="B16" s="47">
        <f>B6*0.6/(B8+B9)</f>
        <v>0.15279503105590062</v>
      </c>
      <c r="C16" s="47">
        <f>C6*0.6/(C8+C9)</f>
        <v>0.12283464566929134</v>
      </c>
      <c r="D16" s="47">
        <f>D6*0.6/(D8+D9)</f>
        <v>0.1172185430463576</v>
      </c>
    </row>
    <row r="17" spans="1:4" ht="12.75">
      <c r="A17" t="s">
        <v>1192</v>
      </c>
      <c r="B17" s="25">
        <f>B8/B9</f>
        <v>2.8333333333333335</v>
      </c>
      <c r="C17" s="25">
        <f>C8/C9</f>
        <v>1.032</v>
      </c>
      <c r="D17" s="25">
        <f>D8/D9</f>
        <v>1.0133333333333334</v>
      </c>
    </row>
    <row r="18" spans="1:4" ht="12.75">
      <c r="A18" t="s">
        <v>1343</v>
      </c>
      <c r="B18" s="25">
        <f>B7/B8</f>
        <v>0.19327731092436976</v>
      </c>
      <c r="C18" s="25">
        <f>C7/C8</f>
        <v>0.20930232558139536</v>
      </c>
      <c r="D18" s="25">
        <f>D7/D8</f>
        <v>0.19736842105263158</v>
      </c>
    </row>
    <row r="19" spans="2:4" ht="12.75">
      <c r="B19" s="47"/>
      <c r="C19" s="47"/>
      <c r="D19" s="47"/>
    </row>
    <row r="20" spans="2:4" ht="12.75">
      <c r="B20" s="47"/>
      <c r="C20" s="47"/>
      <c r="D20" s="47"/>
    </row>
    <row r="21" spans="1:4" ht="12.75">
      <c r="A21" s="31" t="s">
        <v>1583</v>
      </c>
      <c r="B21" s="47"/>
      <c r="C21" s="47"/>
      <c r="D21" s="47"/>
    </row>
    <row r="22" spans="1:4" ht="12.75">
      <c r="A22" s="1"/>
      <c r="B22" s="47"/>
      <c r="C22" s="47"/>
      <c r="D22" s="47"/>
    </row>
    <row r="23" spans="1:4" ht="12.75">
      <c r="A23" t="s">
        <v>1580</v>
      </c>
      <c r="B23" s="75">
        <f>B4+B5</f>
        <v>180</v>
      </c>
      <c r="C23" s="75">
        <f>C4+C5</f>
        <v>243</v>
      </c>
      <c r="D23" s="75">
        <f>D4+D5</f>
        <v>333</v>
      </c>
    </row>
    <row r="24" spans="1:4" ht="12.75">
      <c r="A24" t="s">
        <v>1581</v>
      </c>
      <c r="B24" s="47">
        <f>B23/(B3-B6)</f>
        <v>0.8372093023255814</v>
      </c>
      <c r="C24" s="47">
        <f>C23/(C3-C6)</f>
        <v>0.8868613138686131</v>
      </c>
      <c r="D24" s="47">
        <f>D23/(D3-D6)</f>
        <v>0.9173553719008265</v>
      </c>
    </row>
    <row r="25" spans="1:4" ht="12.75">
      <c r="A25" t="s">
        <v>1582</v>
      </c>
      <c r="B25" s="47">
        <f>B23/B3</f>
        <v>0.703125</v>
      </c>
      <c r="C25" s="47">
        <f>C23/C3</f>
        <v>0.745398773006135</v>
      </c>
      <c r="D25" s="47">
        <f>D23/D3</f>
        <v>0.7890995260663507</v>
      </c>
    </row>
    <row r="26" spans="2:4" ht="12.75">
      <c r="B26" s="47"/>
      <c r="C26" s="47"/>
      <c r="D26" s="47"/>
    </row>
    <row r="27" spans="2:4" ht="12.75">
      <c r="B27" s="47"/>
      <c r="C27" s="47"/>
      <c r="D27" s="47"/>
    </row>
    <row r="28" spans="1:8" ht="12.75">
      <c r="A28" s="31" t="s">
        <v>1584</v>
      </c>
      <c r="F28" s="76"/>
      <c r="G28" s="76"/>
      <c r="H28" s="76"/>
    </row>
    <row r="29" spans="1:8" ht="12.75">
      <c r="A29" s="31"/>
      <c r="F29" s="76"/>
      <c r="G29" s="76"/>
      <c r="H29" s="76"/>
    </row>
    <row r="30" spans="1:8" ht="12.75">
      <c r="A30" s="78" t="s">
        <v>1589</v>
      </c>
      <c r="F30" s="76"/>
      <c r="G30" s="76"/>
      <c r="H30" s="76"/>
    </row>
    <row r="31" spans="1:8" ht="12.75">
      <c r="A31" s="78"/>
      <c r="F31" s="76"/>
      <c r="G31" s="76"/>
      <c r="H31" s="76"/>
    </row>
    <row r="32" spans="1:8" ht="12.75">
      <c r="A32" s="78" t="s">
        <v>1585</v>
      </c>
      <c r="B32" s="47">
        <v>0.4</v>
      </c>
      <c r="F32" s="76"/>
      <c r="G32" s="76"/>
      <c r="H32" s="76"/>
    </row>
    <row r="33" spans="1:8" ht="12.75">
      <c r="A33" s="78" t="s">
        <v>1586</v>
      </c>
      <c r="B33" s="47">
        <v>0.11</v>
      </c>
      <c r="F33" s="76"/>
      <c r="G33" s="76"/>
      <c r="H33" s="76"/>
    </row>
    <row r="34" spans="1:8" ht="12.75">
      <c r="A34" s="1"/>
      <c r="F34" s="76"/>
      <c r="G34" s="76"/>
      <c r="H34" s="76"/>
    </row>
    <row r="35" spans="2:4" ht="12.75">
      <c r="B35" s="4">
        <v>1999</v>
      </c>
      <c r="C35" s="4">
        <v>2000</v>
      </c>
      <c r="D35" s="4" t="s">
        <v>1587</v>
      </c>
    </row>
    <row r="36" spans="1:5" ht="12.75">
      <c r="A36" t="s">
        <v>906</v>
      </c>
      <c r="B36" s="75">
        <f>D3</f>
        <v>422</v>
      </c>
      <c r="C36" s="75">
        <f>B36</f>
        <v>422</v>
      </c>
      <c r="D36" s="47"/>
      <c r="E36" s="75"/>
    </row>
    <row r="37" spans="1:5" ht="12.75">
      <c r="A37" t="s">
        <v>1189</v>
      </c>
      <c r="B37" s="75">
        <f>+D4</f>
        <v>143</v>
      </c>
      <c r="C37" s="75">
        <f>B37*(1+B32)</f>
        <v>200.2</v>
      </c>
      <c r="D37" s="47">
        <f>C37/B37-1</f>
        <v>0.3999999999999999</v>
      </c>
      <c r="E37" s="75"/>
    </row>
    <row r="38" spans="1:5" ht="12.75">
      <c r="A38" t="s">
        <v>715</v>
      </c>
      <c r="B38" s="75">
        <f>D5</f>
        <v>190</v>
      </c>
      <c r="C38" s="75">
        <f>B38*(1+B33)</f>
        <v>210.9</v>
      </c>
      <c r="D38" s="47">
        <f>C38/B38-1</f>
        <v>0.1100000000000001</v>
      </c>
      <c r="E38" s="75"/>
    </row>
    <row r="39" spans="1:5" ht="12.75">
      <c r="A39" t="s">
        <v>766</v>
      </c>
      <c r="B39" s="75">
        <f>D6</f>
        <v>59</v>
      </c>
      <c r="C39" s="75">
        <f>C36-C37-C38-(B36-SUM(B37:B39))</f>
        <v>-19.099999999999994</v>
      </c>
      <c r="D39" s="47">
        <f>C39/B39-1</f>
        <v>-1.323728813559322</v>
      </c>
      <c r="E39" s="75"/>
    </row>
    <row r="40" spans="1:5" ht="12.75">
      <c r="A40" t="s">
        <v>806</v>
      </c>
      <c r="B40" s="75">
        <f>B39-(D6-D7)</f>
        <v>30</v>
      </c>
      <c r="C40" s="75">
        <f>C39-(B39-B40)</f>
        <v>-48.099999999999994</v>
      </c>
      <c r="D40" s="47">
        <f>C40/B40-1</f>
        <v>-2.603333333333333</v>
      </c>
      <c r="E40" s="75"/>
    </row>
    <row r="43" spans="1:3" ht="12.75">
      <c r="A43" t="s">
        <v>1576</v>
      </c>
      <c r="B43" s="47">
        <f>+B39/B36</f>
        <v>0.13981042654028436</v>
      </c>
      <c r="C43" s="47">
        <f>+C39/C36</f>
        <v>-0.04526066350710899</v>
      </c>
    </row>
    <row r="44" spans="1:3" ht="12.75">
      <c r="A44" t="s">
        <v>1577</v>
      </c>
      <c r="B44" s="47">
        <f>+B40/B36</f>
        <v>0.07109004739336493</v>
      </c>
      <c r="C44" s="47">
        <f>+C40/C36</f>
        <v>-0.11398104265402842</v>
      </c>
    </row>
    <row r="45" spans="1:3" ht="12.75">
      <c r="A45" t="s">
        <v>1578</v>
      </c>
      <c r="B45" s="47">
        <f>+B39*0.6/(B8+B9)</f>
        <v>0.21987577639751552</v>
      </c>
      <c r="C45" s="47">
        <f>+C39*0.6/(C8+C9)</f>
        <v>-0.045118110236220456</v>
      </c>
    </row>
    <row r="46" spans="1:3" ht="12.75">
      <c r="A46" t="s">
        <v>1588</v>
      </c>
      <c r="B46" s="47">
        <f>B40/B8</f>
        <v>0.25210084033613445</v>
      </c>
      <c r="C46" s="47">
        <f>C40/C8</f>
        <v>-0.37286821705426354</v>
      </c>
    </row>
    <row r="49" ht="14.25">
      <c r="A49" s="41" t="s">
        <v>265</v>
      </c>
    </row>
    <row r="50" ht="12.75">
      <c r="A50" t="s">
        <v>818</v>
      </c>
    </row>
    <row r="51" spans="1:6" ht="12.75">
      <c r="A51" s="33"/>
      <c r="B51" s="33">
        <v>1996</v>
      </c>
      <c r="C51" s="33">
        <f>B51+1</f>
        <v>1997</v>
      </c>
      <c r="D51" s="33">
        <f>C51+1</f>
        <v>1998</v>
      </c>
      <c r="E51" s="33">
        <f>D51+1</f>
        <v>1999</v>
      </c>
      <c r="F51" s="33">
        <f>E51+1</f>
        <v>2000</v>
      </c>
    </row>
    <row r="52" spans="1:6" ht="12.75">
      <c r="A52" t="s">
        <v>906</v>
      </c>
      <c r="B52" s="137">
        <v>13289</v>
      </c>
      <c r="C52" s="137">
        <v>20273</v>
      </c>
      <c r="D52" s="137">
        <v>31260</v>
      </c>
      <c r="E52" s="137">
        <v>40112</v>
      </c>
      <c r="F52" s="137">
        <v>100789</v>
      </c>
    </row>
    <row r="53" ht="12.75">
      <c r="A53" t="s">
        <v>806</v>
      </c>
    </row>
    <row r="54" spans="1:6" ht="12.75">
      <c r="A54" s="294" t="s">
        <v>1182</v>
      </c>
      <c r="B54" s="190">
        <v>493</v>
      </c>
      <c r="C54" s="190">
        <v>515</v>
      </c>
      <c r="D54" s="190">
        <v>698</v>
      </c>
      <c r="E54" s="190">
        <v>957</v>
      </c>
      <c r="F54" s="190">
        <v>1266</v>
      </c>
    </row>
    <row r="55" spans="1:6" ht="12.75">
      <c r="A55" s="294" t="s">
        <v>811</v>
      </c>
      <c r="B55" s="190">
        <v>91</v>
      </c>
      <c r="C55" s="190">
        <v>-410</v>
      </c>
      <c r="D55" s="190">
        <v>5</v>
      </c>
      <c r="E55" s="190">
        <v>-64</v>
      </c>
      <c r="F55" s="190">
        <v>-287</v>
      </c>
    </row>
    <row r="56" spans="1:6" ht="12.75">
      <c r="A56" s="71" t="s">
        <v>717</v>
      </c>
      <c r="B56" s="295">
        <f>B54+B55</f>
        <v>584</v>
      </c>
      <c r="C56" s="295">
        <f>C54+C55</f>
        <v>105</v>
      </c>
      <c r="D56" s="295">
        <f>D54+D55</f>
        <v>703</v>
      </c>
      <c r="E56" s="295">
        <f>E54+E55</f>
        <v>893</v>
      </c>
      <c r="F56" s="295">
        <f>F54+F55</f>
        <v>979</v>
      </c>
    </row>
    <row r="57" ht="12.75">
      <c r="A57" t="s">
        <v>812</v>
      </c>
    </row>
    <row r="58" spans="1:6" ht="12.75">
      <c r="A58" s="294" t="s">
        <v>813</v>
      </c>
      <c r="B58">
        <v>0.91</v>
      </c>
      <c r="C58">
        <v>0.87</v>
      </c>
      <c r="D58">
        <v>0.48</v>
      </c>
      <c r="E58">
        <v>0.5</v>
      </c>
      <c r="F58" s="6">
        <v>0.5</v>
      </c>
    </row>
    <row r="59" spans="1:6" ht="12.75">
      <c r="A59" s="294" t="s">
        <v>811</v>
      </c>
      <c r="B59">
        <v>0.17</v>
      </c>
      <c r="C59">
        <v>-0.71</v>
      </c>
      <c r="D59">
        <v>0.01</v>
      </c>
      <c r="E59">
        <v>-0.08</v>
      </c>
      <c r="F59">
        <v>0.35</v>
      </c>
    </row>
    <row r="60" spans="1:6" ht="12.75">
      <c r="A60" s="71" t="s">
        <v>717</v>
      </c>
      <c r="B60" s="71">
        <f>B58+B59</f>
        <v>1.08</v>
      </c>
      <c r="C60" s="71">
        <f>C58+C59</f>
        <v>0.16000000000000003</v>
      </c>
      <c r="D60" s="71">
        <f>D58+D59</f>
        <v>0.49</v>
      </c>
      <c r="E60" s="71">
        <f>E58+E59</f>
        <v>0.42</v>
      </c>
      <c r="F60" s="71">
        <f>F58+F59</f>
        <v>0.85</v>
      </c>
    </row>
    <row r="61" spans="1:6" ht="12.75">
      <c r="A61" t="s">
        <v>814</v>
      </c>
      <c r="B61">
        <v>0.43</v>
      </c>
      <c r="C61">
        <v>0.46</v>
      </c>
      <c r="D61">
        <v>0.48</v>
      </c>
      <c r="E61" s="6">
        <v>0.5</v>
      </c>
      <c r="F61" s="6">
        <v>0.5</v>
      </c>
    </row>
    <row r="62" spans="1:6" ht="12.75">
      <c r="A62" t="s">
        <v>815</v>
      </c>
      <c r="B62" s="190">
        <v>16137</v>
      </c>
      <c r="C62" s="190">
        <v>22552</v>
      </c>
      <c r="D62" s="190">
        <v>29350</v>
      </c>
      <c r="E62" s="190">
        <v>33381</v>
      </c>
      <c r="F62" s="190">
        <v>65503</v>
      </c>
    </row>
    <row r="63" spans="1:6" ht="25.5">
      <c r="A63" s="3" t="s">
        <v>816</v>
      </c>
      <c r="B63" s="190">
        <v>742</v>
      </c>
      <c r="C63" s="190">
        <v>276</v>
      </c>
      <c r="D63" s="190">
        <v>1873</v>
      </c>
      <c r="E63" s="190">
        <v>2228</v>
      </c>
      <c r="F63" s="190">
        <v>3010</v>
      </c>
    </row>
    <row r="64" spans="1:6" ht="12.75">
      <c r="A64" t="s">
        <v>710</v>
      </c>
      <c r="B64" s="190">
        <v>1483</v>
      </c>
      <c r="C64" s="190">
        <v>2092</v>
      </c>
      <c r="D64" s="190">
        <v>3564</v>
      </c>
      <c r="E64" s="190">
        <v>3085</v>
      </c>
      <c r="F64" s="190">
        <v>3314</v>
      </c>
    </row>
    <row r="65" spans="1:6" ht="12.75">
      <c r="A65" t="s">
        <v>817</v>
      </c>
      <c r="B65">
        <v>22</v>
      </c>
      <c r="C65">
        <v>21</v>
      </c>
      <c r="D65">
        <v>29</v>
      </c>
      <c r="E65">
        <v>44</v>
      </c>
      <c r="F65">
        <v>83</v>
      </c>
    </row>
    <row r="69" ht="12.75">
      <c r="A69" s="31" t="s">
        <v>823</v>
      </c>
    </row>
    <row r="70" ht="12.75">
      <c r="A70" s="31"/>
    </row>
    <row r="71" ht="12.75">
      <c r="A71" t="s">
        <v>819</v>
      </c>
    </row>
    <row r="72" ht="12.75">
      <c r="A72" t="s">
        <v>820</v>
      </c>
    </row>
    <row r="73" ht="12.75">
      <c r="A73" t="s">
        <v>821</v>
      </c>
    </row>
    <row r="74" ht="12.75">
      <c r="A74" t="s">
        <v>822</v>
      </c>
    </row>
    <row r="76" ht="12.75">
      <c r="A76" t="s">
        <v>676</v>
      </c>
    </row>
    <row r="137" ht="12.75">
      <c r="A137" t="s">
        <v>824</v>
      </c>
    </row>
  </sheetData>
  <printOptions/>
  <pageMargins left="0.7874015748031497" right="0.7874015748031497" top="0.984251968503937" bottom="0.984251968503937" header="0.5118110236220472" footer="0.5118110236220472"/>
  <pageSetup fitToHeight="2" fitToWidth="1" horizontalDpi="200" verticalDpi="200" orientation="landscape" paperSize="9" r:id="rId1"/>
  <headerFooter alignWithMargins="0">
    <oddFooter>&amp;L&amp;"Verdana,Italique"&amp;9&amp;F - &amp;A&amp;C&amp;P / &amp;N&amp;R&amp;"Verdana,Italique"&amp;9&amp;D - &amp;T</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F57"/>
  <sheetViews>
    <sheetView showGridLines="0" zoomScale="75" zoomScaleNormal="75" workbookViewId="0" topLeftCell="A1">
      <selection activeCell="A1" sqref="A1"/>
    </sheetView>
  </sheetViews>
  <sheetFormatPr defaultColWidth="11.00390625" defaultRowHeight="12.75"/>
  <cols>
    <col min="1" max="1" width="55.75390625" style="0" customWidth="1"/>
    <col min="2" max="6" width="18.25390625" style="0" customWidth="1"/>
    <col min="7" max="7" width="19.625" style="0" customWidth="1"/>
  </cols>
  <sheetData>
    <row r="1" ht="14.25">
      <c r="A1" s="41" t="s">
        <v>968</v>
      </c>
    </row>
    <row r="2" ht="14.25">
      <c r="A2" s="41"/>
    </row>
    <row r="3" spans="1:6" ht="12.75">
      <c r="A3" s="53" t="s">
        <v>339</v>
      </c>
      <c r="B3" s="53">
        <v>1</v>
      </c>
      <c r="C3" s="53">
        <f>B3+1</f>
        <v>2</v>
      </c>
      <c r="D3" s="53">
        <f>C3+1</f>
        <v>3</v>
      </c>
      <c r="E3" s="53">
        <f>D3+1</f>
        <v>4</v>
      </c>
      <c r="F3" s="53">
        <f>E3+1</f>
        <v>5</v>
      </c>
    </row>
    <row r="4" spans="1:6" ht="12.75">
      <c r="A4" t="s">
        <v>906</v>
      </c>
      <c r="B4" s="293">
        <v>100</v>
      </c>
      <c r="C4" s="293">
        <v>100</v>
      </c>
      <c r="D4" s="293">
        <v>100</v>
      </c>
      <c r="E4" s="293">
        <v>100</v>
      </c>
      <c r="F4" s="293">
        <v>100</v>
      </c>
    </row>
    <row r="5" spans="1:6" ht="12.75">
      <c r="A5" t="s">
        <v>727</v>
      </c>
      <c r="B5" s="293">
        <v>100</v>
      </c>
      <c r="C5" s="293">
        <v>100</v>
      </c>
      <c r="D5" s="293">
        <v>104</v>
      </c>
      <c r="E5" s="293">
        <v>99</v>
      </c>
      <c r="F5" s="293">
        <v>0</v>
      </c>
    </row>
    <row r="6" spans="1:6" ht="12.75">
      <c r="A6" t="s">
        <v>830</v>
      </c>
      <c r="B6" s="293">
        <v>23</v>
      </c>
      <c r="C6" s="293">
        <v>24.8</v>
      </c>
      <c r="D6" s="293">
        <v>0</v>
      </c>
      <c r="E6" s="293">
        <v>0</v>
      </c>
      <c r="F6" s="293">
        <v>0</v>
      </c>
    </row>
    <row r="7" spans="1:6" ht="12.75">
      <c r="A7" s="55" t="s">
        <v>831</v>
      </c>
      <c r="B7" s="300">
        <v>0</v>
      </c>
      <c r="C7" s="300">
        <v>0</v>
      </c>
      <c r="D7" s="423">
        <v>46.6</v>
      </c>
      <c r="E7" s="297">
        <v>23.6</v>
      </c>
      <c r="F7" s="300">
        <v>0</v>
      </c>
    </row>
    <row r="8" spans="1:6" ht="12.75">
      <c r="A8" s="55" t="s">
        <v>832</v>
      </c>
      <c r="B8" s="300">
        <v>7.8</v>
      </c>
      <c r="C8" s="300">
        <v>7</v>
      </c>
      <c r="D8" s="423"/>
      <c r="E8" s="297">
        <v>46.9</v>
      </c>
      <c r="F8" s="300">
        <v>14.1</v>
      </c>
    </row>
    <row r="9" spans="1:6" ht="12.75">
      <c r="A9" s="55" t="s">
        <v>715</v>
      </c>
      <c r="B9" s="300">
        <v>9.3</v>
      </c>
      <c r="C9" s="300">
        <v>11.7</v>
      </c>
      <c r="D9" s="300">
        <v>21.5</v>
      </c>
      <c r="E9" s="297">
        <v>24.1</v>
      </c>
      <c r="F9" s="300">
        <v>88.2</v>
      </c>
    </row>
    <row r="10" spans="1:6" ht="12.75">
      <c r="A10" s="55" t="s">
        <v>833</v>
      </c>
      <c r="B10" s="300">
        <v>6.8</v>
      </c>
      <c r="C10" s="300">
        <v>6.7</v>
      </c>
      <c r="D10" s="300">
        <v>28.1</v>
      </c>
      <c r="E10" s="297">
        <v>3.7</v>
      </c>
      <c r="F10" s="300">
        <v>4.6</v>
      </c>
    </row>
    <row r="11" spans="1:6" ht="12.75">
      <c r="A11" s="55" t="s">
        <v>803</v>
      </c>
      <c r="B11" s="300">
        <v>2.6</v>
      </c>
      <c r="C11" s="300">
        <v>0.9</v>
      </c>
      <c r="D11" s="300">
        <v>14.4</v>
      </c>
      <c r="E11" s="297">
        <v>1.2</v>
      </c>
      <c r="F11" s="300">
        <v>0.7</v>
      </c>
    </row>
    <row r="12" spans="1:6" ht="12.75">
      <c r="A12" s="55" t="s">
        <v>766</v>
      </c>
      <c r="B12" s="300">
        <f>B10-B11</f>
        <v>4.199999999999999</v>
      </c>
      <c r="C12" s="300">
        <v>5.8</v>
      </c>
      <c r="D12" s="300">
        <v>7.1</v>
      </c>
      <c r="E12" s="300">
        <v>2.9</v>
      </c>
      <c r="F12" s="300">
        <v>3.1</v>
      </c>
    </row>
    <row r="13" spans="1:6" ht="12.75">
      <c r="A13" s="1"/>
      <c r="B13" s="299"/>
      <c r="C13" s="299"/>
      <c r="D13" s="299"/>
      <c r="E13" s="299"/>
      <c r="F13" s="299"/>
    </row>
    <row r="14" ht="14.25">
      <c r="A14" s="20"/>
    </row>
    <row r="15" spans="1:6" ht="14.25">
      <c r="A15" s="301" t="s">
        <v>842</v>
      </c>
      <c r="B15" s="302" t="s">
        <v>836</v>
      </c>
      <c r="C15" s="302" t="s">
        <v>839</v>
      </c>
      <c r="D15" s="302" t="s">
        <v>834</v>
      </c>
      <c r="E15" s="302" t="s">
        <v>841</v>
      </c>
      <c r="F15" s="302" t="s">
        <v>838</v>
      </c>
    </row>
    <row r="16" spans="1:6" ht="14.25">
      <c r="A16" s="301" t="s">
        <v>843</v>
      </c>
      <c r="B16" s="118" t="s">
        <v>837</v>
      </c>
      <c r="C16" s="118" t="s">
        <v>840</v>
      </c>
      <c r="D16" s="118" t="s">
        <v>835</v>
      </c>
      <c r="E16" s="118" t="s">
        <v>1264</v>
      </c>
      <c r="F16" s="118" t="s">
        <v>715</v>
      </c>
    </row>
    <row r="17" ht="14.25">
      <c r="A17" s="20"/>
    </row>
    <row r="18" ht="14.25">
      <c r="A18" s="20"/>
    </row>
    <row r="19" ht="14.25">
      <c r="A19" s="41" t="s">
        <v>970</v>
      </c>
    </row>
    <row r="20" ht="14.25">
      <c r="A20" s="20"/>
    </row>
    <row r="21" spans="1:6" ht="12.75">
      <c r="A21" s="53" t="s">
        <v>339</v>
      </c>
      <c r="B21" s="53">
        <v>1</v>
      </c>
      <c r="C21" s="53">
        <f>B21+1</f>
        <v>2</v>
      </c>
      <c r="D21" s="53">
        <f>C21+1</f>
        <v>3</v>
      </c>
      <c r="E21" s="53">
        <f>D21+1</f>
        <v>4</v>
      </c>
      <c r="F21" s="53">
        <f>E21+1</f>
        <v>5</v>
      </c>
    </row>
    <row r="22" spans="1:6" ht="12.75">
      <c r="A22" t="s">
        <v>906</v>
      </c>
      <c r="B22" s="293">
        <v>100</v>
      </c>
      <c r="C22" s="293">
        <v>100</v>
      </c>
      <c r="D22" s="293">
        <v>100</v>
      </c>
      <c r="E22" s="293">
        <v>100</v>
      </c>
      <c r="F22" s="293">
        <v>100</v>
      </c>
    </row>
    <row r="23" spans="1:6" ht="12.75">
      <c r="A23" t="s">
        <v>827</v>
      </c>
      <c r="B23" s="118">
        <v>82</v>
      </c>
      <c r="C23" s="118">
        <v>91.2</v>
      </c>
      <c r="D23" s="118">
        <v>69.4</v>
      </c>
      <c r="E23" s="293">
        <v>68</v>
      </c>
      <c r="F23" s="118">
        <v>77.7</v>
      </c>
    </row>
    <row r="24" spans="1:6" ht="12.75">
      <c r="A24" s="55" t="s">
        <v>828</v>
      </c>
      <c r="B24" s="421">
        <v>15.1</v>
      </c>
      <c r="C24" s="421">
        <v>6.4</v>
      </c>
      <c r="D24" s="423">
        <v>38</v>
      </c>
      <c r="E24" s="297">
        <v>21.7</v>
      </c>
      <c r="F24" s="421">
        <v>16.3</v>
      </c>
    </row>
    <row r="25" spans="1:6" ht="12.75">
      <c r="A25" s="33" t="s">
        <v>829</v>
      </c>
      <c r="B25" s="422"/>
      <c r="C25" s="422"/>
      <c r="D25" s="424"/>
      <c r="E25" s="298">
        <v>5.2</v>
      </c>
      <c r="F25" s="422"/>
    </row>
    <row r="26" spans="1:6" ht="12.75">
      <c r="A26" s="1" t="s">
        <v>1199</v>
      </c>
      <c r="B26" s="299">
        <f>B22-B23-B24</f>
        <v>2.9000000000000004</v>
      </c>
      <c r="C26" s="299">
        <f>C22-C23-C24</f>
        <v>2.399999999999997</v>
      </c>
      <c r="D26" s="299">
        <v>15.9</v>
      </c>
      <c r="E26" s="299">
        <v>5.8</v>
      </c>
      <c r="F26" s="299">
        <v>5.9</v>
      </c>
    </row>
    <row r="28" spans="1:6" ht="14.25">
      <c r="A28" s="301" t="s">
        <v>842</v>
      </c>
      <c r="B28" s="302" t="s">
        <v>838</v>
      </c>
      <c r="C28" s="302" t="s">
        <v>841</v>
      </c>
      <c r="D28" s="302" t="s">
        <v>834</v>
      </c>
      <c r="E28" s="302" t="s">
        <v>839</v>
      </c>
      <c r="F28" s="302" t="s">
        <v>836</v>
      </c>
    </row>
    <row r="29" spans="1:5" ht="14.25">
      <c r="A29" s="301" t="s">
        <v>843</v>
      </c>
      <c r="C29" s="118" t="s">
        <v>846</v>
      </c>
      <c r="D29" s="118" t="s">
        <v>844</v>
      </c>
      <c r="E29" s="118" t="s">
        <v>845</v>
      </c>
    </row>
    <row r="30" spans="1:5" ht="12.75">
      <c r="A30" s="78"/>
      <c r="B30" s="296"/>
      <c r="C30" s="296"/>
      <c r="D30" s="296"/>
      <c r="E30" s="296"/>
    </row>
    <row r="31" spans="1:5" ht="12.75">
      <c r="A31" s="78"/>
      <c r="B31" s="296"/>
      <c r="C31" s="296"/>
      <c r="D31" s="296"/>
      <c r="E31" s="296"/>
    </row>
    <row r="32" ht="14.25">
      <c r="A32" s="41" t="s">
        <v>1337</v>
      </c>
    </row>
    <row r="33" ht="12.75">
      <c r="A33" s="1" t="s">
        <v>1069</v>
      </c>
    </row>
    <row r="35" spans="1:2" s="4" customFormat="1" ht="12.75">
      <c r="A35" s="74" t="s">
        <v>949</v>
      </c>
      <c r="B35" s="74">
        <v>2005</v>
      </c>
    </row>
    <row r="36" spans="1:2" ht="12.75">
      <c r="A36" t="s">
        <v>1070</v>
      </c>
      <c r="B36" s="389">
        <f>1917.9-150</f>
        <v>1767.9</v>
      </c>
    </row>
    <row r="37" spans="1:2" ht="12.75">
      <c r="A37" t="s">
        <v>726</v>
      </c>
      <c r="B37" s="389">
        <v>-2</v>
      </c>
    </row>
    <row r="38" spans="1:2" ht="12.75">
      <c r="A38" t="s">
        <v>1071</v>
      </c>
      <c r="B38" s="389">
        <f>SUM(B36:B37)</f>
        <v>1765.9</v>
      </c>
    </row>
    <row r="39" spans="1:2" ht="12.75">
      <c r="A39" t="s">
        <v>1072</v>
      </c>
      <c r="B39" s="389">
        <v>1511.5</v>
      </c>
    </row>
    <row r="40" spans="1:2" ht="12.75">
      <c r="A40" t="s">
        <v>1010</v>
      </c>
      <c r="B40" s="389">
        <f>B38-B39</f>
        <v>254.4000000000001</v>
      </c>
    </row>
    <row r="41" spans="1:2" ht="12.75">
      <c r="A41" t="s">
        <v>1073</v>
      </c>
      <c r="B41" s="389">
        <v>74.9</v>
      </c>
    </row>
    <row r="42" spans="1:3" ht="12.75">
      <c r="A42" t="s">
        <v>1011</v>
      </c>
      <c r="B42" s="389">
        <f>B40-B41</f>
        <v>179.50000000000009</v>
      </c>
      <c r="C42" s="87"/>
    </row>
    <row r="43" spans="1:3" ht="12.75">
      <c r="A43" t="s">
        <v>1074</v>
      </c>
      <c r="B43" s="389">
        <f>105.5+12.3+3.4</f>
        <v>121.2</v>
      </c>
      <c r="C43" s="87"/>
    </row>
    <row r="44" spans="1:3" ht="12.75">
      <c r="A44" t="s">
        <v>1075</v>
      </c>
      <c r="B44" s="389">
        <v>9.8</v>
      </c>
      <c r="C44" s="87"/>
    </row>
    <row r="45" spans="1:2" ht="12.75">
      <c r="A45" t="s">
        <v>1076</v>
      </c>
      <c r="B45" s="389">
        <v>0.4</v>
      </c>
    </row>
    <row r="46" spans="1:3" ht="12.75">
      <c r="A46" t="s">
        <v>1077</v>
      </c>
      <c r="B46" s="389">
        <f>22+35.6</f>
        <v>57.6</v>
      </c>
      <c r="C46" s="87"/>
    </row>
    <row r="47" spans="1:2" ht="12.75">
      <c r="A47" t="s">
        <v>1013</v>
      </c>
      <c r="B47" s="389">
        <f>B42-B43-B44+B45+B46</f>
        <v>106.50000000000009</v>
      </c>
    </row>
    <row r="48" spans="1:2" ht="12.75">
      <c r="A48" t="s">
        <v>1082</v>
      </c>
      <c r="B48" s="389">
        <v>30.8</v>
      </c>
    </row>
    <row r="49" spans="1:2" ht="12.75">
      <c r="A49" t="s">
        <v>1015</v>
      </c>
      <c r="B49" s="389">
        <f>B47-B48</f>
        <v>75.70000000000009</v>
      </c>
    </row>
    <row r="50" spans="1:2" ht="12.75">
      <c r="A50" t="s">
        <v>1078</v>
      </c>
      <c r="B50" s="389">
        <v>34.3</v>
      </c>
    </row>
    <row r="51" spans="1:2" ht="12.75">
      <c r="A51" t="s">
        <v>1079</v>
      </c>
      <c r="B51" s="389">
        <v>17.1</v>
      </c>
    </row>
    <row r="52" spans="1:2" ht="12.75">
      <c r="A52" t="s">
        <v>1016</v>
      </c>
      <c r="B52" s="389">
        <f>B51-B50</f>
        <v>-17.199999999999996</v>
      </c>
    </row>
    <row r="53" spans="1:2" ht="12.75">
      <c r="A53" t="s">
        <v>1017</v>
      </c>
      <c r="B53" s="389">
        <f>B49+B52</f>
        <v>58.50000000000009</v>
      </c>
    </row>
    <row r="54" spans="1:2" ht="12.75">
      <c r="A54" t="s">
        <v>1080</v>
      </c>
      <c r="B54" s="389">
        <v>50.8</v>
      </c>
    </row>
    <row r="55" spans="1:2" ht="12.75">
      <c r="A55" t="s">
        <v>1018</v>
      </c>
      <c r="B55" s="389">
        <f>-B54</f>
        <v>-50.8</v>
      </c>
    </row>
    <row r="56" spans="1:2" ht="12.75">
      <c r="A56" t="s">
        <v>1081</v>
      </c>
      <c r="B56" s="389">
        <v>3</v>
      </c>
    </row>
    <row r="57" spans="1:2" ht="12.75">
      <c r="A57" s="33" t="s">
        <v>1020</v>
      </c>
      <c r="B57" s="390">
        <f>B53+B55-B56</f>
        <v>4.700000000000095</v>
      </c>
    </row>
  </sheetData>
  <mergeCells count="5">
    <mergeCell ref="F24:F25"/>
    <mergeCell ref="D7:D8"/>
    <mergeCell ref="B24:B25"/>
    <mergeCell ref="C24:C25"/>
    <mergeCell ref="D24:D25"/>
  </mergeCells>
  <printOptions/>
  <pageMargins left="0.7874015748031497" right="0.7874015748031497" top="0.984251968503937" bottom="0.984251968503937" header="0.5118110236220472" footer="0.5118110236220472"/>
  <pageSetup fitToHeight="3" fitToWidth="1" horizontalDpi="200" verticalDpi="200" orientation="landscape" paperSize="9" r:id="rId3"/>
  <headerFooter alignWithMargins="0">
    <oddFooter>&amp;L&amp;"Verdana,Italique"&amp;9&amp;F - &amp;A&amp;C&amp;P / &amp;N&amp;R&amp;"Verdana,Italique"&amp;9&amp;D - &amp;T</oddFooter>
  </headerFooter>
  <legacyDrawing r:id="rId2"/>
</worksheet>
</file>

<file path=xl/worksheets/sheet9.xml><?xml version="1.0" encoding="utf-8"?>
<worksheet xmlns="http://schemas.openxmlformats.org/spreadsheetml/2006/main" xmlns:r="http://schemas.openxmlformats.org/officeDocument/2006/relationships">
  <sheetPr codeName="Feuil9">
    <pageSetUpPr fitToPage="1"/>
  </sheetPr>
  <dimension ref="A1:H103"/>
  <sheetViews>
    <sheetView showGridLines="0" zoomScale="75" zoomScaleNormal="75" workbookViewId="0" topLeftCell="A1">
      <selection activeCell="A1" sqref="A1"/>
    </sheetView>
  </sheetViews>
  <sheetFormatPr defaultColWidth="11.00390625" defaultRowHeight="12.75"/>
  <cols>
    <col min="1" max="1" width="28.00390625" style="0" bestFit="1" customWidth="1"/>
    <col min="5" max="5" width="12.875" style="0" customWidth="1"/>
    <col min="6" max="7" width="7.50390625" style="0" customWidth="1"/>
  </cols>
  <sheetData>
    <row r="1" ht="14.25">
      <c r="A1" s="20" t="s">
        <v>968</v>
      </c>
    </row>
    <row r="2" ht="14.25">
      <c r="A2" s="20"/>
    </row>
    <row r="3" spans="1:6" ht="12.75">
      <c r="A3" s="53" t="s">
        <v>1193</v>
      </c>
      <c r="B3" s="53" t="s">
        <v>1201</v>
      </c>
      <c r="C3" s="53" t="s">
        <v>1202</v>
      </c>
      <c r="D3" s="53" t="s">
        <v>1203</v>
      </c>
      <c r="E3" s="53" t="s">
        <v>1204</v>
      </c>
      <c r="F3" s="82"/>
    </row>
    <row r="4" spans="1:5" ht="12.75">
      <c r="A4" t="s">
        <v>906</v>
      </c>
      <c r="B4">
        <v>100</v>
      </c>
      <c r="C4">
        <v>100</v>
      </c>
      <c r="D4">
        <v>100</v>
      </c>
      <c r="E4">
        <v>100</v>
      </c>
    </row>
    <row r="5" spans="1:5" ht="12.75">
      <c r="A5" t="s">
        <v>1196</v>
      </c>
      <c r="B5">
        <v>65</v>
      </c>
      <c r="C5">
        <v>55</v>
      </c>
      <c r="D5">
        <v>36</v>
      </c>
      <c r="E5">
        <v>30</v>
      </c>
    </row>
    <row r="6" spans="1:6" ht="12.75">
      <c r="A6" s="33" t="s">
        <v>1197</v>
      </c>
      <c r="B6" s="33">
        <v>25</v>
      </c>
      <c r="C6" s="33">
        <v>29</v>
      </c>
      <c r="D6" s="33">
        <v>50</v>
      </c>
      <c r="E6" s="33">
        <v>55</v>
      </c>
      <c r="F6" s="55"/>
    </row>
    <row r="7" spans="1:6" ht="12.75">
      <c r="A7" s="1" t="s">
        <v>1198</v>
      </c>
      <c r="B7" s="1">
        <f>B4-B5-B6</f>
        <v>10</v>
      </c>
      <c r="C7" s="1">
        <f>C4-C5-C6</f>
        <v>16</v>
      </c>
      <c r="D7" s="1">
        <f>D4-D5-D6</f>
        <v>14</v>
      </c>
      <c r="E7" s="1">
        <f>E4-E5-E6</f>
        <v>15</v>
      </c>
      <c r="F7" s="1"/>
    </row>
    <row r="8" spans="1:6" ht="12.75">
      <c r="A8" s="33" t="s">
        <v>730</v>
      </c>
      <c r="B8" s="33">
        <v>2</v>
      </c>
      <c r="C8" s="33">
        <v>8</v>
      </c>
      <c r="D8" s="33">
        <v>4</v>
      </c>
      <c r="E8" s="33">
        <v>6</v>
      </c>
      <c r="F8" s="55"/>
    </row>
    <row r="9" spans="1:6" ht="12.75">
      <c r="A9" s="1" t="s">
        <v>1199</v>
      </c>
      <c r="B9" s="1">
        <f>B7-B8</f>
        <v>8</v>
      </c>
      <c r="C9" s="1">
        <f>C7-C8</f>
        <v>8</v>
      </c>
      <c r="D9" s="1">
        <f>D7-D8</f>
        <v>10</v>
      </c>
      <c r="E9" s="1">
        <f>E7-E8</f>
        <v>9</v>
      </c>
      <c r="F9" s="1"/>
    </row>
    <row r="10" spans="1:6" ht="12.75">
      <c r="A10" s="33" t="s">
        <v>910</v>
      </c>
      <c r="B10" s="33">
        <v>2</v>
      </c>
      <c r="C10" s="33">
        <v>6</v>
      </c>
      <c r="D10" s="33">
        <v>1.5</v>
      </c>
      <c r="E10" s="33">
        <v>6</v>
      </c>
      <c r="F10" s="55"/>
    </row>
    <row r="11" spans="1:6" ht="12.75">
      <c r="A11" s="1" t="s">
        <v>1200</v>
      </c>
      <c r="B11" s="1">
        <f>B9-B10</f>
        <v>6</v>
      </c>
      <c r="C11" s="1">
        <f>C9-C10</f>
        <v>2</v>
      </c>
      <c r="D11" s="1">
        <f>D9-D10</f>
        <v>8.5</v>
      </c>
      <c r="E11" s="1">
        <f>E9-E10</f>
        <v>3</v>
      </c>
      <c r="F11" s="1"/>
    </row>
    <row r="13" spans="1:6" ht="12.75">
      <c r="A13" s="78" t="s">
        <v>1206</v>
      </c>
      <c r="B13" s="75">
        <f>(B6+B8)/(1-B5/B4)</f>
        <v>77.14285714285715</v>
      </c>
      <c r="C13" s="75">
        <f>(C6+C8)/(1-C5/C4)</f>
        <v>82.22222222222223</v>
      </c>
      <c r="D13" s="75">
        <f>(D6+D8)/(1-D5/D4)</f>
        <v>84.375</v>
      </c>
      <c r="E13" s="75">
        <f>(E6+E8)/(1-E5/E4)</f>
        <v>87.14285714285715</v>
      </c>
      <c r="F13" s="75"/>
    </row>
    <row r="14" spans="1:6" ht="12.75">
      <c r="A14" s="78" t="s">
        <v>1207</v>
      </c>
      <c r="B14" s="79">
        <f>B$4/B13</f>
        <v>1.296296296296296</v>
      </c>
      <c r="C14" s="79">
        <f>C$4/C13</f>
        <v>1.2162162162162162</v>
      </c>
      <c r="D14" s="79">
        <f>D$4/D13</f>
        <v>1.1851851851851851</v>
      </c>
      <c r="E14" s="79">
        <f>E$4/E13</f>
        <v>1.1475409836065573</v>
      </c>
      <c r="F14" s="79"/>
    </row>
    <row r="15" ht="12.75">
      <c r="A15" s="78"/>
    </row>
    <row r="16" spans="1:6" ht="12.75">
      <c r="A16" s="78" t="s">
        <v>1205</v>
      </c>
      <c r="B16" s="75">
        <f>(B6+B8+B10)/(1-B5/B4)</f>
        <v>82.85714285714286</v>
      </c>
      <c r="C16" s="75">
        <f>(C6+C8+C10)/(1-C5/C4)</f>
        <v>95.55555555555557</v>
      </c>
      <c r="D16" s="75">
        <f>(D6+D8+D10)/(1-D5/D4)</f>
        <v>86.71875</v>
      </c>
      <c r="E16" s="75">
        <f>(E6+E8+E10)/(1-E5/E4)</f>
        <v>95.71428571428572</v>
      </c>
      <c r="F16" s="75"/>
    </row>
    <row r="17" spans="1:6" ht="12.75">
      <c r="A17" s="78" t="s">
        <v>1207</v>
      </c>
      <c r="B17" s="79">
        <f>B$4/B16</f>
        <v>1.206896551724138</v>
      </c>
      <c r="C17" s="79">
        <f>C$4/C16</f>
        <v>1.0465116279069766</v>
      </c>
      <c r="D17" s="79">
        <f>D$4/D16</f>
        <v>1.1531531531531531</v>
      </c>
      <c r="E17" s="79">
        <f>E$4/E16</f>
        <v>1.044776119402985</v>
      </c>
      <c r="F17" s="79"/>
    </row>
    <row r="19" ht="14.25">
      <c r="A19" s="41" t="s">
        <v>825</v>
      </c>
    </row>
    <row r="20" ht="14.25">
      <c r="A20" s="41"/>
    </row>
    <row r="21" spans="1:5" ht="12.75">
      <c r="A21" s="4" t="s">
        <v>720</v>
      </c>
      <c r="B21" s="4">
        <v>1</v>
      </c>
      <c r="C21" s="4">
        <v>2</v>
      </c>
      <c r="D21" s="4">
        <v>3</v>
      </c>
      <c r="E21" s="268"/>
    </row>
    <row r="22" spans="1:8" ht="12.75">
      <c r="A22" t="s">
        <v>906</v>
      </c>
      <c r="B22" s="75">
        <v>82000</v>
      </c>
      <c r="C22" s="75">
        <v>92000</v>
      </c>
      <c r="D22" s="75">
        <v>97000</v>
      </c>
      <c r="E22" s="25"/>
      <c r="F22" s="25"/>
      <c r="H22" s="75"/>
    </row>
    <row r="23" spans="1:8" ht="12.75">
      <c r="A23" t="s">
        <v>726</v>
      </c>
      <c r="B23" s="75">
        <v>500</v>
      </c>
      <c r="C23" s="75">
        <v>1400</v>
      </c>
      <c r="D23" s="75">
        <v>2800</v>
      </c>
      <c r="E23" s="25"/>
      <c r="F23" s="25"/>
      <c r="H23" s="75"/>
    </row>
    <row r="24" spans="1:8" ht="12.75">
      <c r="A24" s="1" t="s">
        <v>1175</v>
      </c>
      <c r="B24" s="75">
        <f>SUM(B22:B23)</f>
        <v>82500</v>
      </c>
      <c r="C24" s="75">
        <f>SUM(C22:C23)</f>
        <v>93400</v>
      </c>
      <c r="D24" s="75">
        <f>SUM(D22:D23)</f>
        <v>99800</v>
      </c>
      <c r="H24" s="75"/>
    </row>
    <row r="25" spans="1:8" ht="12.75">
      <c r="A25" t="s">
        <v>1176</v>
      </c>
      <c r="B25" s="75">
        <v>24800</v>
      </c>
      <c r="C25" s="75">
        <v>27400</v>
      </c>
      <c r="D25" s="75">
        <v>29900</v>
      </c>
      <c r="E25" s="25"/>
      <c r="F25" s="25"/>
      <c r="H25" s="75"/>
    </row>
    <row r="26" spans="1:8" ht="12.75">
      <c r="A26" t="s">
        <v>1177</v>
      </c>
      <c r="B26" s="75">
        <v>-1700</v>
      </c>
      <c r="C26" s="75">
        <v>-500</v>
      </c>
      <c r="D26" s="75">
        <v>-1600</v>
      </c>
      <c r="E26" s="25"/>
      <c r="F26" s="25"/>
      <c r="H26" s="75"/>
    </row>
    <row r="27" spans="1:8" ht="12.75">
      <c r="A27" t="s">
        <v>1178</v>
      </c>
      <c r="B27" s="75">
        <v>20200</v>
      </c>
      <c r="C27" s="75">
        <v>23000</v>
      </c>
      <c r="D27" s="75">
        <v>23500</v>
      </c>
      <c r="E27" s="25"/>
      <c r="F27" s="25"/>
      <c r="H27" s="75"/>
    </row>
    <row r="28" spans="1:8" ht="12.75">
      <c r="A28" t="s">
        <v>1012</v>
      </c>
      <c r="B28" s="75">
        <v>1200</v>
      </c>
      <c r="C28" s="75">
        <v>1400</v>
      </c>
      <c r="D28" s="75">
        <v>1500</v>
      </c>
      <c r="E28" s="25"/>
      <c r="F28" s="25"/>
      <c r="H28" s="75"/>
    </row>
    <row r="29" spans="1:8" ht="12.75">
      <c r="A29" t="s">
        <v>1179</v>
      </c>
      <c r="B29" s="75">
        <v>29000</v>
      </c>
      <c r="C29" s="75">
        <v>33000</v>
      </c>
      <c r="D29" s="75">
        <v>37000</v>
      </c>
      <c r="E29" s="25"/>
      <c r="F29" s="25"/>
      <c r="H29" s="75"/>
    </row>
    <row r="30" spans="1:8" ht="12.75">
      <c r="A30" t="s">
        <v>730</v>
      </c>
      <c r="B30" s="75">
        <v>5200</v>
      </c>
      <c r="C30" s="75">
        <v>4900</v>
      </c>
      <c r="D30" s="75">
        <v>4800</v>
      </c>
      <c r="E30" s="25"/>
      <c r="F30" s="25"/>
      <c r="H30" s="75"/>
    </row>
    <row r="31" spans="1:8" ht="12.75">
      <c r="A31" t="s">
        <v>1208</v>
      </c>
      <c r="B31" s="75">
        <v>100</v>
      </c>
      <c r="C31" s="75">
        <v>200</v>
      </c>
      <c r="D31" s="75"/>
      <c r="E31" s="25"/>
      <c r="F31" s="25"/>
      <c r="H31" s="75"/>
    </row>
    <row r="32" spans="1:4" ht="12.75">
      <c r="A32" s="1" t="s">
        <v>1180</v>
      </c>
      <c r="B32" s="75">
        <f>SUM(B25:B31)</f>
        <v>78800</v>
      </c>
      <c r="C32" s="75">
        <f>SUM(C25:C31)</f>
        <v>89400</v>
      </c>
      <c r="D32" s="75">
        <f>SUM(D25:D31)</f>
        <v>95100</v>
      </c>
    </row>
    <row r="33" spans="1:4" ht="12.75">
      <c r="A33" s="59" t="s">
        <v>766</v>
      </c>
      <c r="B33" s="81">
        <f>B24-B32</f>
        <v>3700</v>
      </c>
      <c r="C33" s="81">
        <f>C24-C32</f>
        <v>4000</v>
      </c>
      <c r="D33" s="81">
        <f>D24-D32</f>
        <v>4700</v>
      </c>
    </row>
    <row r="34" spans="1:6" ht="12.75">
      <c r="A34" t="s">
        <v>932</v>
      </c>
      <c r="B34" s="75">
        <v>300</v>
      </c>
      <c r="C34" s="75">
        <v>400</v>
      </c>
      <c r="D34" s="75">
        <v>300</v>
      </c>
      <c r="F34" s="25"/>
    </row>
    <row r="35" spans="1:6" ht="12.75">
      <c r="A35" t="s">
        <v>804</v>
      </c>
      <c r="B35" s="75">
        <v>2300</v>
      </c>
      <c r="C35" s="75">
        <v>2900</v>
      </c>
      <c r="D35" s="75">
        <v>3900</v>
      </c>
      <c r="E35" s="25"/>
      <c r="F35" s="25"/>
    </row>
    <row r="36" spans="1:6" ht="12.75">
      <c r="A36" s="59" t="s">
        <v>1181</v>
      </c>
      <c r="B36" s="81">
        <f>B34-B35</f>
        <v>-2000</v>
      </c>
      <c r="C36" s="81">
        <f>C34-C35</f>
        <v>-2500</v>
      </c>
      <c r="D36" s="81">
        <f>D34-D35</f>
        <v>-3600</v>
      </c>
      <c r="E36" s="25"/>
      <c r="F36" s="25"/>
    </row>
    <row r="37" spans="1:4" ht="12.75">
      <c r="A37" t="s">
        <v>1182</v>
      </c>
      <c r="B37" s="75">
        <v>-100</v>
      </c>
      <c r="C37" s="75">
        <v>-100</v>
      </c>
      <c r="D37" s="75">
        <v>100</v>
      </c>
    </row>
    <row r="38" spans="1:4" ht="12.75">
      <c r="A38" t="s">
        <v>1209</v>
      </c>
      <c r="B38" s="75">
        <v>800</v>
      </c>
      <c r="C38" s="75">
        <v>700</v>
      </c>
      <c r="D38" s="75">
        <v>600</v>
      </c>
    </row>
    <row r="39" spans="1:5" ht="12.75">
      <c r="A39" s="59" t="s">
        <v>806</v>
      </c>
      <c r="B39" s="81">
        <f>B33+B36+B37-B38</f>
        <v>800</v>
      </c>
      <c r="C39" s="81">
        <f>C33+C36+C37-C38</f>
        <v>700</v>
      </c>
      <c r="D39" s="81">
        <f>D33+D36+D37-D38</f>
        <v>600</v>
      </c>
      <c r="E39" s="25"/>
    </row>
    <row r="40" spans="1:7" ht="12.75">
      <c r="A40" s="57"/>
      <c r="B40" s="269"/>
      <c r="C40" s="269"/>
      <c r="D40" s="269"/>
      <c r="E40" s="25"/>
      <c r="G40" s="272"/>
    </row>
    <row r="41" spans="1:7" ht="12.75">
      <c r="A41" s="57" t="s">
        <v>2</v>
      </c>
      <c r="B41" s="269"/>
      <c r="C41" s="269"/>
      <c r="D41" s="269"/>
      <c r="E41" s="25"/>
      <c r="F41" s="425" t="s">
        <v>108</v>
      </c>
      <c r="G41" s="425"/>
    </row>
    <row r="42" spans="1:7" ht="12.75">
      <c r="A42" s="57"/>
      <c r="B42" s="269">
        <v>1</v>
      </c>
      <c r="C42" s="269">
        <v>2</v>
      </c>
      <c r="D42" s="269">
        <v>3</v>
      </c>
      <c r="E42" s="25"/>
      <c r="F42" s="4">
        <v>2</v>
      </c>
      <c r="G42" s="4">
        <v>3</v>
      </c>
    </row>
    <row r="43" spans="1:7" s="1" customFormat="1" ht="12.75">
      <c r="A43" s="59" t="s">
        <v>906</v>
      </c>
      <c r="B43" s="81">
        <f>B22</f>
        <v>82000</v>
      </c>
      <c r="C43" s="81">
        <f>C22</f>
        <v>92000</v>
      </c>
      <c r="D43" s="81">
        <f>D22</f>
        <v>97000</v>
      </c>
      <c r="E43" s="275"/>
      <c r="F43" s="275">
        <f aca="true" t="shared" si="0" ref="F43:F56">C43/B43-1</f>
        <v>0.12195121951219523</v>
      </c>
      <c r="G43" s="275">
        <f aca="true" t="shared" si="1" ref="G43:G56">D43/C43-1</f>
        <v>0.05434782608695654</v>
      </c>
    </row>
    <row r="44" spans="1:7" ht="12.75">
      <c r="A44" t="s">
        <v>703</v>
      </c>
      <c r="B44" s="270">
        <f>B25+B26-B23</f>
        <v>22600</v>
      </c>
      <c r="C44" s="270">
        <f>C25+C26-C23</f>
        <v>25500</v>
      </c>
      <c r="D44" s="270">
        <f>D25+D26-D23</f>
        <v>25500</v>
      </c>
      <c r="E44" s="25"/>
      <c r="F44" s="25">
        <f t="shared" si="0"/>
        <v>0.12831858407079655</v>
      </c>
      <c r="G44" s="25">
        <f t="shared" si="1"/>
        <v>0</v>
      </c>
    </row>
    <row r="45" spans="1:7" ht="12.75">
      <c r="A45" s="59" t="s">
        <v>1590</v>
      </c>
      <c r="B45" s="81">
        <f>B43-B44</f>
        <v>59400</v>
      </c>
      <c r="C45" s="81">
        <f>C43-C44</f>
        <v>66500</v>
      </c>
      <c r="D45" s="81">
        <f>D43-D44</f>
        <v>71500</v>
      </c>
      <c r="E45" s="275"/>
      <c r="F45" s="275">
        <f t="shared" si="0"/>
        <v>0.1195286195286196</v>
      </c>
      <c r="G45" s="275">
        <f t="shared" si="1"/>
        <v>0.07518796992481214</v>
      </c>
    </row>
    <row r="46" spans="1:7" ht="12.75">
      <c r="A46" t="s">
        <v>1178</v>
      </c>
      <c r="B46" s="270">
        <f aca="true" t="shared" si="2" ref="B46:D48">B27</f>
        <v>20200</v>
      </c>
      <c r="C46" s="270">
        <f t="shared" si="2"/>
        <v>23000</v>
      </c>
      <c r="D46" s="270">
        <f t="shared" si="2"/>
        <v>23500</v>
      </c>
      <c r="E46" s="25"/>
      <c r="F46" s="25">
        <f t="shared" si="0"/>
        <v>0.13861386138613851</v>
      </c>
      <c r="G46" s="25">
        <f t="shared" si="1"/>
        <v>0.021739130434782705</v>
      </c>
    </row>
    <row r="47" spans="1:7" ht="12.75">
      <c r="A47" t="s">
        <v>1012</v>
      </c>
      <c r="B47" s="270">
        <f t="shared" si="2"/>
        <v>1200</v>
      </c>
      <c r="C47" s="270">
        <f t="shared" si="2"/>
        <v>1400</v>
      </c>
      <c r="D47" s="270">
        <f t="shared" si="2"/>
        <v>1500</v>
      </c>
      <c r="E47" s="25"/>
      <c r="F47" s="25">
        <f t="shared" si="0"/>
        <v>0.16666666666666674</v>
      </c>
      <c r="G47" s="25">
        <f t="shared" si="1"/>
        <v>0.0714285714285714</v>
      </c>
    </row>
    <row r="48" spans="1:7" ht="12.75">
      <c r="A48" t="s">
        <v>1179</v>
      </c>
      <c r="B48" s="270">
        <f t="shared" si="2"/>
        <v>29000</v>
      </c>
      <c r="C48" s="270">
        <f t="shared" si="2"/>
        <v>33000</v>
      </c>
      <c r="D48" s="270">
        <f t="shared" si="2"/>
        <v>37000</v>
      </c>
      <c r="E48" s="25"/>
      <c r="F48" s="25">
        <f t="shared" si="0"/>
        <v>0.13793103448275867</v>
      </c>
      <c r="G48" s="25">
        <f t="shared" si="1"/>
        <v>0.1212121212121211</v>
      </c>
    </row>
    <row r="49" spans="1:7" ht="12.75">
      <c r="A49" t="s">
        <v>1208</v>
      </c>
      <c r="B49" s="270">
        <f>B31</f>
        <v>100</v>
      </c>
      <c r="C49" s="270">
        <f>C31</f>
        <v>200</v>
      </c>
      <c r="D49" s="270">
        <f>D31</f>
        <v>0</v>
      </c>
      <c r="E49" s="25"/>
      <c r="F49" s="25">
        <f t="shared" si="0"/>
        <v>1</v>
      </c>
      <c r="G49" s="25">
        <f t="shared" si="1"/>
        <v>-1</v>
      </c>
    </row>
    <row r="50" spans="1:7" ht="12.75">
      <c r="A50" s="59" t="s">
        <v>1198</v>
      </c>
      <c r="B50" s="81">
        <f>B45-B46-B47-B48-B49</f>
        <v>8900</v>
      </c>
      <c r="C50" s="81">
        <f>C45-C46-C47-C48-C49</f>
        <v>8900</v>
      </c>
      <c r="D50" s="81">
        <f>D45-D46-D47-D48-D49</f>
        <v>9500</v>
      </c>
      <c r="E50" s="275"/>
      <c r="F50" s="275">
        <f t="shared" si="0"/>
        <v>0</v>
      </c>
      <c r="G50" s="275">
        <f t="shared" si="1"/>
        <v>0.0674157303370786</v>
      </c>
    </row>
    <row r="51" spans="1:7" ht="12.75">
      <c r="A51" t="s">
        <v>730</v>
      </c>
      <c r="B51" s="270">
        <f>B30</f>
        <v>5200</v>
      </c>
      <c r="C51" s="270">
        <f>C30</f>
        <v>4900</v>
      </c>
      <c r="D51" s="270">
        <f>D30</f>
        <v>4800</v>
      </c>
      <c r="E51" s="25"/>
      <c r="F51" s="25">
        <f t="shared" si="0"/>
        <v>-0.05769230769230771</v>
      </c>
      <c r="G51" s="25">
        <f t="shared" si="1"/>
        <v>-0.020408163265306145</v>
      </c>
    </row>
    <row r="52" spans="1:7" ht="12.75">
      <c r="A52" s="59" t="s">
        <v>766</v>
      </c>
      <c r="B52" s="81">
        <f>B50-B51</f>
        <v>3700</v>
      </c>
      <c r="C52" s="81">
        <f>C50-C51</f>
        <v>4000</v>
      </c>
      <c r="D52" s="81">
        <f>D50-D51</f>
        <v>4700</v>
      </c>
      <c r="E52" s="275"/>
      <c r="F52" s="275">
        <f t="shared" si="0"/>
        <v>0.08108108108108114</v>
      </c>
      <c r="G52" s="275">
        <f t="shared" si="1"/>
        <v>0.17500000000000004</v>
      </c>
    </row>
    <row r="53" spans="1:7" s="1" customFormat="1" ht="12.75">
      <c r="A53" s="102" t="s">
        <v>0</v>
      </c>
      <c r="B53" s="276">
        <f>B35-B34</f>
        <v>2000</v>
      </c>
      <c r="C53" s="276">
        <f>C35-C34</f>
        <v>2500</v>
      </c>
      <c r="D53" s="276">
        <f>D35-D34</f>
        <v>3600</v>
      </c>
      <c r="E53" s="277"/>
      <c r="F53" s="277">
        <f t="shared" si="0"/>
        <v>0.25</v>
      </c>
      <c r="G53" s="277">
        <f t="shared" si="1"/>
        <v>0.43999999999999995</v>
      </c>
    </row>
    <row r="54" spans="1:7" ht="12.75">
      <c r="A54" t="s">
        <v>1182</v>
      </c>
      <c r="B54" s="270">
        <f aca="true" t="shared" si="3" ref="B54:D55">B37</f>
        <v>-100</v>
      </c>
      <c r="C54" s="270">
        <f t="shared" si="3"/>
        <v>-100</v>
      </c>
      <c r="D54" s="270">
        <f t="shared" si="3"/>
        <v>100</v>
      </c>
      <c r="E54" s="25"/>
      <c r="F54" s="25">
        <f t="shared" si="0"/>
        <v>0</v>
      </c>
      <c r="G54" s="25">
        <f t="shared" si="1"/>
        <v>-2</v>
      </c>
    </row>
    <row r="55" spans="1:7" ht="12.75">
      <c r="A55" t="s">
        <v>1209</v>
      </c>
      <c r="B55" s="270">
        <f t="shared" si="3"/>
        <v>800</v>
      </c>
      <c r="C55" s="270">
        <f t="shared" si="3"/>
        <v>700</v>
      </c>
      <c r="D55" s="270">
        <f t="shared" si="3"/>
        <v>600</v>
      </c>
      <c r="E55" s="25"/>
      <c r="F55" s="25">
        <f t="shared" si="0"/>
        <v>-0.125</v>
      </c>
      <c r="G55" s="25">
        <f t="shared" si="1"/>
        <v>-0.1428571428571429</v>
      </c>
    </row>
    <row r="56" spans="1:7" ht="12.75">
      <c r="A56" s="59" t="s">
        <v>806</v>
      </c>
      <c r="B56" s="81">
        <f>B52-B53+B54-B55</f>
        <v>800</v>
      </c>
      <c r="C56" s="81">
        <f>C52-C53+C54-C55</f>
        <v>700</v>
      </c>
      <c r="D56" s="81">
        <f>D52-D53+D54-D55</f>
        <v>600</v>
      </c>
      <c r="E56" s="275"/>
      <c r="F56" s="275">
        <f t="shared" si="0"/>
        <v>-0.125</v>
      </c>
      <c r="G56" s="275">
        <f t="shared" si="1"/>
        <v>-0.1428571428571429</v>
      </c>
    </row>
    <row r="57" spans="1:5" ht="12.75">
      <c r="A57" s="57"/>
      <c r="B57" s="269"/>
      <c r="C57" s="269"/>
      <c r="D57" s="269"/>
      <c r="E57" s="25"/>
    </row>
    <row r="58" spans="1:5" ht="12.75">
      <c r="A58" s="271" t="s">
        <v>1</v>
      </c>
      <c r="B58" s="269"/>
      <c r="C58" s="269"/>
      <c r="D58" s="269"/>
      <c r="E58" s="25"/>
    </row>
    <row r="59" spans="1:5" ht="12.75">
      <c r="A59" s="57"/>
      <c r="B59" s="269"/>
      <c r="C59" s="269"/>
      <c r="D59" s="269"/>
      <c r="E59" s="25"/>
    </row>
    <row r="60" spans="1:5" ht="12.75">
      <c r="A60" s="59" t="s">
        <v>906</v>
      </c>
      <c r="B60" s="273">
        <f aca="true" t="shared" si="4" ref="B60:D73">B43/B$43</f>
        <v>1</v>
      </c>
      <c r="C60" s="273">
        <f t="shared" si="4"/>
        <v>1</v>
      </c>
      <c r="D60" s="273">
        <f t="shared" si="4"/>
        <v>1</v>
      </c>
      <c r="E60" s="25"/>
    </row>
    <row r="61" spans="1:5" ht="12.75">
      <c r="A61" t="s">
        <v>703</v>
      </c>
      <c r="B61" s="274">
        <f t="shared" si="4"/>
        <v>0.275609756097561</v>
      </c>
      <c r="C61" s="274">
        <f t="shared" si="4"/>
        <v>0.27717391304347827</v>
      </c>
      <c r="D61" s="274">
        <f t="shared" si="4"/>
        <v>0.26288659793814434</v>
      </c>
      <c r="E61" s="25"/>
    </row>
    <row r="62" spans="1:5" ht="12.75">
      <c r="A62" s="59" t="s">
        <v>1379</v>
      </c>
      <c r="B62" s="273">
        <f t="shared" si="4"/>
        <v>0.724390243902439</v>
      </c>
      <c r="C62" s="273">
        <f t="shared" si="4"/>
        <v>0.7228260869565217</v>
      </c>
      <c r="D62" s="273">
        <f t="shared" si="4"/>
        <v>0.7371134020618557</v>
      </c>
      <c r="E62" s="25"/>
    </row>
    <row r="63" spans="1:5" ht="12.75">
      <c r="A63" t="s">
        <v>1178</v>
      </c>
      <c r="B63" s="274">
        <f t="shared" si="4"/>
        <v>0.24634146341463414</v>
      </c>
      <c r="C63" s="274">
        <f t="shared" si="4"/>
        <v>0.25</v>
      </c>
      <c r="D63" s="274">
        <f t="shared" si="4"/>
        <v>0.2422680412371134</v>
      </c>
      <c r="E63" s="25"/>
    </row>
    <row r="64" spans="1:5" ht="12.75">
      <c r="A64" t="s">
        <v>1012</v>
      </c>
      <c r="B64" s="274">
        <f t="shared" si="4"/>
        <v>0.014634146341463415</v>
      </c>
      <c r="C64" s="274">
        <f t="shared" si="4"/>
        <v>0.015217391304347827</v>
      </c>
      <c r="D64" s="274">
        <f t="shared" si="4"/>
        <v>0.015463917525773196</v>
      </c>
      <c r="E64" s="25"/>
    </row>
    <row r="65" spans="1:5" ht="12.75">
      <c r="A65" t="s">
        <v>1179</v>
      </c>
      <c r="B65" s="274">
        <f t="shared" si="4"/>
        <v>0.35365853658536583</v>
      </c>
      <c r="C65" s="274">
        <f t="shared" si="4"/>
        <v>0.358695652173913</v>
      </c>
      <c r="D65" s="274">
        <f t="shared" si="4"/>
        <v>0.38144329896907214</v>
      </c>
      <c r="E65" s="25"/>
    </row>
    <row r="66" spans="1:5" ht="12.75">
      <c r="A66" t="s">
        <v>1208</v>
      </c>
      <c r="B66" s="274">
        <f t="shared" si="4"/>
        <v>0.0012195121951219512</v>
      </c>
      <c r="C66" s="274">
        <f t="shared" si="4"/>
        <v>0.002173913043478261</v>
      </c>
      <c r="D66" s="274">
        <f t="shared" si="4"/>
        <v>0</v>
      </c>
      <c r="E66" s="25"/>
    </row>
    <row r="67" spans="1:5" ht="12.75">
      <c r="A67" s="59" t="s">
        <v>1198</v>
      </c>
      <c r="B67" s="273">
        <f t="shared" si="4"/>
        <v>0.10853658536585366</v>
      </c>
      <c r="C67" s="273">
        <f t="shared" si="4"/>
        <v>0.0967391304347826</v>
      </c>
      <c r="D67" s="273">
        <f t="shared" si="4"/>
        <v>0.0979381443298969</v>
      </c>
      <c r="E67" s="25"/>
    </row>
    <row r="68" spans="1:5" ht="12.75">
      <c r="A68" t="s">
        <v>730</v>
      </c>
      <c r="B68" s="274">
        <f t="shared" si="4"/>
        <v>0.06341463414634146</v>
      </c>
      <c r="C68" s="274">
        <f t="shared" si="4"/>
        <v>0.05326086956521739</v>
      </c>
      <c r="D68" s="274">
        <f t="shared" si="4"/>
        <v>0.049484536082474224</v>
      </c>
      <c r="E68" s="25"/>
    </row>
    <row r="69" spans="1:5" ht="12.75">
      <c r="A69" s="59" t="s">
        <v>766</v>
      </c>
      <c r="B69" s="273">
        <f t="shared" si="4"/>
        <v>0.045121951219512194</v>
      </c>
      <c r="C69" s="273">
        <f t="shared" si="4"/>
        <v>0.043478260869565216</v>
      </c>
      <c r="D69" s="273">
        <f t="shared" si="4"/>
        <v>0.04845360824742268</v>
      </c>
      <c r="E69" s="25"/>
    </row>
    <row r="70" spans="1:5" ht="12.75">
      <c r="A70" s="59" t="s">
        <v>0</v>
      </c>
      <c r="B70" s="273">
        <f t="shared" si="4"/>
        <v>0.024390243902439025</v>
      </c>
      <c r="C70" s="273">
        <f t="shared" si="4"/>
        <v>0.02717391304347826</v>
      </c>
      <c r="D70" s="273">
        <f t="shared" si="4"/>
        <v>0.03711340206185567</v>
      </c>
      <c r="E70" s="25"/>
    </row>
    <row r="71" spans="1:5" ht="12.75">
      <c r="A71" t="s">
        <v>1182</v>
      </c>
      <c r="B71" s="274">
        <f t="shared" si="4"/>
        <v>-0.0012195121951219512</v>
      </c>
      <c r="C71" s="274">
        <f t="shared" si="4"/>
        <v>-0.0010869565217391304</v>
      </c>
      <c r="D71" s="274">
        <f t="shared" si="4"/>
        <v>0.0010309278350515464</v>
      </c>
      <c r="E71" s="25"/>
    </row>
    <row r="72" spans="1:5" ht="12.75">
      <c r="A72" t="s">
        <v>1209</v>
      </c>
      <c r="B72" s="274">
        <f t="shared" si="4"/>
        <v>0.00975609756097561</v>
      </c>
      <c r="C72" s="274">
        <f t="shared" si="4"/>
        <v>0.007608695652173913</v>
      </c>
      <c r="D72" s="274">
        <f t="shared" si="4"/>
        <v>0.006185567010309278</v>
      </c>
      <c r="E72" s="25"/>
    </row>
    <row r="73" spans="1:5" ht="12.75">
      <c r="A73" s="59" t="s">
        <v>806</v>
      </c>
      <c r="B73" s="273">
        <f t="shared" si="4"/>
        <v>0.00975609756097561</v>
      </c>
      <c r="C73" s="273">
        <f t="shared" si="4"/>
        <v>0.007608695652173913</v>
      </c>
      <c r="D73" s="273">
        <f t="shared" si="4"/>
        <v>0.006185567010309278</v>
      </c>
      <c r="E73" s="25"/>
    </row>
    <row r="74" spans="1:5" ht="12.75">
      <c r="A74" s="57"/>
      <c r="B74" s="269"/>
      <c r="C74" s="269"/>
      <c r="D74" s="269"/>
      <c r="E74" s="25"/>
    </row>
    <row r="75" spans="2:5" ht="12.75">
      <c r="B75" s="269"/>
      <c r="C75" s="269"/>
      <c r="D75" s="269"/>
      <c r="E75" s="25"/>
    </row>
    <row r="76" spans="1:6" ht="14.25">
      <c r="A76" s="41" t="s">
        <v>826</v>
      </c>
      <c r="B76" s="269"/>
      <c r="C76" s="269"/>
      <c r="D76" s="269"/>
      <c r="E76" s="25"/>
      <c r="F76" s="25"/>
    </row>
    <row r="77" spans="1:6" ht="14.25">
      <c r="A77" s="41"/>
      <c r="F77" s="25"/>
    </row>
    <row r="78" spans="1:6" ht="12.75">
      <c r="A78" s="53" t="s">
        <v>1261</v>
      </c>
      <c r="B78" s="53">
        <v>0</v>
      </c>
      <c r="C78" s="53">
        <v>1</v>
      </c>
      <c r="D78" s="53">
        <v>2</v>
      </c>
      <c r="E78" s="53">
        <v>3</v>
      </c>
      <c r="F78" s="25"/>
    </row>
    <row r="79" spans="1:5" ht="12.75">
      <c r="A79" t="s">
        <v>727</v>
      </c>
      <c r="B79" s="80">
        <v>70.2</v>
      </c>
      <c r="C79" s="80">
        <v>106</v>
      </c>
      <c r="D79" s="80">
        <v>132</v>
      </c>
      <c r="E79" s="80">
        <v>161</v>
      </c>
    </row>
    <row r="80" spans="1:5" ht="12.75">
      <c r="A80" t="s">
        <v>1262</v>
      </c>
      <c r="B80" s="80">
        <v>29.4</v>
      </c>
      <c r="C80" s="80">
        <v>35.4</v>
      </c>
      <c r="D80" s="80">
        <v>44.3</v>
      </c>
      <c r="E80" s="80">
        <v>53.8</v>
      </c>
    </row>
    <row r="81" spans="1:5" ht="12.75">
      <c r="A81" t="s">
        <v>1179</v>
      </c>
      <c r="B81" s="80">
        <v>22.2</v>
      </c>
      <c r="C81" s="80">
        <v>29.4</v>
      </c>
      <c r="D81" s="80">
        <v>36.7</v>
      </c>
      <c r="E81" s="80">
        <v>41.1</v>
      </c>
    </row>
    <row r="82" spans="1:5" ht="12.75">
      <c r="A82" t="s">
        <v>1012</v>
      </c>
      <c r="B82" s="80">
        <v>0.5</v>
      </c>
      <c r="C82" s="80">
        <v>0.7</v>
      </c>
      <c r="D82" s="80">
        <v>0.7</v>
      </c>
      <c r="E82" s="80">
        <v>0.8</v>
      </c>
    </row>
    <row r="83" spans="1:5" ht="12.75">
      <c r="A83" t="s">
        <v>1263</v>
      </c>
      <c r="B83" s="80">
        <v>13.7</v>
      </c>
      <c r="C83" s="80">
        <v>19.8</v>
      </c>
      <c r="D83" s="80">
        <v>24.6</v>
      </c>
      <c r="E83" s="80">
        <v>30.5</v>
      </c>
    </row>
    <row r="84" spans="1:5" ht="12.75">
      <c r="A84" s="33" t="s">
        <v>1264</v>
      </c>
      <c r="B84" s="84">
        <v>2.5</v>
      </c>
      <c r="C84" s="84">
        <v>8.9</v>
      </c>
      <c r="D84" s="84">
        <v>11.2</v>
      </c>
      <c r="E84" s="84">
        <v>11.3</v>
      </c>
    </row>
    <row r="85" spans="1:5" ht="12.75">
      <c r="A85" t="s">
        <v>803</v>
      </c>
      <c r="B85" s="85">
        <v>1.4</v>
      </c>
      <c r="C85" s="85">
        <v>2.7</v>
      </c>
      <c r="D85" s="85">
        <v>3.6</v>
      </c>
      <c r="E85" s="85">
        <v>5</v>
      </c>
    </row>
    <row r="87" spans="1:5" ht="12.75">
      <c r="A87" t="s">
        <v>1196</v>
      </c>
      <c r="B87" s="80">
        <f>SUM(B88:B90)</f>
        <v>38.75</v>
      </c>
      <c r="C87" s="80">
        <f>SUM(C88:C90)</f>
        <v>54.199999999999996</v>
      </c>
      <c r="D87" s="80">
        <f>SUM(D88:D90)</f>
        <v>67.8</v>
      </c>
      <c r="E87" s="80">
        <f>SUM(E88:E90)</f>
        <v>80.35</v>
      </c>
    </row>
    <row r="88" spans="1:5" ht="12.75">
      <c r="A88" s="22" t="s">
        <v>1262</v>
      </c>
      <c r="B88" s="83">
        <f>B80</f>
        <v>29.4</v>
      </c>
      <c r="C88" s="83">
        <f>C80</f>
        <v>35.4</v>
      </c>
      <c r="D88" s="83">
        <f>D80</f>
        <v>44.3</v>
      </c>
      <c r="E88" s="83">
        <f>E80</f>
        <v>53.8</v>
      </c>
    </row>
    <row r="89" spans="1:5" ht="12.75">
      <c r="A89" s="22" t="s">
        <v>1264</v>
      </c>
      <c r="B89" s="83">
        <f>B84</f>
        <v>2.5</v>
      </c>
      <c r="C89" s="83">
        <f>C84</f>
        <v>8.9</v>
      </c>
      <c r="D89" s="83">
        <f>D84</f>
        <v>11.2</v>
      </c>
      <c r="E89" s="83">
        <f>E84</f>
        <v>11.3</v>
      </c>
    </row>
    <row r="90" spans="1:5" ht="12.75">
      <c r="A90" s="22" t="s">
        <v>1265</v>
      </c>
      <c r="B90" s="83">
        <f>B83/2</f>
        <v>6.85</v>
      </c>
      <c r="C90" s="83">
        <f>C83/2</f>
        <v>9.9</v>
      </c>
      <c r="D90" s="83">
        <f>D83/2</f>
        <v>12.3</v>
      </c>
      <c r="E90" s="83">
        <f>E83/2</f>
        <v>15.25</v>
      </c>
    </row>
    <row r="91" spans="1:5" ht="12.75">
      <c r="A91" t="s">
        <v>1197</v>
      </c>
      <c r="B91" s="80">
        <f>SUM(B92:B95)</f>
        <v>30.949999999999996</v>
      </c>
      <c r="C91" s="80">
        <f>SUM(C92:C95)</f>
        <v>42.7</v>
      </c>
      <c r="D91" s="80">
        <f>SUM(D92:D95)</f>
        <v>53.300000000000004</v>
      </c>
      <c r="E91" s="80">
        <f>SUM(E92:E95)</f>
        <v>62.15</v>
      </c>
    </row>
    <row r="92" spans="1:5" ht="12.75">
      <c r="A92" s="22" t="s">
        <v>1179</v>
      </c>
      <c r="B92" s="83">
        <f aca="true" t="shared" si="5" ref="B92:E93">B81</f>
        <v>22.2</v>
      </c>
      <c r="C92" s="83">
        <f t="shared" si="5"/>
        <v>29.4</v>
      </c>
      <c r="D92" s="83">
        <f t="shared" si="5"/>
        <v>36.7</v>
      </c>
      <c r="E92" s="83">
        <f t="shared" si="5"/>
        <v>41.1</v>
      </c>
    </row>
    <row r="93" spans="1:5" ht="12.75">
      <c r="A93" s="22" t="s">
        <v>1012</v>
      </c>
      <c r="B93" s="83">
        <f t="shared" si="5"/>
        <v>0.5</v>
      </c>
      <c r="C93" s="83">
        <f t="shared" si="5"/>
        <v>0.7</v>
      </c>
      <c r="D93" s="83">
        <f t="shared" si="5"/>
        <v>0.7</v>
      </c>
      <c r="E93" s="83">
        <f t="shared" si="5"/>
        <v>0.8</v>
      </c>
    </row>
    <row r="94" spans="1:5" ht="12.75">
      <c r="A94" s="22" t="s">
        <v>1265</v>
      </c>
      <c r="B94" s="83">
        <f>B83/2</f>
        <v>6.85</v>
      </c>
      <c r="C94" s="83">
        <f>C83/2</f>
        <v>9.9</v>
      </c>
      <c r="D94" s="83">
        <f>D83/2</f>
        <v>12.3</v>
      </c>
      <c r="E94" s="83">
        <f>E83/2</f>
        <v>15.25</v>
      </c>
    </row>
    <row r="95" spans="1:5" ht="12.75">
      <c r="A95" s="22" t="s">
        <v>803</v>
      </c>
      <c r="B95" s="83">
        <f>B85</f>
        <v>1.4</v>
      </c>
      <c r="C95" s="83">
        <f>C85</f>
        <v>2.7</v>
      </c>
      <c r="D95" s="83">
        <f>D85</f>
        <v>3.6</v>
      </c>
      <c r="E95" s="83">
        <f>E85</f>
        <v>5</v>
      </c>
    </row>
    <row r="97" spans="1:5" ht="12.75">
      <c r="A97" s="78" t="s">
        <v>1266</v>
      </c>
      <c r="B97" s="80">
        <f>B91/(1-B87/B79)</f>
        <v>69.08394276629569</v>
      </c>
      <c r="C97" s="80">
        <f>C91/(1-C87/C79)</f>
        <v>87.37837837837839</v>
      </c>
      <c r="D97" s="80">
        <f>D91/(1-D87/D79)</f>
        <v>109.58878504672899</v>
      </c>
      <c r="E97" s="80">
        <f>E91/(1-E87/E79)</f>
        <v>124.06881587104772</v>
      </c>
    </row>
    <row r="98" spans="1:5" ht="12.75">
      <c r="A98" s="78" t="s">
        <v>1207</v>
      </c>
      <c r="B98" s="25">
        <f>B79/B97</f>
        <v>1.0161550888529889</v>
      </c>
      <c r="C98" s="25">
        <f>C79/C97</f>
        <v>1.2131147540983604</v>
      </c>
      <c r="D98" s="25">
        <f>D79/D97</f>
        <v>1.2045028142589116</v>
      </c>
      <c r="E98" s="25">
        <f>E79/E97</f>
        <v>1.2976669348350767</v>
      </c>
    </row>
    <row r="100" spans="1:5" ht="12.75">
      <c r="A100" t="s">
        <v>910</v>
      </c>
      <c r="B100" s="80">
        <v>1.6</v>
      </c>
      <c r="C100" s="80">
        <f>1.6+3</f>
        <v>4.6</v>
      </c>
      <c r="D100" s="80">
        <f>1.6+3</f>
        <v>4.6</v>
      </c>
      <c r="E100" s="80">
        <f>1.6+3</f>
        <v>4.6</v>
      </c>
    </row>
    <row r="102" spans="1:5" ht="12.75">
      <c r="A102" s="78" t="s">
        <v>1267</v>
      </c>
      <c r="B102" s="80">
        <f>(B91+B100)/(1-B87/B79)</f>
        <v>72.65532591414944</v>
      </c>
      <c r="C102" s="80">
        <f>(C91+C100)/(1-C87/C79)</f>
        <v>96.7915057915058</v>
      </c>
      <c r="D102" s="80">
        <f>(D91+D100)/(1-D87/D79)</f>
        <v>119.04672897196264</v>
      </c>
      <c r="E102" s="80">
        <f>(E91+E100)/(1-E87/E79)</f>
        <v>133.2517048977061</v>
      </c>
    </row>
    <row r="103" spans="1:5" ht="12.75">
      <c r="A103" s="78" t="s">
        <v>1207</v>
      </c>
      <c r="B103" s="25">
        <f>B79/B102</f>
        <v>0.9662058371735791</v>
      </c>
      <c r="C103" s="25">
        <f>C79/C102</f>
        <v>1.095137420718816</v>
      </c>
      <c r="D103" s="25">
        <f>D79/D102</f>
        <v>1.1088082901554401</v>
      </c>
      <c r="E103" s="25">
        <f>E79/E102</f>
        <v>1.2082397003745322</v>
      </c>
    </row>
  </sheetData>
  <mergeCells count="1">
    <mergeCell ref="F41:G41"/>
  </mergeCells>
  <printOptions/>
  <pageMargins left="0.7874015748031497" right="0.7874015748031497" top="0.984251968503937" bottom="0.984251968503937" header="0.5118110236220472" footer="0.5118110236220472"/>
  <pageSetup fitToHeight="3" fitToWidth="1" horizontalDpi="200" verticalDpi="200" orientation="landscape" paperSize="9" r:id="rId1"/>
  <headerFooter alignWithMargins="0">
    <oddFooter>&amp;L&amp;"Verdana,Italique"&amp;9&amp;F - &amp;A&amp;C&amp;P / &amp;N&amp;R&amp;"Verdana,Italique"&amp;9&amp;D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Pochez</dc:creator>
  <cp:keywords/>
  <dc:description/>
  <cp:lastModifiedBy>156619</cp:lastModifiedBy>
  <cp:lastPrinted>2005-08-31T18:35:58Z</cp:lastPrinted>
  <dcterms:created xsi:type="dcterms:W3CDTF">2001-06-20T16:25:08Z</dcterms:created>
  <dcterms:modified xsi:type="dcterms:W3CDTF">2005-08-31T18:37:05Z</dcterms:modified>
  <cp:category/>
  <cp:version/>
  <cp:contentType/>
  <cp:contentStatus/>
</cp:coreProperties>
</file>